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jesus.rodriguez/Desktop/"/>
    </mc:Choice>
  </mc:AlternateContent>
  <xr:revisionPtr revIDLastSave="0" documentId="13_ncr:1_{200B618C-A3A6-024D-8FF1-EBDD455E41DE}" xr6:coauthVersionLast="34" xr6:coauthVersionMax="34" xr10:uidLastSave="{00000000-0000-0000-0000-000000000000}"/>
  <bookViews>
    <workbookView xWindow="0" yWindow="460" windowWidth="28800" windowHeight="17540" activeTab="2" xr2:uid="{00000000-000D-0000-FFFF-FFFF00000000}"/>
  </bookViews>
  <sheets>
    <sheet name="Resumen" sheetId="45" state="hidden" r:id="rId1"/>
    <sheet name="Operating Assumptions" sheetId="41" r:id="rId2"/>
    <sheet name="Proposed Structure" sheetId="42" r:id="rId3"/>
    <sheet name="Inc St" sheetId="50" r:id="rId4"/>
    <sheet name="BS" sheetId="51" r:id="rId5"/>
    <sheet name="Cash Flow" sheetId="52" r:id="rId6"/>
  </sheets>
  <externalReferences>
    <externalReference r:id="rId7"/>
    <externalReference r:id="rId8"/>
    <externalReference r:id="rId9"/>
  </externalReferences>
  <definedNames>
    <definedName name="_xlnm._FilterDatabase" localSheetId="3" hidden="1">'Inc St'!$H$7</definedName>
    <definedName name="Actdata">[1]Actual!$C$3:$AF$305</definedName>
    <definedName name="_xlnm.Print_Area" localSheetId="4">BS!$C$1:$AL$53</definedName>
    <definedName name="_xlnm.Print_Area" localSheetId="5">'Cash Flow'!$C$1:$AL$50</definedName>
    <definedName name="_xlnm.Print_Area" localSheetId="3">'Inc St'!$C$1:$AH$34</definedName>
    <definedName name="_xlnm.Print_Area" localSheetId="2">'Proposed Structure'!$A$1:$O$109</definedName>
    <definedName name="Curmth">[1]Control!$B$4</definedName>
    <definedName name="dates">#REF!</definedName>
    <definedName name="Inds">[2]Actual!$C$3:$AF$305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"06/26/2017 15:46:03"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Lastdata">[1]Last_Year!$C$3:$AH$190</definedName>
    <definedName name="rpinds">[2]Control!$B$4</definedName>
    <definedName name="_xlnm.Print_Titles" localSheetId="3">'Inc St'!$65:$67</definedName>
  </definedNames>
  <calcPr calcId="179021" iterate="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43" i="42" l="1"/>
  <c r="K79" i="42" l="1"/>
  <c r="L79" i="42" s="1"/>
  <c r="M79" i="42" s="1"/>
  <c r="N79" i="42" s="1"/>
  <c r="O79" i="42" s="1"/>
  <c r="P79" i="42" s="1"/>
  <c r="Q79" i="42" s="1"/>
  <c r="R79" i="42" s="1"/>
  <c r="S79" i="42" s="1"/>
  <c r="K78" i="42"/>
  <c r="L78" i="42" s="1"/>
  <c r="M78" i="42" s="1"/>
  <c r="N78" i="42" s="1"/>
  <c r="O78" i="42" s="1"/>
  <c r="P78" i="42" s="1"/>
  <c r="Q78" i="42" s="1"/>
  <c r="R78" i="42" s="1"/>
  <c r="S78" i="42" s="1"/>
  <c r="F24" i="41" l="1"/>
  <c r="F25" i="41" s="1"/>
  <c r="AL43" i="52"/>
  <c r="AK43" i="52"/>
  <c r="AJ43" i="52"/>
  <c r="AI43" i="52"/>
  <c r="AH43" i="52"/>
  <c r="AG43" i="52"/>
  <c r="AF43" i="52"/>
  <c r="AE43" i="52"/>
  <c r="AD43" i="52"/>
  <c r="AC43" i="52"/>
  <c r="AB43" i="52"/>
  <c r="AA43" i="52"/>
  <c r="Z43" i="52"/>
  <c r="Y43" i="52"/>
  <c r="X43" i="52"/>
  <c r="S43" i="52"/>
  <c r="N43" i="52"/>
  <c r="L43" i="52"/>
  <c r="K43" i="52"/>
  <c r="AB42" i="52"/>
  <c r="AA42" i="52"/>
  <c r="Z42" i="52"/>
  <c r="X42" i="52"/>
  <c r="W42" i="52"/>
  <c r="T42" i="52"/>
  <c r="S42" i="52"/>
  <c r="R42" i="52"/>
  <c r="Q42" i="52"/>
  <c r="P42" i="52"/>
  <c r="O42" i="52"/>
  <c r="N42" i="52"/>
  <c r="M42" i="52"/>
  <c r="L42" i="52"/>
  <c r="K42" i="52"/>
  <c r="J42" i="52"/>
  <c r="AA41" i="52"/>
  <c r="T41" i="52"/>
  <c r="F41" i="52"/>
  <c r="Y39" i="52"/>
  <c r="X39" i="52"/>
  <c r="W39" i="52"/>
  <c r="T39" i="52"/>
  <c r="S39" i="52"/>
  <c r="O39" i="52"/>
  <c r="N39" i="52"/>
  <c r="L39" i="52"/>
  <c r="K39" i="52"/>
  <c r="J39" i="52"/>
  <c r="I39" i="52"/>
  <c r="H39" i="52"/>
  <c r="G39" i="52"/>
  <c r="F39" i="52"/>
  <c r="AB34" i="52"/>
  <c r="AA34" i="52"/>
  <c r="Z34" i="52"/>
  <c r="Y34" i="52"/>
  <c r="X34" i="52"/>
  <c r="W34" i="52"/>
  <c r="T34" i="52"/>
  <c r="M34" i="52"/>
  <c r="L34" i="52"/>
  <c r="J34" i="52"/>
  <c r="I34" i="52"/>
  <c r="H34" i="52"/>
  <c r="G34" i="52"/>
  <c r="F34" i="52"/>
  <c r="AB31" i="52"/>
  <c r="AA31" i="52"/>
  <c r="Z31" i="52"/>
  <c r="Z35" i="52" s="1"/>
  <c r="Y31" i="52"/>
  <c r="X31" i="52"/>
  <c r="W31" i="52"/>
  <c r="T31" i="52"/>
  <c r="T35" i="52" s="1"/>
  <c r="N31" i="52"/>
  <c r="N35" i="52" s="1"/>
  <c r="L31" i="52"/>
  <c r="K31" i="52"/>
  <c r="J31" i="52"/>
  <c r="I31" i="52"/>
  <c r="H31" i="52"/>
  <c r="G31" i="52"/>
  <c r="T26" i="52"/>
  <c r="S26" i="52"/>
  <c r="R26" i="52"/>
  <c r="Q26" i="52"/>
  <c r="P26" i="52"/>
  <c r="O26" i="52"/>
  <c r="N26" i="52"/>
  <c r="M26" i="52"/>
  <c r="L26" i="52"/>
  <c r="K26" i="52"/>
  <c r="J26" i="52"/>
  <c r="I26" i="52"/>
  <c r="H26" i="52"/>
  <c r="AB25" i="52"/>
  <c r="AA25" i="52"/>
  <c r="Z25" i="52"/>
  <c r="Y25" i="52"/>
  <c r="X25" i="52"/>
  <c r="W25" i="52"/>
  <c r="T25" i="52"/>
  <c r="S25" i="52"/>
  <c r="O25" i="52"/>
  <c r="N25" i="52"/>
  <c r="L25" i="52"/>
  <c r="K25" i="52"/>
  <c r="J25" i="52"/>
  <c r="I25" i="52"/>
  <c r="H25" i="52"/>
  <c r="G25" i="52"/>
  <c r="F25" i="52"/>
  <c r="AB24" i="52"/>
  <c r="AA24" i="52"/>
  <c r="Z24" i="52"/>
  <c r="Y24" i="52"/>
  <c r="X24" i="52"/>
  <c r="W24" i="52"/>
  <c r="V24" i="52"/>
  <c r="U24" i="52"/>
  <c r="T24" i="52"/>
  <c r="S24" i="52"/>
  <c r="R24" i="52"/>
  <c r="P24" i="52"/>
  <c r="O24" i="52"/>
  <c r="N24" i="52"/>
  <c r="M24" i="52"/>
  <c r="L24" i="52"/>
  <c r="K24" i="52"/>
  <c r="J24" i="52"/>
  <c r="I24" i="52"/>
  <c r="H24" i="52"/>
  <c r="G24" i="52"/>
  <c r="F24" i="52"/>
  <c r="AB23" i="52"/>
  <c r="AA23" i="52"/>
  <c r="Z23" i="52"/>
  <c r="Y23" i="52"/>
  <c r="X23" i="52"/>
  <c r="W23" i="52"/>
  <c r="T23" i="52"/>
  <c r="S23" i="52"/>
  <c r="R23" i="52"/>
  <c r="Q23" i="52"/>
  <c r="P23" i="52"/>
  <c r="O23" i="52"/>
  <c r="N23" i="52"/>
  <c r="L23" i="52"/>
  <c r="K23" i="52"/>
  <c r="J23" i="52"/>
  <c r="I23" i="52"/>
  <c r="H23" i="52"/>
  <c r="G23" i="52"/>
  <c r="F23" i="52"/>
  <c r="AB22" i="52"/>
  <c r="AA22" i="52"/>
  <c r="Z22" i="52"/>
  <c r="Y22" i="52"/>
  <c r="X22" i="52"/>
  <c r="W22" i="52"/>
  <c r="T22" i="52"/>
  <c r="S22" i="52"/>
  <c r="R22" i="52"/>
  <c r="Q22" i="52"/>
  <c r="P22" i="52"/>
  <c r="O22" i="52"/>
  <c r="N22" i="52"/>
  <c r="L22" i="52"/>
  <c r="K22" i="52"/>
  <c r="J22" i="52"/>
  <c r="I22" i="52"/>
  <c r="H22" i="52"/>
  <c r="G22" i="52"/>
  <c r="F22" i="52"/>
  <c r="AB21" i="52"/>
  <c r="AA21" i="52"/>
  <c r="Z21" i="52"/>
  <c r="Y21" i="52"/>
  <c r="X21" i="52"/>
  <c r="R21" i="52"/>
  <c r="Q21" i="52"/>
  <c r="P21" i="52"/>
  <c r="O21" i="52"/>
  <c r="N21" i="52"/>
  <c r="L21" i="52"/>
  <c r="K21" i="52"/>
  <c r="J21" i="52"/>
  <c r="I21" i="52"/>
  <c r="H21" i="52"/>
  <c r="G21" i="52"/>
  <c r="F21" i="52"/>
  <c r="AB20" i="52"/>
  <c r="AA20" i="52"/>
  <c r="Z20" i="52"/>
  <c r="Y20" i="52"/>
  <c r="X20" i="52"/>
  <c r="W20" i="52"/>
  <c r="T20" i="52"/>
  <c r="S20" i="52"/>
  <c r="Q20" i="52"/>
  <c r="P20" i="52"/>
  <c r="O20" i="52"/>
  <c r="N20" i="52"/>
  <c r="L20" i="52"/>
  <c r="K20" i="52"/>
  <c r="J20" i="52"/>
  <c r="I20" i="52"/>
  <c r="H20" i="52"/>
  <c r="G20" i="52"/>
  <c r="F20" i="52"/>
  <c r="AL19" i="52"/>
  <c r="AK19" i="52"/>
  <c r="AJ19" i="52"/>
  <c r="AI19" i="52"/>
  <c r="AH19" i="52"/>
  <c r="AG19" i="52"/>
  <c r="AF19" i="52"/>
  <c r="AE19" i="52"/>
  <c r="AD19" i="52"/>
  <c r="AC19" i="52"/>
  <c r="AB19" i="52"/>
  <c r="AA19" i="52"/>
  <c r="Z19" i="52"/>
  <c r="Y19" i="52"/>
  <c r="X19" i="52"/>
  <c r="W19" i="52"/>
  <c r="V19" i="52"/>
  <c r="U19" i="52"/>
  <c r="T19" i="52"/>
  <c r="S19" i="52"/>
  <c r="R19" i="52"/>
  <c r="Q19" i="52"/>
  <c r="P19" i="52"/>
  <c r="O19" i="52"/>
  <c r="N19" i="52"/>
  <c r="M19" i="52"/>
  <c r="L19" i="52"/>
  <c r="K19" i="52"/>
  <c r="J19" i="52"/>
  <c r="I19" i="52"/>
  <c r="H19" i="52"/>
  <c r="G19" i="52"/>
  <c r="F19" i="52"/>
  <c r="S18" i="52"/>
  <c r="R18" i="52"/>
  <c r="Q18" i="52"/>
  <c r="P18" i="52"/>
  <c r="O18" i="52"/>
  <c r="N18" i="52"/>
  <c r="L18" i="52"/>
  <c r="K18" i="52"/>
  <c r="J18" i="52"/>
  <c r="I18" i="52"/>
  <c r="H18" i="52"/>
  <c r="G18" i="52"/>
  <c r="F18" i="52"/>
  <c r="AB17" i="52"/>
  <c r="AA17" i="52"/>
  <c r="Z17" i="52"/>
  <c r="Y17" i="52"/>
  <c r="X17" i="52"/>
  <c r="W17" i="52"/>
  <c r="T17" i="52"/>
  <c r="S17" i="52"/>
  <c r="Q17" i="52"/>
  <c r="P17" i="52"/>
  <c r="O17" i="52"/>
  <c r="N17" i="52"/>
  <c r="L17" i="52"/>
  <c r="K17" i="52"/>
  <c r="J17" i="52"/>
  <c r="I17" i="52"/>
  <c r="H17" i="52"/>
  <c r="G17" i="52"/>
  <c r="F17" i="52"/>
  <c r="AB13" i="52"/>
  <c r="AA13" i="52"/>
  <c r="Z13" i="52"/>
  <c r="Y13" i="52"/>
  <c r="X13" i="52"/>
  <c r="W13" i="52"/>
  <c r="U13" i="52"/>
  <c r="T13" i="52"/>
  <c r="R13" i="52"/>
  <c r="Q13" i="52"/>
  <c r="O13" i="52"/>
  <c r="N13" i="52"/>
  <c r="M13" i="52"/>
  <c r="L13" i="52"/>
  <c r="K13" i="52"/>
  <c r="J13" i="52"/>
  <c r="I13" i="52"/>
  <c r="H13" i="52"/>
  <c r="G13" i="52"/>
  <c r="F13" i="52"/>
  <c r="Y9" i="52"/>
  <c r="U9" i="52"/>
  <c r="T9" i="52"/>
  <c r="S9" i="52"/>
  <c r="Q9" i="52"/>
  <c r="P9" i="52"/>
  <c r="O9" i="52"/>
  <c r="N9" i="52"/>
  <c r="M9" i="52"/>
  <c r="L9" i="52"/>
  <c r="K9" i="52"/>
  <c r="J9" i="52"/>
  <c r="I9" i="52"/>
  <c r="H9" i="52"/>
  <c r="G9" i="52"/>
  <c r="F9" i="52"/>
  <c r="AB8" i="52"/>
  <c r="AA8" i="52"/>
  <c r="Z8" i="52"/>
  <c r="Y8" i="52"/>
  <c r="X8" i="52"/>
  <c r="W8" i="52"/>
  <c r="T8" i="52"/>
  <c r="S8" i="52"/>
  <c r="N8" i="52"/>
  <c r="L8" i="52"/>
  <c r="K8" i="52"/>
  <c r="J8" i="52"/>
  <c r="J14" i="52" s="1"/>
  <c r="AD151" i="51"/>
  <c r="AB150" i="51"/>
  <c r="AF151" i="51" s="1"/>
  <c r="AL143" i="51"/>
  <c r="AK143" i="51"/>
  <c r="AJ143" i="51"/>
  <c r="AJ79" i="51" s="1"/>
  <c r="AJ31" i="52" s="1"/>
  <c r="AI143" i="51"/>
  <c r="AI79" i="51" s="1"/>
  <c r="AI31" i="52" s="1"/>
  <c r="AH143" i="51"/>
  <c r="AH79" i="51" s="1"/>
  <c r="AH31" i="52" s="1"/>
  <c r="AG143" i="51"/>
  <c r="AF143" i="51"/>
  <c r="AF79" i="51" s="1"/>
  <c r="AF31" i="52" s="1"/>
  <c r="AE143" i="51"/>
  <c r="AE79" i="51" s="1"/>
  <c r="AE31" i="52" s="1"/>
  <c r="AD143" i="51"/>
  <c r="AC143" i="51"/>
  <c r="AC79" i="51" s="1"/>
  <c r="AC31" i="52" s="1"/>
  <c r="AB143" i="51"/>
  <c r="AA143" i="51"/>
  <c r="Z143" i="51"/>
  <c r="Y143" i="51"/>
  <c r="X143" i="51"/>
  <c r="V143" i="51"/>
  <c r="U143" i="51"/>
  <c r="R112" i="51"/>
  <c r="Q112" i="51"/>
  <c r="P112" i="51"/>
  <c r="F111" i="51"/>
  <c r="F113" i="51" s="1"/>
  <c r="F114" i="51" s="1"/>
  <c r="F110" i="51"/>
  <c r="T105" i="51"/>
  <c r="T106" i="51" s="1"/>
  <c r="Q105" i="51"/>
  <c r="Q106" i="51" s="1"/>
  <c r="P105" i="51"/>
  <c r="O105" i="51"/>
  <c r="AD104" i="51"/>
  <c r="AE104" i="51" s="1"/>
  <c r="AF104" i="51" s="1"/>
  <c r="AG104" i="51" s="1"/>
  <c r="AH104" i="51" s="1"/>
  <c r="AI104" i="51" s="1"/>
  <c r="AJ104" i="51" s="1"/>
  <c r="AK104" i="51" s="1"/>
  <c r="AL104" i="51" s="1"/>
  <c r="AB104" i="51"/>
  <c r="W104" i="51"/>
  <c r="S104" i="51"/>
  <c r="M104" i="51"/>
  <c r="K104" i="51"/>
  <c r="J104" i="51"/>
  <c r="I104" i="51"/>
  <c r="H104" i="51"/>
  <c r="F104" i="51"/>
  <c r="N102" i="51"/>
  <c r="AL97" i="51"/>
  <c r="Z97" i="51"/>
  <c r="V97" i="51"/>
  <c r="U97" i="51"/>
  <c r="R97" i="51"/>
  <c r="Q97" i="51"/>
  <c r="P97" i="51"/>
  <c r="M97" i="51"/>
  <c r="H97" i="51"/>
  <c r="F97" i="51"/>
  <c r="F96" i="51"/>
  <c r="Z93" i="51"/>
  <c r="R93" i="51"/>
  <c r="Q93" i="51"/>
  <c r="P93" i="51"/>
  <c r="M93" i="51"/>
  <c r="H93" i="51"/>
  <c r="F92" i="51"/>
  <c r="F94" i="51" s="1"/>
  <c r="V84" i="51"/>
  <c r="U84" i="51"/>
  <c r="S84" i="51"/>
  <c r="R84" i="51"/>
  <c r="Q84" i="51"/>
  <c r="P84" i="51"/>
  <c r="O84" i="51"/>
  <c r="N84" i="51"/>
  <c r="M84" i="51"/>
  <c r="K84" i="51"/>
  <c r="F84" i="51"/>
  <c r="U83" i="51"/>
  <c r="T83" i="51"/>
  <c r="Q83" i="51"/>
  <c r="P83" i="51"/>
  <c r="W83" i="51" s="1"/>
  <c r="O83" i="51"/>
  <c r="F82" i="51"/>
  <c r="AL79" i="51"/>
  <c r="AL31" i="52" s="1"/>
  <c r="AK79" i="51"/>
  <c r="AK31" i="52" s="1"/>
  <c r="AG79" i="51"/>
  <c r="AG31" i="52" s="1"/>
  <c r="AD79" i="51"/>
  <c r="AD31" i="52" s="1"/>
  <c r="V79" i="51"/>
  <c r="V31" i="52" s="1"/>
  <c r="U79" i="51"/>
  <c r="U31" i="52" s="1"/>
  <c r="R79" i="51"/>
  <c r="R31" i="52" s="1"/>
  <c r="Q79" i="51"/>
  <c r="Q31" i="52" s="1"/>
  <c r="P79" i="51"/>
  <c r="P31" i="52" s="1"/>
  <c r="O79" i="51"/>
  <c r="O31" i="52" s="1"/>
  <c r="M79" i="51"/>
  <c r="M31" i="52" s="1"/>
  <c r="F79" i="51"/>
  <c r="F31" i="52" s="1"/>
  <c r="F77" i="51"/>
  <c r="F80" i="51" s="1"/>
  <c r="T72" i="51"/>
  <c r="T71" i="51"/>
  <c r="T70" i="51"/>
  <c r="AA52" i="51"/>
  <c r="AG51" i="51"/>
  <c r="AH51" i="51" s="1"/>
  <c r="AI51" i="51" s="1"/>
  <c r="AJ51" i="51" s="1"/>
  <c r="AK51" i="51" s="1"/>
  <c r="AL51" i="51" s="1"/>
  <c r="AC51" i="51"/>
  <c r="AD51" i="51" s="1"/>
  <c r="AE51" i="51" s="1"/>
  <c r="AF51" i="51" s="1"/>
  <c r="U51" i="51"/>
  <c r="AD50" i="51"/>
  <c r="AD42" i="52" s="1"/>
  <c r="AC50" i="51"/>
  <c r="AC42" i="52" s="1"/>
  <c r="Y50" i="51"/>
  <c r="Y42" i="52" s="1"/>
  <c r="V50" i="51"/>
  <c r="V42" i="52" s="1"/>
  <c r="U50" i="51"/>
  <c r="U42" i="52" s="1"/>
  <c r="H50" i="51"/>
  <c r="G50" i="51"/>
  <c r="F50" i="51"/>
  <c r="F42" i="52" s="1"/>
  <c r="V48" i="51"/>
  <c r="U48" i="51"/>
  <c r="AC46" i="51"/>
  <c r="AA46" i="51"/>
  <c r="Z46" i="51"/>
  <c r="Z52" i="51" s="1"/>
  <c r="Y46" i="51"/>
  <c r="X46" i="51"/>
  <c r="W46" i="51"/>
  <c r="V46" i="51"/>
  <c r="T46" i="51"/>
  <c r="T52" i="51" s="1"/>
  <c r="T53" i="51" s="1"/>
  <c r="R46" i="51"/>
  <c r="S46" i="51" s="1"/>
  <c r="S52" i="51" s="1"/>
  <c r="M46" i="51"/>
  <c r="M43" i="52" s="1"/>
  <c r="G46" i="51"/>
  <c r="AB36" i="51"/>
  <c r="AC36" i="51" s="1"/>
  <c r="Z36" i="51"/>
  <c r="AA26" i="52" s="1"/>
  <c r="Y36" i="51"/>
  <c r="X36" i="51"/>
  <c r="W36" i="51"/>
  <c r="W26" i="52" s="1"/>
  <c r="V36" i="51"/>
  <c r="V26" i="52" s="1"/>
  <c r="U36" i="51"/>
  <c r="U26" i="52" s="1"/>
  <c r="F36" i="51"/>
  <c r="E36" i="51"/>
  <c r="AA35" i="51"/>
  <c r="Z35" i="51"/>
  <c r="AB33" i="51"/>
  <c r="AB38" i="51" s="1"/>
  <c r="AA33" i="51"/>
  <c r="AA38" i="51" s="1"/>
  <c r="Z33" i="51"/>
  <c r="Y33" i="51"/>
  <c r="Y38" i="51" s="1"/>
  <c r="X33" i="51"/>
  <c r="X38" i="51" s="1"/>
  <c r="W33" i="51"/>
  <c r="W38" i="51" s="1"/>
  <c r="T33" i="51"/>
  <c r="T38" i="51" s="1"/>
  <c r="S33" i="51"/>
  <c r="S38" i="51" s="1"/>
  <c r="O33" i="51"/>
  <c r="O38" i="51" s="1"/>
  <c r="N33" i="51"/>
  <c r="N38" i="51" s="1"/>
  <c r="L33" i="51"/>
  <c r="L38" i="51" s="1"/>
  <c r="K33" i="51"/>
  <c r="K38" i="51" s="1"/>
  <c r="J33" i="51"/>
  <c r="J38" i="51" s="1"/>
  <c r="I33" i="51"/>
  <c r="I38" i="51" s="1"/>
  <c r="H33" i="51"/>
  <c r="H38" i="51" s="1"/>
  <c r="G33" i="51"/>
  <c r="G38" i="51" s="1"/>
  <c r="F33" i="51"/>
  <c r="F38" i="51" s="1"/>
  <c r="E33" i="51"/>
  <c r="E38" i="51" s="1"/>
  <c r="AC32" i="51"/>
  <c r="Q32" i="51"/>
  <c r="Q24" i="52" s="1"/>
  <c r="AC31" i="51"/>
  <c r="V31" i="51"/>
  <c r="V23" i="52" s="1"/>
  <c r="U31" i="51"/>
  <c r="U23" i="52" s="1"/>
  <c r="M31" i="51"/>
  <c r="M23" i="52" s="1"/>
  <c r="U29" i="51"/>
  <c r="U22" i="52" s="1"/>
  <c r="AC24" i="51"/>
  <c r="V24" i="51"/>
  <c r="U24" i="51"/>
  <c r="U34" i="52" s="1"/>
  <c r="O24" i="51"/>
  <c r="N24" i="51"/>
  <c r="K24" i="51"/>
  <c r="AB23" i="51"/>
  <c r="W23" i="51"/>
  <c r="T23" i="51"/>
  <c r="S23" i="51"/>
  <c r="N23" i="51"/>
  <c r="L23" i="51"/>
  <c r="K23" i="51"/>
  <c r="J23" i="51"/>
  <c r="I23" i="51"/>
  <c r="H23" i="51"/>
  <c r="G23" i="51"/>
  <c r="F23" i="51"/>
  <c r="U22" i="51"/>
  <c r="O22" i="51"/>
  <c r="Q22" i="51" s="1"/>
  <c r="M22" i="51"/>
  <c r="AB21" i="51"/>
  <c r="AA21" i="51"/>
  <c r="AA23" i="51" s="1"/>
  <c r="Z21" i="51"/>
  <c r="Y21" i="51"/>
  <c r="X21" i="51"/>
  <c r="X23" i="51" s="1"/>
  <c r="E21" i="51"/>
  <c r="E23" i="51" s="1"/>
  <c r="AC18" i="51"/>
  <c r="AD18" i="51" s="1"/>
  <c r="S18" i="51"/>
  <c r="W21" i="52" s="1"/>
  <c r="M18" i="51"/>
  <c r="M21" i="52" s="1"/>
  <c r="U15" i="51"/>
  <c r="U20" i="52" s="1"/>
  <c r="S13" i="51"/>
  <c r="Q13" i="51"/>
  <c r="P13" i="51"/>
  <c r="O13" i="51"/>
  <c r="N13" i="51"/>
  <c r="L13" i="51"/>
  <c r="K13" i="51"/>
  <c r="J13" i="51"/>
  <c r="I13" i="51"/>
  <c r="H13" i="51"/>
  <c r="G13" i="51"/>
  <c r="F13" i="51"/>
  <c r="E13" i="51"/>
  <c r="AB11" i="51"/>
  <c r="AB39" i="51" s="1"/>
  <c r="AA11" i="51"/>
  <c r="AA13" i="51" s="1"/>
  <c r="Z11" i="51"/>
  <c r="Y11" i="51"/>
  <c r="Y13" i="51" s="1"/>
  <c r="X11" i="51"/>
  <c r="X13" i="51" s="1"/>
  <c r="W11" i="51"/>
  <c r="W18" i="52" s="1"/>
  <c r="V11" i="51"/>
  <c r="V18" i="52" s="1"/>
  <c r="U11" i="51"/>
  <c r="U18" i="52" s="1"/>
  <c r="T11" i="51"/>
  <c r="T18" i="52" s="1"/>
  <c r="M11" i="51"/>
  <c r="M18" i="52" s="1"/>
  <c r="U10" i="51"/>
  <c r="U17" i="52" s="1"/>
  <c r="P351" i="50"/>
  <c r="X350" i="50"/>
  <c r="P350" i="50"/>
  <c r="X349" i="50"/>
  <c r="P349" i="50"/>
  <c r="P348" i="50"/>
  <c r="X345" i="50"/>
  <c r="G341" i="50"/>
  <c r="F341" i="50"/>
  <c r="E341" i="50"/>
  <c r="Y338" i="50"/>
  <c r="G331" i="50"/>
  <c r="F331" i="50"/>
  <c r="E331" i="50"/>
  <c r="W329" i="50"/>
  <c r="AA325" i="50"/>
  <c r="AA324" i="50"/>
  <c r="P324" i="50"/>
  <c r="N324" i="50"/>
  <c r="M324" i="50"/>
  <c r="K324" i="50"/>
  <c r="H324" i="50"/>
  <c r="G324" i="50"/>
  <c r="F324" i="50"/>
  <c r="E324" i="50"/>
  <c r="Y317" i="50"/>
  <c r="Z310" i="50"/>
  <c r="Z309" i="50"/>
  <c r="Z307" i="50"/>
  <c r="Z306" i="50"/>
  <c r="X302" i="50"/>
  <c r="Y301" i="50"/>
  <c r="X301" i="50"/>
  <c r="T299" i="50"/>
  <c r="AB291" i="50"/>
  <c r="AC291" i="50" s="1"/>
  <c r="AD291" i="50" s="1"/>
  <c r="AE291" i="50" s="1"/>
  <c r="AF291" i="50" s="1"/>
  <c r="AG291" i="50" s="1"/>
  <c r="AH291" i="50" s="1"/>
  <c r="AI291" i="50" s="1"/>
  <c r="AJ291" i="50" s="1"/>
  <c r="AK291" i="50" s="1"/>
  <c r="AL291" i="50" s="1"/>
  <c r="W291" i="50"/>
  <c r="V291" i="50"/>
  <c r="V325" i="50" s="1"/>
  <c r="U291" i="50"/>
  <c r="U325" i="50" s="1"/>
  <c r="T291" i="50"/>
  <c r="T325" i="50" s="1"/>
  <c r="R291" i="50"/>
  <c r="R325" i="50" s="1"/>
  <c r="P291" i="50"/>
  <c r="Z290" i="50"/>
  <c r="X290" i="50"/>
  <c r="X30" i="50" s="1"/>
  <c r="G13" i="42" s="1"/>
  <c r="W290" i="50"/>
  <c r="V290" i="50"/>
  <c r="U290" i="50"/>
  <c r="U293" i="50" s="1"/>
  <c r="T290" i="50"/>
  <c r="T293" i="50" s="1"/>
  <c r="P290" i="50"/>
  <c r="O290" i="50"/>
  <c r="N290" i="50"/>
  <c r="M290" i="50"/>
  <c r="L290" i="50"/>
  <c r="AB289" i="50"/>
  <c r="AC289" i="50" s="1"/>
  <c r="AD289" i="50" s="1"/>
  <c r="AE289" i="50" s="1"/>
  <c r="AF289" i="50" s="1"/>
  <c r="AG289" i="50" s="1"/>
  <c r="AH289" i="50" s="1"/>
  <c r="AI289" i="50" s="1"/>
  <c r="AJ289" i="50" s="1"/>
  <c r="AK289" i="50" s="1"/>
  <c r="AL289" i="50" s="1"/>
  <c r="AA289" i="50"/>
  <c r="AC287" i="50"/>
  <c r="AD287" i="50" s="1"/>
  <c r="AE287" i="50" s="1"/>
  <c r="AF287" i="50" s="1"/>
  <c r="AG287" i="50" s="1"/>
  <c r="AH287" i="50" s="1"/>
  <c r="AI287" i="50" s="1"/>
  <c r="AJ287" i="50" s="1"/>
  <c r="AK287" i="50" s="1"/>
  <c r="AL287" i="50" s="1"/>
  <c r="Y287" i="50"/>
  <c r="Y252" i="50" s="1"/>
  <c r="AC285" i="50"/>
  <c r="AD285" i="50" s="1"/>
  <c r="AE285" i="50" s="1"/>
  <c r="AF285" i="50" s="1"/>
  <c r="AG285" i="50" s="1"/>
  <c r="AH285" i="50" s="1"/>
  <c r="AI285" i="50" s="1"/>
  <c r="AJ285" i="50" s="1"/>
  <c r="AK285" i="50" s="1"/>
  <c r="AL285" i="50" s="1"/>
  <c r="AC283" i="50"/>
  <c r="AD283" i="50" s="1"/>
  <c r="AE283" i="50" s="1"/>
  <c r="AF283" i="50" s="1"/>
  <c r="AG283" i="50" s="1"/>
  <c r="AH283" i="50" s="1"/>
  <c r="AI283" i="50" s="1"/>
  <c r="AJ283" i="50" s="1"/>
  <c r="AK283" i="50" s="1"/>
  <c r="AL283" i="50" s="1"/>
  <c r="Y283" i="50"/>
  <c r="AC282" i="50"/>
  <c r="AD282" i="50" s="1"/>
  <c r="AE282" i="50" s="1"/>
  <c r="AF282" i="50" s="1"/>
  <c r="AG282" i="50" s="1"/>
  <c r="AH282" i="50" s="1"/>
  <c r="AI282" i="50" s="1"/>
  <c r="AJ282" i="50" s="1"/>
  <c r="AK282" i="50" s="1"/>
  <c r="AL282" i="50" s="1"/>
  <c r="Y282" i="50"/>
  <c r="R282" i="50"/>
  <c r="AB281" i="50"/>
  <c r="AC281" i="50" s="1"/>
  <c r="AD281" i="50" s="1"/>
  <c r="AE281" i="50" s="1"/>
  <c r="AF281" i="50" s="1"/>
  <c r="AG281" i="50" s="1"/>
  <c r="AH281" i="50" s="1"/>
  <c r="AI281" i="50" s="1"/>
  <c r="AJ281" i="50" s="1"/>
  <c r="AK281" i="50" s="1"/>
  <c r="AL281" i="50" s="1"/>
  <c r="AC280" i="50"/>
  <c r="AD280" i="50" s="1"/>
  <c r="AE280" i="50" s="1"/>
  <c r="AF280" i="50" s="1"/>
  <c r="AG280" i="50" s="1"/>
  <c r="AH280" i="50" s="1"/>
  <c r="AI280" i="50" s="1"/>
  <c r="AJ280" i="50" s="1"/>
  <c r="AK280" i="50" s="1"/>
  <c r="AL280" i="50" s="1"/>
  <c r="AA279" i="50"/>
  <c r="AB279" i="50" s="1"/>
  <c r="AC279" i="50" s="1"/>
  <c r="AD279" i="50" s="1"/>
  <c r="AE279" i="50" s="1"/>
  <c r="AF279" i="50" s="1"/>
  <c r="AG279" i="50" s="1"/>
  <c r="AH279" i="50" s="1"/>
  <c r="AI279" i="50" s="1"/>
  <c r="AJ279" i="50" s="1"/>
  <c r="AK279" i="50" s="1"/>
  <c r="AL279" i="50" s="1"/>
  <c r="AC278" i="50"/>
  <c r="AD278" i="50" s="1"/>
  <c r="AE278" i="50" s="1"/>
  <c r="AF278" i="50" s="1"/>
  <c r="AG278" i="50" s="1"/>
  <c r="AH278" i="50" s="1"/>
  <c r="AI278" i="50" s="1"/>
  <c r="AJ278" i="50" s="1"/>
  <c r="AK278" i="50" s="1"/>
  <c r="AL278" i="50" s="1"/>
  <c r="AC277" i="50"/>
  <c r="AD277" i="50" s="1"/>
  <c r="AE277" i="50" s="1"/>
  <c r="AF277" i="50" s="1"/>
  <c r="AG277" i="50" s="1"/>
  <c r="AH277" i="50" s="1"/>
  <c r="AI277" i="50" s="1"/>
  <c r="AJ277" i="50" s="1"/>
  <c r="AK277" i="50" s="1"/>
  <c r="AL277" i="50" s="1"/>
  <c r="AA276" i="50"/>
  <c r="AA275" i="50"/>
  <c r="AC274" i="50"/>
  <c r="AD274" i="50" s="1"/>
  <c r="AE274" i="50" s="1"/>
  <c r="AF274" i="50" s="1"/>
  <c r="AG274" i="50" s="1"/>
  <c r="AH274" i="50" s="1"/>
  <c r="AI274" i="50" s="1"/>
  <c r="AJ274" i="50" s="1"/>
  <c r="AK274" i="50" s="1"/>
  <c r="AL274" i="50" s="1"/>
  <c r="AA273" i="50"/>
  <c r="AB273" i="50" s="1"/>
  <c r="AC273" i="50" s="1"/>
  <c r="AD273" i="50" s="1"/>
  <c r="AE273" i="50" s="1"/>
  <c r="AF273" i="50" s="1"/>
  <c r="AG273" i="50" s="1"/>
  <c r="AH273" i="50" s="1"/>
  <c r="AI273" i="50" s="1"/>
  <c r="AJ273" i="50" s="1"/>
  <c r="AK273" i="50" s="1"/>
  <c r="AL273" i="50" s="1"/>
  <c r="AA272" i="50"/>
  <c r="AA237" i="50" s="1"/>
  <c r="AC271" i="50"/>
  <c r="AD271" i="50" s="1"/>
  <c r="AE271" i="50" s="1"/>
  <c r="AF271" i="50" s="1"/>
  <c r="AG271" i="50" s="1"/>
  <c r="AH271" i="50" s="1"/>
  <c r="AI271" i="50" s="1"/>
  <c r="AJ271" i="50" s="1"/>
  <c r="AK271" i="50" s="1"/>
  <c r="AL271" i="50" s="1"/>
  <c r="AF270" i="50"/>
  <c r="AG270" i="50" s="1"/>
  <c r="AH270" i="50" s="1"/>
  <c r="AI270" i="50" s="1"/>
  <c r="AJ270" i="50" s="1"/>
  <c r="AK270" i="50" s="1"/>
  <c r="AL270" i="50" s="1"/>
  <c r="AH269" i="50"/>
  <c r="AI269" i="50" s="1"/>
  <c r="AJ269" i="50" s="1"/>
  <c r="AK269" i="50" s="1"/>
  <c r="AL269" i="50" s="1"/>
  <c r="AG269" i="50"/>
  <c r="S269" i="50"/>
  <c r="S290" i="50" s="1"/>
  <c r="R269" i="50"/>
  <c r="Q269" i="50"/>
  <c r="Q290" i="50" s="1"/>
  <c r="AC268" i="50"/>
  <c r="AD268" i="50" s="1"/>
  <c r="AE268" i="50" s="1"/>
  <c r="AF268" i="50" s="1"/>
  <c r="AG268" i="50" s="1"/>
  <c r="AH268" i="50" s="1"/>
  <c r="AI268" i="50" s="1"/>
  <c r="AJ268" i="50" s="1"/>
  <c r="AK268" i="50" s="1"/>
  <c r="AL268" i="50" s="1"/>
  <c r="R268" i="50"/>
  <c r="AC267" i="50"/>
  <c r="AD267" i="50" s="1"/>
  <c r="AE267" i="50" s="1"/>
  <c r="AF267" i="50" s="1"/>
  <c r="AG267" i="50" s="1"/>
  <c r="AH267" i="50" s="1"/>
  <c r="AI267" i="50" s="1"/>
  <c r="AJ267" i="50" s="1"/>
  <c r="AK267" i="50" s="1"/>
  <c r="AL267" i="50" s="1"/>
  <c r="AC266" i="50"/>
  <c r="AD266" i="50" s="1"/>
  <c r="AE266" i="50" s="1"/>
  <c r="AF266" i="50" s="1"/>
  <c r="AG266" i="50" s="1"/>
  <c r="AH266" i="50" s="1"/>
  <c r="AI266" i="50" s="1"/>
  <c r="AJ266" i="50" s="1"/>
  <c r="AK266" i="50" s="1"/>
  <c r="AL266" i="50" s="1"/>
  <c r="AF265" i="50"/>
  <c r="AG265" i="50" s="1"/>
  <c r="AH265" i="50" s="1"/>
  <c r="AI265" i="50" s="1"/>
  <c r="AJ265" i="50" s="1"/>
  <c r="AK265" i="50" s="1"/>
  <c r="AL265" i="50" s="1"/>
  <c r="AC264" i="50"/>
  <c r="AD264" i="50" s="1"/>
  <c r="AA260" i="50"/>
  <c r="W260" i="50"/>
  <c r="S260" i="50"/>
  <c r="R260" i="50"/>
  <c r="AB256" i="50"/>
  <c r="AC256" i="50" s="1"/>
  <c r="AD256" i="50" s="1"/>
  <c r="AE256" i="50" s="1"/>
  <c r="AF256" i="50" s="1"/>
  <c r="AG256" i="50" s="1"/>
  <c r="AH256" i="50" s="1"/>
  <c r="AI256" i="50" s="1"/>
  <c r="AJ256" i="50" s="1"/>
  <c r="AK256" i="50" s="1"/>
  <c r="AL256" i="50" s="1"/>
  <c r="W256" i="50"/>
  <c r="W325" i="50" s="1"/>
  <c r="S256" i="50"/>
  <c r="S291" i="50" s="1"/>
  <c r="S325" i="50" s="1"/>
  <c r="Q256" i="50"/>
  <c r="Q291" i="50" s="1"/>
  <c r="P256" i="50"/>
  <c r="O256" i="50"/>
  <c r="O291" i="50" s="1"/>
  <c r="N256" i="50"/>
  <c r="N291" i="50" s="1"/>
  <c r="M256" i="50"/>
  <c r="M291" i="50" s="1"/>
  <c r="L256" i="50"/>
  <c r="L291" i="50" s="1"/>
  <c r="K256" i="50"/>
  <c r="J256" i="50"/>
  <c r="I256" i="50"/>
  <c r="H256" i="50"/>
  <c r="E256" i="50"/>
  <c r="AL253" i="50"/>
  <c r="AK253" i="50"/>
  <c r="AJ253" i="50"/>
  <c r="AI253" i="50"/>
  <c r="AH253" i="50"/>
  <c r="AG253" i="50"/>
  <c r="AF253" i="50"/>
  <c r="AE253" i="50"/>
  <c r="AD253" i="50"/>
  <c r="AC253" i="50"/>
  <c r="AB253" i="50"/>
  <c r="Y253" i="50"/>
  <c r="X253" i="50"/>
  <c r="AB252" i="50"/>
  <c r="AB351" i="50" s="1"/>
  <c r="AA252" i="50"/>
  <c r="AA351" i="50" s="1"/>
  <c r="X252" i="50"/>
  <c r="X321" i="50" s="1"/>
  <c r="AA251" i="50"/>
  <c r="AA350" i="50" s="1"/>
  <c r="Z251" i="50"/>
  <c r="Z350" i="50" s="1"/>
  <c r="Y251" i="50"/>
  <c r="Y350" i="50" s="1"/>
  <c r="AA250" i="50"/>
  <c r="Y250" i="50"/>
  <c r="X250" i="50"/>
  <c r="AA249" i="50"/>
  <c r="Y249" i="50"/>
  <c r="X249" i="50"/>
  <c r="AA248" i="50"/>
  <c r="AA349" i="50" s="1"/>
  <c r="Y248" i="50"/>
  <c r="AA247" i="50"/>
  <c r="AA348" i="50" s="1"/>
  <c r="X247" i="50"/>
  <c r="X348" i="50" s="1"/>
  <c r="AA246" i="50"/>
  <c r="AA347" i="50" s="1"/>
  <c r="Y246" i="50"/>
  <c r="X246" i="50"/>
  <c r="AA245" i="50"/>
  <c r="AA346" i="50" s="1"/>
  <c r="Y245" i="50"/>
  <c r="Y346" i="50" s="1"/>
  <c r="X245" i="50"/>
  <c r="X346" i="50" s="1"/>
  <c r="AA244" i="50"/>
  <c r="AA345" i="50" s="1"/>
  <c r="Y244" i="50"/>
  <c r="Y345" i="50" s="1"/>
  <c r="W244" i="50"/>
  <c r="V244" i="50"/>
  <c r="U244" i="50"/>
  <c r="U313" i="50" s="1"/>
  <c r="T244" i="50"/>
  <c r="T313" i="50" s="1"/>
  <c r="S244" i="50"/>
  <c r="S313" i="50" s="1"/>
  <c r="R244" i="50"/>
  <c r="R345" i="50" s="1"/>
  <c r="Q244" i="50"/>
  <c r="N244" i="50"/>
  <c r="N345" i="50" s="1"/>
  <c r="M244" i="50"/>
  <c r="M345" i="50" s="1"/>
  <c r="I244" i="50"/>
  <c r="H244" i="50"/>
  <c r="G244" i="50"/>
  <c r="G346" i="50" s="1"/>
  <c r="F244" i="50"/>
  <c r="F346" i="50" s="1"/>
  <c r="E244" i="50"/>
  <c r="E346" i="50" s="1"/>
  <c r="AA243" i="50"/>
  <c r="AA344" i="50" s="1"/>
  <c r="Y243" i="50"/>
  <c r="Y344" i="50" s="1"/>
  <c r="X243" i="50"/>
  <c r="X344" i="50" s="1"/>
  <c r="AA242" i="50"/>
  <c r="AA343" i="50" s="1"/>
  <c r="Y242" i="50"/>
  <c r="Y343" i="50" s="1"/>
  <c r="X242" i="50"/>
  <c r="X343" i="50" s="1"/>
  <c r="Y241" i="50"/>
  <c r="X241" i="50"/>
  <c r="W241" i="50"/>
  <c r="W310" i="50" s="1"/>
  <c r="V241" i="50"/>
  <c r="V310" i="50" s="1"/>
  <c r="U241" i="50"/>
  <c r="U310" i="50" s="1"/>
  <c r="T241" i="50"/>
  <c r="T310" i="50" s="1"/>
  <c r="I241" i="50"/>
  <c r="H241" i="50"/>
  <c r="G241" i="50"/>
  <c r="G343" i="50" s="1"/>
  <c r="F241" i="50"/>
  <c r="F343" i="50" s="1"/>
  <c r="E241" i="50"/>
  <c r="E343" i="50" s="1"/>
  <c r="Y240" i="50"/>
  <c r="X240" i="50"/>
  <c r="AA239" i="50"/>
  <c r="Y239" i="50"/>
  <c r="Y341" i="50" s="1"/>
  <c r="X239" i="50"/>
  <c r="X341" i="50" s="1"/>
  <c r="I239" i="50"/>
  <c r="H239" i="50"/>
  <c r="G239" i="50"/>
  <c r="G342" i="50" s="1"/>
  <c r="F239" i="50"/>
  <c r="F342" i="50" s="1"/>
  <c r="E239" i="50"/>
  <c r="E342" i="50" s="1"/>
  <c r="Y238" i="50"/>
  <c r="X238" i="50"/>
  <c r="Y237" i="50"/>
  <c r="X237" i="50"/>
  <c r="W237" i="50"/>
  <c r="W306" i="50" s="1"/>
  <c r="V237" i="50"/>
  <c r="V306" i="50" s="1"/>
  <c r="U237" i="50"/>
  <c r="U306" i="50" s="1"/>
  <c r="T237" i="50"/>
  <c r="N237" i="50"/>
  <c r="M237" i="50"/>
  <c r="AA236" i="50"/>
  <c r="AA338" i="50" s="1"/>
  <c r="X236" i="50"/>
  <c r="W236" i="50"/>
  <c r="W305" i="50" s="1"/>
  <c r="V236" i="50"/>
  <c r="V305" i="50" s="1"/>
  <c r="U236" i="50"/>
  <c r="U305" i="50" s="1"/>
  <c r="T236" i="50"/>
  <c r="N236" i="50"/>
  <c r="M236" i="50"/>
  <c r="AA235" i="50"/>
  <c r="AA337" i="50" s="1"/>
  <c r="Y235" i="50"/>
  <c r="Y337" i="50" s="1"/>
  <c r="X235" i="50"/>
  <c r="X337" i="50" s="1"/>
  <c r="E235" i="50"/>
  <c r="AA234" i="50"/>
  <c r="AA336" i="50" s="1"/>
  <c r="Y234" i="50"/>
  <c r="Y336" i="50" s="1"/>
  <c r="X234" i="50"/>
  <c r="X336" i="50" s="1"/>
  <c r="E234" i="50"/>
  <c r="E337" i="50" s="1"/>
  <c r="AA233" i="50"/>
  <c r="AA335" i="50" s="1"/>
  <c r="Y233" i="50"/>
  <c r="Y335" i="50" s="1"/>
  <c r="X233" i="50"/>
  <c r="X335" i="50" s="1"/>
  <c r="N233" i="50"/>
  <c r="L233" i="50"/>
  <c r="K233" i="50"/>
  <c r="E233" i="50"/>
  <c r="E336" i="50" s="1"/>
  <c r="AA232" i="50"/>
  <c r="AA334" i="50" s="1"/>
  <c r="X232" i="50"/>
  <c r="AA231" i="50"/>
  <c r="AA333" i="50" s="1"/>
  <c r="Y231" i="50"/>
  <c r="Y333" i="50" s="1"/>
  <c r="X231" i="50"/>
  <c r="X333" i="50" s="1"/>
  <c r="Y230" i="50"/>
  <c r="Y332" i="50" s="1"/>
  <c r="X230" i="50"/>
  <c r="X332" i="50" s="1"/>
  <c r="AA229" i="50"/>
  <c r="AA331" i="50" s="1"/>
  <c r="Y229" i="50"/>
  <c r="X229" i="50"/>
  <c r="X331" i="50" s="1"/>
  <c r="AL223" i="50"/>
  <c r="AL254" i="50" s="1"/>
  <c r="AK223" i="50"/>
  <c r="AK254" i="50" s="1"/>
  <c r="AJ223" i="50"/>
  <c r="AJ254" i="50" s="1"/>
  <c r="AI223" i="50"/>
  <c r="AI254" i="50" s="1"/>
  <c r="AH223" i="50"/>
  <c r="AH254" i="50" s="1"/>
  <c r="AG223" i="50"/>
  <c r="AG254" i="50" s="1"/>
  <c r="AF223" i="50"/>
  <c r="AF254" i="50" s="1"/>
  <c r="AE223" i="50"/>
  <c r="AE254" i="50" s="1"/>
  <c r="AD223" i="50"/>
  <c r="AD254" i="50" s="1"/>
  <c r="AC223" i="50"/>
  <c r="AC254" i="50" s="1"/>
  <c r="AB223" i="50"/>
  <c r="AB254" i="50" s="1"/>
  <c r="AA223" i="50"/>
  <c r="AA254" i="50" s="1"/>
  <c r="Z223" i="50"/>
  <c r="Y223" i="50"/>
  <c r="Y254" i="50" s="1"/>
  <c r="Y323" i="50" s="1"/>
  <c r="X223" i="50"/>
  <c r="X254" i="50" s="1"/>
  <c r="W223" i="50"/>
  <c r="W254" i="50" s="1"/>
  <c r="W323" i="50" s="1"/>
  <c r="V223" i="50"/>
  <c r="V254" i="50" s="1"/>
  <c r="V323" i="50" s="1"/>
  <c r="U223" i="50"/>
  <c r="U254" i="50" s="1"/>
  <c r="U323" i="50" s="1"/>
  <c r="T223" i="50"/>
  <c r="T254" i="50" s="1"/>
  <c r="T323" i="50" s="1"/>
  <c r="S223" i="50"/>
  <c r="S254" i="50" s="1"/>
  <c r="S323" i="50" s="1"/>
  <c r="R223" i="50"/>
  <c r="R254" i="50" s="1"/>
  <c r="R323" i="50" s="1"/>
  <c r="Q223" i="50"/>
  <c r="Q254" i="50" s="1"/>
  <c r="Q323" i="50" s="1"/>
  <c r="P223" i="50"/>
  <c r="P254" i="50" s="1"/>
  <c r="O223" i="50"/>
  <c r="O254" i="50" s="1"/>
  <c r="N223" i="50"/>
  <c r="N254" i="50" s="1"/>
  <c r="M223" i="50"/>
  <c r="M254" i="50" s="1"/>
  <c r="L223" i="50"/>
  <c r="L254" i="50" s="1"/>
  <c r="K223" i="50"/>
  <c r="K254" i="50" s="1"/>
  <c r="J223" i="50"/>
  <c r="J254" i="50" s="1"/>
  <c r="I223" i="50"/>
  <c r="I254" i="50" s="1"/>
  <c r="H223" i="50"/>
  <c r="G223" i="50"/>
  <c r="F223" i="50"/>
  <c r="F254" i="50" s="1"/>
  <c r="E223" i="50"/>
  <c r="E254" i="50" s="1"/>
  <c r="Z221" i="50"/>
  <c r="Z252" i="50" s="1"/>
  <c r="Z351" i="50" s="1"/>
  <c r="W221" i="50"/>
  <c r="T221" i="50"/>
  <c r="T252" i="50" s="1"/>
  <c r="T321" i="50" s="1"/>
  <c r="S221" i="50"/>
  <c r="AB220" i="50"/>
  <c r="AB251" i="50" s="1"/>
  <c r="AA220" i="50"/>
  <c r="Y220" i="50"/>
  <c r="W220" i="50"/>
  <c r="W251" i="50" s="1"/>
  <c r="W350" i="50" s="1"/>
  <c r="V220" i="50"/>
  <c r="V251" i="50" s="1"/>
  <c r="V350" i="50" s="1"/>
  <c r="U220" i="50"/>
  <c r="U251" i="50" s="1"/>
  <c r="U350" i="50" s="1"/>
  <c r="T220" i="50"/>
  <c r="T251" i="50" s="1"/>
  <c r="S220" i="50"/>
  <c r="S251" i="50" s="1"/>
  <c r="S350" i="50" s="1"/>
  <c r="R220" i="50"/>
  <c r="R251" i="50" s="1"/>
  <c r="R350" i="50" s="1"/>
  <c r="Q220" i="50"/>
  <c r="Q251" i="50" s="1"/>
  <c r="Q350" i="50" s="1"/>
  <c r="AB219" i="50"/>
  <c r="AB250" i="50" s="1"/>
  <c r="AB319" i="50" s="1"/>
  <c r="AA219" i="50"/>
  <c r="Z219" i="50"/>
  <c r="Z250" i="50" s="1"/>
  <c r="Z319" i="50" s="1"/>
  <c r="Y219" i="50"/>
  <c r="X219" i="50"/>
  <c r="AB218" i="50"/>
  <c r="AB249" i="50" s="1"/>
  <c r="AB318" i="50" s="1"/>
  <c r="AA218" i="50"/>
  <c r="Z218" i="50"/>
  <c r="Z249" i="50" s="1"/>
  <c r="Z318" i="50" s="1"/>
  <c r="Y218" i="50"/>
  <c r="AB217" i="50"/>
  <c r="AB248" i="50" s="1"/>
  <c r="AA217" i="50"/>
  <c r="Z217" i="50"/>
  <c r="Z248" i="50" s="1"/>
  <c r="Y217" i="50"/>
  <c r="W217" i="50"/>
  <c r="W248" i="50" s="1"/>
  <c r="T217" i="50"/>
  <c r="T248" i="50" s="1"/>
  <c r="T317" i="50" s="1"/>
  <c r="S217" i="50"/>
  <c r="S248" i="50" s="1"/>
  <c r="Q217" i="50"/>
  <c r="Q248" i="50" s="1"/>
  <c r="AB216" i="50"/>
  <c r="AB247" i="50" s="1"/>
  <c r="AA216" i="50"/>
  <c r="Z216" i="50"/>
  <c r="Z247" i="50" s="1"/>
  <c r="Y216" i="50"/>
  <c r="W216" i="50"/>
  <c r="W247" i="50" s="1"/>
  <c r="W316" i="50" s="1"/>
  <c r="T216" i="50"/>
  <c r="T247" i="50" s="1"/>
  <c r="T316" i="50" s="1"/>
  <c r="S216" i="50"/>
  <c r="S247" i="50" s="1"/>
  <c r="R216" i="50"/>
  <c r="R247" i="50" s="1"/>
  <c r="Q216" i="50"/>
  <c r="Q247" i="50" s="1"/>
  <c r="AL215" i="50"/>
  <c r="AL246" i="50" s="1"/>
  <c r="AK215" i="50"/>
  <c r="AK246" i="50" s="1"/>
  <c r="AJ215" i="50"/>
  <c r="AJ246" i="50" s="1"/>
  <c r="AI215" i="50"/>
  <c r="AI246" i="50" s="1"/>
  <c r="AH215" i="50"/>
  <c r="AH246" i="50" s="1"/>
  <c r="AB215" i="50"/>
  <c r="AB246" i="50" s="1"/>
  <c r="AB315" i="50" s="1"/>
  <c r="AA215" i="50"/>
  <c r="Z215" i="50"/>
  <c r="Z246" i="50" s="1"/>
  <c r="Z315" i="50" s="1"/>
  <c r="Y215" i="50"/>
  <c r="X215" i="50"/>
  <c r="W215" i="50"/>
  <c r="W246" i="50" s="1"/>
  <c r="W315" i="50" s="1"/>
  <c r="V215" i="50"/>
  <c r="V246" i="50" s="1"/>
  <c r="V315" i="50" s="1"/>
  <c r="U215" i="50"/>
  <c r="U246" i="50" s="1"/>
  <c r="U315" i="50" s="1"/>
  <c r="T215" i="50"/>
  <c r="T246" i="50" s="1"/>
  <c r="T315" i="50" s="1"/>
  <c r="S215" i="50"/>
  <c r="S246" i="50" s="1"/>
  <c r="S315" i="50" s="1"/>
  <c r="R215" i="50"/>
  <c r="R246" i="50" s="1"/>
  <c r="R315" i="50" s="1"/>
  <c r="Q215" i="50"/>
  <c r="Q246" i="50" s="1"/>
  <c r="Q315" i="50" s="1"/>
  <c r="AB214" i="50"/>
  <c r="AB245" i="50" s="1"/>
  <c r="AA214" i="50"/>
  <c r="Z214" i="50"/>
  <c r="Z245" i="50" s="1"/>
  <c r="W214" i="50"/>
  <c r="W245" i="50" s="1"/>
  <c r="W314" i="50" s="1"/>
  <c r="V214" i="50"/>
  <c r="V245" i="50" s="1"/>
  <c r="V346" i="50" s="1"/>
  <c r="U214" i="50"/>
  <c r="U245" i="50" s="1"/>
  <c r="T214" i="50"/>
  <c r="T245" i="50" s="1"/>
  <c r="T314" i="50" s="1"/>
  <c r="S214" i="50"/>
  <c r="S245" i="50" s="1"/>
  <c r="S314" i="50" s="1"/>
  <c r="R214" i="50"/>
  <c r="R245" i="50" s="1"/>
  <c r="Q214" i="50"/>
  <c r="Q245" i="50" s="1"/>
  <c r="P214" i="50"/>
  <c r="P245" i="50" s="1"/>
  <c r="P346" i="50" s="1"/>
  <c r="O214" i="50"/>
  <c r="O245" i="50" s="1"/>
  <c r="O346" i="50" s="1"/>
  <c r="N214" i="50"/>
  <c r="N245" i="50" s="1"/>
  <c r="N346" i="50" s="1"/>
  <c r="M214" i="50"/>
  <c r="M245" i="50" s="1"/>
  <c r="M346" i="50" s="1"/>
  <c r="L214" i="50"/>
  <c r="L245" i="50" s="1"/>
  <c r="L346" i="50" s="1"/>
  <c r="K214" i="50"/>
  <c r="K245" i="50" s="1"/>
  <c r="K346" i="50" s="1"/>
  <c r="J214" i="50"/>
  <c r="J245" i="50" s="1"/>
  <c r="J346" i="50" s="1"/>
  <c r="I214" i="50"/>
  <c r="I245" i="50" s="1"/>
  <c r="I346" i="50" s="1"/>
  <c r="H214" i="50"/>
  <c r="G214" i="50"/>
  <c r="F214" i="50"/>
  <c r="F245" i="50" s="1"/>
  <c r="E214" i="50"/>
  <c r="E245" i="50" s="1"/>
  <c r="AB213" i="50"/>
  <c r="AB244" i="50" s="1"/>
  <c r="AA213" i="50"/>
  <c r="Z213" i="50"/>
  <c r="Z244" i="50" s="1"/>
  <c r="Y213" i="50"/>
  <c r="P213" i="50"/>
  <c r="P244" i="50" s="1"/>
  <c r="P345" i="50" s="1"/>
  <c r="O213" i="50"/>
  <c r="O244" i="50" s="1"/>
  <c r="O345" i="50" s="1"/>
  <c r="AB212" i="50"/>
  <c r="AB243" i="50" s="1"/>
  <c r="AA212" i="50"/>
  <c r="Z212" i="50"/>
  <c r="Z243" i="50" s="1"/>
  <c r="W212" i="50"/>
  <c r="W243" i="50" s="1"/>
  <c r="V212" i="50"/>
  <c r="V243" i="50" s="1"/>
  <c r="U212" i="50"/>
  <c r="U243" i="50" s="1"/>
  <c r="T212" i="50"/>
  <c r="T243" i="50" s="1"/>
  <c r="T312" i="50" s="1"/>
  <c r="S212" i="50"/>
  <c r="S243" i="50" s="1"/>
  <c r="R212" i="50"/>
  <c r="R243" i="50" s="1"/>
  <c r="R312" i="50" s="1"/>
  <c r="Q212" i="50"/>
  <c r="Q243" i="50" s="1"/>
  <c r="Q344" i="50" s="1"/>
  <c r="P212" i="50"/>
  <c r="P243" i="50" s="1"/>
  <c r="P344" i="50" s="1"/>
  <c r="O212" i="50"/>
  <c r="O243" i="50" s="1"/>
  <c r="O344" i="50" s="1"/>
  <c r="N212" i="50"/>
  <c r="N243" i="50" s="1"/>
  <c r="N344" i="50" s="1"/>
  <c r="M212" i="50"/>
  <c r="M243" i="50" s="1"/>
  <c r="M344" i="50" s="1"/>
  <c r="L212" i="50"/>
  <c r="L243" i="50" s="1"/>
  <c r="L344" i="50" s="1"/>
  <c r="K212" i="50"/>
  <c r="K243" i="50" s="1"/>
  <c r="K344" i="50" s="1"/>
  <c r="J212" i="50"/>
  <c r="J243" i="50" s="1"/>
  <c r="J344" i="50" s="1"/>
  <c r="I212" i="50"/>
  <c r="I243" i="50" s="1"/>
  <c r="I344" i="50" s="1"/>
  <c r="H212" i="50"/>
  <c r="G212" i="50"/>
  <c r="F212" i="50"/>
  <c r="F243" i="50" s="1"/>
  <c r="F345" i="50" s="1"/>
  <c r="E212" i="50"/>
  <c r="E243" i="50" s="1"/>
  <c r="E345" i="50" s="1"/>
  <c r="AB211" i="50"/>
  <c r="AB242" i="50" s="1"/>
  <c r="AA211" i="50"/>
  <c r="Z211" i="50"/>
  <c r="Z242" i="50" s="1"/>
  <c r="Z343" i="50" s="1"/>
  <c r="W211" i="50"/>
  <c r="W242" i="50" s="1"/>
  <c r="V211" i="50"/>
  <c r="V242" i="50" s="1"/>
  <c r="U211" i="50"/>
  <c r="U242" i="50" s="1"/>
  <c r="T211" i="50"/>
  <c r="T242" i="50" s="1"/>
  <c r="T311" i="50" s="1"/>
  <c r="S211" i="50"/>
  <c r="S242" i="50" s="1"/>
  <c r="S343" i="50" s="1"/>
  <c r="R211" i="50"/>
  <c r="R242" i="50" s="1"/>
  <c r="Q211" i="50"/>
  <c r="Q242" i="50" s="1"/>
  <c r="P211" i="50"/>
  <c r="P242" i="50" s="1"/>
  <c r="P343" i="50" s="1"/>
  <c r="O211" i="50"/>
  <c r="O242" i="50" s="1"/>
  <c r="O343" i="50" s="1"/>
  <c r="N211" i="50"/>
  <c r="N242" i="50" s="1"/>
  <c r="N343" i="50" s="1"/>
  <c r="M211" i="50"/>
  <c r="M242" i="50" s="1"/>
  <c r="M343" i="50" s="1"/>
  <c r="L211" i="50"/>
  <c r="L242" i="50" s="1"/>
  <c r="L343" i="50" s="1"/>
  <c r="K211" i="50"/>
  <c r="K242" i="50" s="1"/>
  <c r="K343" i="50" s="1"/>
  <c r="J211" i="50"/>
  <c r="J242" i="50" s="1"/>
  <c r="J343" i="50" s="1"/>
  <c r="I211" i="50"/>
  <c r="I242" i="50" s="1"/>
  <c r="I343" i="50" s="1"/>
  <c r="H211" i="50"/>
  <c r="G211" i="50"/>
  <c r="F211" i="50"/>
  <c r="F242" i="50" s="1"/>
  <c r="F344" i="50" s="1"/>
  <c r="E211" i="50"/>
  <c r="E242" i="50" s="1"/>
  <c r="E344" i="50" s="1"/>
  <c r="AA210" i="50"/>
  <c r="Y210" i="50"/>
  <c r="S210" i="50"/>
  <c r="S241" i="50" s="1"/>
  <c r="S310" i="50" s="1"/>
  <c r="R210" i="50"/>
  <c r="R241" i="50" s="1"/>
  <c r="R310" i="50" s="1"/>
  <c r="Q210" i="50"/>
  <c r="Q241" i="50" s="1"/>
  <c r="Q310" i="50" s="1"/>
  <c r="P210" i="50"/>
  <c r="P241" i="50" s="1"/>
  <c r="O210" i="50"/>
  <c r="O241" i="50" s="1"/>
  <c r="N210" i="50"/>
  <c r="N241" i="50" s="1"/>
  <c r="M210" i="50"/>
  <c r="M241" i="50" s="1"/>
  <c r="L210" i="50"/>
  <c r="L241" i="50" s="1"/>
  <c r="K210" i="50"/>
  <c r="K241" i="50" s="1"/>
  <c r="AA209" i="50"/>
  <c r="Y209" i="50"/>
  <c r="X209" i="50"/>
  <c r="AA208" i="50"/>
  <c r="Z208" i="50"/>
  <c r="Z239" i="50" s="1"/>
  <c r="Z341" i="50" s="1"/>
  <c r="W208" i="50"/>
  <c r="W239" i="50" s="1"/>
  <c r="V208" i="50"/>
  <c r="V239" i="50" s="1"/>
  <c r="V341" i="50" s="1"/>
  <c r="U208" i="50"/>
  <c r="U239" i="50" s="1"/>
  <c r="T208" i="50"/>
  <c r="T239" i="50" s="1"/>
  <c r="T308" i="50" s="1"/>
  <c r="S208" i="50"/>
  <c r="S239" i="50" s="1"/>
  <c r="R208" i="50"/>
  <c r="R239" i="50" s="1"/>
  <c r="Q208" i="50"/>
  <c r="Q239" i="50" s="1"/>
  <c r="Q341" i="50" s="1"/>
  <c r="P208" i="50"/>
  <c r="P239" i="50" s="1"/>
  <c r="P341" i="50" s="1"/>
  <c r="O208" i="50"/>
  <c r="O239" i="50" s="1"/>
  <c r="O341" i="50" s="1"/>
  <c r="N208" i="50"/>
  <c r="N239" i="50" s="1"/>
  <c r="N341" i="50" s="1"/>
  <c r="M208" i="50"/>
  <c r="M239" i="50" s="1"/>
  <c r="M341" i="50" s="1"/>
  <c r="L208" i="50"/>
  <c r="L239" i="50" s="1"/>
  <c r="L341" i="50" s="1"/>
  <c r="K208" i="50"/>
  <c r="K239" i="50" s="1"/>
  <c r="K341" i="50" s="1"/>
  <c r="AL207" i="50"/>
  <c r="AL238" i="50" s="1"/>
  <c r="AK207" i="50"/>
  <c r="AK238" i="50" s="1"/>
  <c r="AJ207" i="50"/>
  <c r="AJ238" i="50" s="1"/>
  <c r="AI207" i="50"/>
  <c r="AI238" i="50" s="1"/>
  <c r="AH207" i="50"/>
  <c r="AH238" i="50" s="1"/>
  <c r="AG207" i="50"/>
  <c r="AG238" i="50" s="1"/>
  <c r="AF207" i="50"/>
  <c r="AF238" i="50" s="1"/>
  <c r="AE207" i="50"/>
  <c r="AE238" i="50" s="1"/>
  <c r="AD207" i="50"/>
  <c r="AD238" i="50" s="1"/>
  <c r="AC207" i="50"/>
  <c r="AC238" i="50" s="1"/>
  <c r="AB207" i="50"/>
  <c r="AB238" i="50" s="1"/>
  <c r="AB307" i="50" s="1"/>
  <c r="AA207" i="50"/>
  <c r="Y207" i="50"/>
  <c r="X207" i="50"/>
  <c r="W207" i="50"/>
  <c r="W238" i="50" s="1"/>
  <c r="W307" i="50" s="1"/>
  <c r="V207" i="50"/>
  <c r="V238" i="50" s="1"/>
  <c r="V307" i="50" s="1"/>
  <c r="U207" i="50"/>
  <c r="U238" i="50" s="1"/>
  <c r="U307" i="50" s="1"/>
  <c r="T207" i="50"/>
  <c r="T238" i="50" s="1"/>
  <c r="T307" i="50" s="1"/>
  <c r="S207" i="50"/>
  <c r="S238" i="50" s="1"/>
  <c r="S307" i="50" s="1"/>
  <c r="R207" i="50"/>
  <c r="R238" i="50" s="1"/>
  <c r="R307" i="50" s="1"/>
  <c r="Q207" i="50"/>
  <c r="Q238" i="50" s="1"/>
  <c r="Q307" i="50" s="1"/>
  <c r="P207" i="50"/>
  <c r="P238" i="50" s="1"/>
  <c r="O207" i="50"/>
  <c r="O238" i="50" s="1"/>
  <c r="N207" i="50"/>
  <c r="N238" i="50" s="1"/>
  <c r="M207" i="50"/>
  <c r="M238" i="50" s="1"/>
  <c r="AA206" i="50"/>
  <c r="S206" i="50"/>
  <c r="S237" i="50" s="1"/>
  <c r="S306" i="50" s="1"/>
  <c r="R206" i="50"/>
  <c r="R237" i="50" s="1"/>
  <c r="R306" i="50" s="1"/>
  <c r="Q206" i="50"/>
  <c r="Q237" i="50" s="1"/>
  <c r="Q306" i="50" s="1"/>
  <c r="P206" i="50"/>
  <c r="P237" i="50" s="1"/>
  <c r="O206" i="50"/>
  <c r="O237" i="50" s="1"/>
  <c r="AB205" i="50"/>
  <c r="AB236" i="50" s="1"/>
  <c r="AA205" i="50"/>
  <c r="Z205" i="50"/>
  <c r="Z236" i="50" s="1"/>
  <c r="Y205" i="50"/>
  <c r="S205" i="50"/>
  <c r="S236" i="50" s="1"/>
  <c r="S305" i="50" s="1"/>
  <c r="R205" i="50"/>
  <c r="R236" i="50" s="1"/>
  <c r="R305" i="50" s="1"/>
  <c r="Q205" i="50"/>
  <c r="Q236" i="50" s="1"/>
  <c r="Q305" i="50" s="1"/>
  <c r="P205" i="50"/>
  <c r="P236" i="50" s="1"/>
  <c r="O205" i="50"/>
  <c r="O236" i="50" s="1"/>
  <c r="AB204" i="50"/>
  <c r="AB235" i="50" s="1"/>
  <c r="AA204" i="50"/>
  <c r="Z204" i="50"/>
  <c r="Z235" i="50" s="1"/>
  <c r="W204" i="50"/>
  <c r="W235" i="50" s="1"/>
  <c r="V204" i="50"/>
  <c r="V235" i="50" s="1"/>
  <c r="U204" i="50"/>
  <c r="U235" i="50" s="1"/>
  <c r="T204" i="50"/>
  <c r="T235" i="50" s="1"/>
  <c r="T304" i="50" s="1"/>
  <c r="S204" i="50"/>
  <c r="S235" i="50" s="1"/>
  <c r="R204" i="50"/>
  <c r="R235" i="50" s="1"/>
  <c r="Q204" i="50"/>
  <c r="Q235" i="50" s="1"/>
  <c r="P204" i="50"/>
  <c r="P235" i="50" s="1"/>
  <c r="P337" i="50" s="1"/>
  <c r="O204" i="50"/>
  <c r="O235" i="50" s="1"/>
  <c r="O337" i="50" s="1"/>
  <c r="N204" i="50"/>
  <c r="N235" i="50" s="1"/>
  <c r="N337" i="50" s="1"/>
  <c r="M204" i="50"/>
  <c r="M235" i="50" s="1"/>
  <c r="M337" i="50" s="1"/>
  <c r="L204" i="50"/>
  <c r="L235" i="50" s="1"/>
  <c r="L337" i="50" s="1"/>
  <c r="K204" i="50"/>
  <c r="K235" i="50" s="1"/>
  <c r="K337" i="50" s="1"/>
  <c r="J204" i="50"/>
  <c r="J235" i="50" s="1"/>
  <c r="J337" i="50" s="1"/>
  <c r="I204" i="50"/>
  <c r="I235" i="50" s="1"/>
  <c r="H204" i="50"/>
  <c r="H235" i="50" s="1"/>
  <c r="G204" i="50"/>
  <c r="G235" i="50" s="1"/>
  <c r="F204" i="50"/>
  <c r="F235" i="50" s="1"/>
  <c r="AB203" i="50"/>
  <c r="AB234" i="50" s="1"/>
  <c r="AA203" i="50"/>
  <c r="Z203" i="50"/>
  <c r="Z234" i="50" s="1"/>
  <c r="W203" i="50"/>
  <c r="W234" i="50" s="1"/>
  <c r="W336" i="50" s="1"/>
  <c r="V203" i="50"/>
  <c r="V234" i="50" s="1"/>
  <c r="U203" i="50"/>
  <c r="U234" i="50" s="1"/>
  <c r="T203" i="50"/>
  <c r="T234" i="50" s="1"/>
  <c r="P203" i="50"/>
  <c r="P234" i="50" s="1"/>
  <c r="P336" i="50" s="1"/>
  <c r="O203" i="50"/>
  <c r="O234" i="50" s="1"/>
  <c r="O336" i="50" s="1"/>
  <c r="N203" i="50"/>
  <c r="N234" i="50" s="1"/>
  <c r="N336" i="50" s="1"/>
  <c r="M203" i="50"/>
  <c r="M234" i="50" s="1"/>
  <c r="M336" i="50" s="1"/>
  <c r="L203" i="50"/>
  <c r="L234" i="50" s="1"/>
  <c r="K203" i="50"/>
  <c r="K234" i="50" s="1"/>
  <c r="J203" i="50"/>
  <c r="J234" i="50" s="1"/>
  <c r="I203" i="50"/>
  <c r="I234" i="50" s="1"/>
  <c r="H203" i="50"/>
  <c r="H234" i="50" s="1"/>
  <c r="G203" i="50"/>
  <c r="G234" i="50" s="1"/>
  <c r="G337" i="50" s="1"/>
  <c r="F203" i="50"/>
  <c r="F234" i="50" s="1"/>
  <c r="F337" i="50" s="1"/>
  <c r="AB202" i="50"/>
  <c r="AB233" i="50" s="1"/>
  <c r="AB302" i="50" s="1"/>
  <c r="AA202" i="50"/>
  <c r="Z202" i="50"/>
  <c r="Z233" i="50" s="1"/>
  <c r="W202" i="50"/>
  <c r="W233" i="50" s="1"/>
  <c r="V202" i="50"/>
  <c r="V233" i="50" s="1"/>
  <c r="U202" i="50"/>
  <c r="U233" i="50" s="1"/>
  <c r="U335" i="50" s="1"/>
  <c r="T202" i="50"/>
  <c r="P202" i="50"/>
  <c r="P233" i="50" s="1"/>
  <c r="P335" i="50" s="1"/>
  <c r="O202" i="50"/>
  <c r="O233" i="50" s="1"/>
  <c r="O50" i="50" s="1"/>
  <c r="O60" i="50" s="1"/>
  <c r="M202" i="50"/>
  <c r="M233" i="50" s="1"/>
  <c r="J202" i="50"/>
  <c r="J233" i="50" s="1"/>
  <c r="I202" i="50"/>
  <c r="I233" i="50" s="1"/>
  <c r="H202" i="50"/>
  <c r="H233" i="50" s="1"/>
  <c r="G202" i="50"/>
  <c r="G233" i="50" s="1"/>
  <c r="G336" i="50" s="1"/>
  <c r="F202" i="50"/>
  <c r="F233" i="50" s="1"/>
  <c r="F336" i="50" s="1"/>
  <c r="AB201" i="50"/>
  <c r="AB232" i="50" s="1"/>
  <c r="AA201" i="50"/>
  <c r="Z201" i="50"/>
  <c r="Z232" i="50" s="1"/>
  <c r="Y201" i="50"/>
  <c r="X201" i="50"/>
  <c r="W201" i="50"/>
  <c r="W232" i="50" s="1"/>
  <c r="V201" i="50"/>
  <c r="V232" i="50" s="1"/>
  <c r="U201" i="50"/>
  <c r="U232" i="50" s="1"/>
  <c r="U334" i="50" s="1"/>
  <c r="T201" i="50"/>
  <c r="T232" i="50" s="1"/>
  <c r="T301" i="50" s="1"/>
  <c r="S201" i="50"/>
  <c r="S232" i="50" s="1"/>
  <c r="R201" i="50"/>
  <c r="R232" i="50" s="1"/>
  <c r="Q201" i="50"/>
  <c r="Q232" i="50" s="1"/>
  <c r="P201" i="50"/>
  <c r="P232" i="50" s="1"/>
  <c r="P334" i="50" s="1"/>
  <c r="O201" i="50"/>
  <c r="O232" i="50" s="1"/>
  <c r="O334" i="50" s="1"/>
  <c r="N201" i="50"/>
  <c r="N232" i="50" s="1"/>
  <c r="N334" i="50" s="1"/>
  <c r="M201" i="50"/>
  <c r="M232" i="50" s="1"/>
  <c r="M334" i="50" s="1"/>
  <c r="L201" i="50"/>
  <c r="L232" i="50" s="1"/>
  <c r="L334" i="50" s="1"/>
  <c r="K201" i="50"/>
  <c r="K232" i="50" s="1"/>
  <c r="K334" i="50" s="1"/>
  <c r="J201" i="50"/>
  <c r="J232" i="50" s="1"/>
  <c r="J334" i="50" s="1"/>
  <c r="I201" i="50"/>
  <c r="I232" i="50" s="1"/>
  <c r="H201" i="50"/>
  <c r="H232" i="50" s="1"/>
  <c r="G201" i="50"/>
  <c r="G232" i="50" s="1"/>
  <c r="G335" i="50" s="1"/>
  <c r="F201" i="50"/>
  <c r="F232" i="50" s="1"/>
  <c r="F335" i="50" s="1"/>
  <c r="E201" i="50"/>
  <c r="E232" i="50" s="1"/>
  <c r="E335" i="50" s="1"/>
  <c r="AB200" i="50"/>
  <c r="AB231" i="50" s="1"/>
  <c r="AA200" i="50"/>
  <c r="Z200" i="50"/>
  <c r="Z231" i="50" s="1"/>
  <c r="W200" i="50"/>
  <c r="W231" i="50" s="1"/>
  <c r="W333" i="50" s="1"/>
  <c r="V200" i="50"/>
  <c r="V231" i="50" s="1"/>
  <c r="U200" i="50"/>
  <c r="U231" i="50" s="1"/>
  <c r="T200" i="50"/>
  <c r="T231" i="50" s="1"/>
  <c r="T300" i="50" s="1"/>
  <c r="S200" i="50"/>
  <c r="S231" i="50" s="1"/>
  <c r="S333" i="50" s="1"/>
  <c r="R200" i="50"/>
  <c r="R231" i="50" s="1"/>
  <c r="Q200" i="50"/>
  <c r="Q231" i="50" s="1"/>
  <c r="P200" i="50"/>
  <c r="P231" i="50" s="1"/>
  <c r="P333" i="50" s="1"/>
  <c r="O200" i="50"/>
  <c r="O231" i="50" s="1"/>
  <c r="N200" i="50"/>
  <c r="N231" i="50" s="1"/>
  <c r="N333" i="50" s="1"/>
  <c r="M200" i="50"/>
  <c r="M231" i="50" s="1"/>
  <c r="M333" i="50" s="1"/>
  <c r="L200" i="50"/>
  <c r="L231" i="50" s="1"/>
  <c r="K200" i="50"/>
  <c r="K231" i="50" s="1"/>
  <c r="K333" i="50" s="1"/>
  <c r="J200" i="50"/>
  <c r="J231" i="50" s="1"/>
  <c r="J300" i="50" s="1"/>
  <c r="J324" i="50" s="1"/>
  <c r="I200" i="50"/>
  <c r="I231" i="50" s="1"/>
  <c r="H200" i="50"/>
  <c r="G200" i="50"/>
  <c r="F200" i="50"/>
  <c r="F231" i="50" s="1"/>
  <c r="F334" i="50" s="1"/>
  <c r="E200" i="50"/>
  <c r="E231" i="50" s="1"/>
  <c r="E334" i="50" s="1"/>
  <c r="AB199" i="50"/>
  <c r="AB230" i="50" s="1"/>
  <c r="AA199" i="50"/>
  <c r="Z199" i="50"/>
  <c r="Z230" i="50" s="1"/>
  <c r="W199" i="50"/>
  <c r="W230" i="50" s="1"/>
  <c r="V199" i="50"/>
  <c r="V230" i="50" s="1"/>
  <c r="V299" i="50" s="1"/>
  <c r="U199" i="50"/>
  <c r="U230" i="50" s="1"/>
  <c r="T199" i="50"/>
  <c r="S199" i="50"/>
  <c r="S230" i="50" s="1"/>
  <c r="S332" i="50" s="1"/>
  <c r="R199" i="50"/>
  <c r="R230" i="50" s="1"/>
  <c r="Q199" i="50"/>
  <c r="Q230" i="50" s="1"/>
  <c r="P199" i="50"/>
  <c r="P230" i="50" s="1"/>
  <c r="P332" i="50" s="1"/>
  <c r="O199" i="50"/>
  <c r="O230" i="50" s="1"/>
  <c r="O332" i="50" s="1"/>
  <c r="N199" i="50"/>
  <c r="N230" i="50" s="1"/>
  <c r="N332" i="50" s="1"/>
  <c r="M199" i="50"/>
  <c r="M230" i="50" s="1"/>
  <c r="M332" i="50" s="1"/>
  <c r="L199" i="50"/>
  <c r="L230" i="50" s="1"/>
  <c r="L332" i="50" s="1"/>
  <c r="K199" i="50"/>
  <c r="K230" i="50" s="1"/>
  <c r="K332" i="50" s="1"/>
  <c r="J199" i="50"/>
  <c r="J230" i="50" s="1"/>
  <c r="J332" i="50" s="1"/>
  <c r="I199" i="50"/>
  <c r="I230" i="50" s="1"/>
  <c r="I332" i="50" s="1"/>
  <c r="H199" i="50"/>
  <c r="G199" i="50"/>
  <c r="F199" i="50"/>
  <c r="F230" i="50" s="1"/>
  <c r="F333" i="50" s="1"/>
  <c r="E199" i="50"/>
  <c r="E230" i="50" s="1"/>
  <c r="E333" i="50" s="1"/>
  <c r="AB198" i="50"/>
  <c r="AB229" i="50" s="1"/>
  <c r="AA198" i="50"/>
  <c r="Z198" i="50"/>
  <c r="Z229" i="50" s="1"/>
  <c r="W198" i="50"/>
  <c r="W229" i="50" s="1"/>
  <c r="W331" i="50" s="1"/>
  <c r="V198" i="50"/>
  <c r="V229" i="50" s="1"/>
  <c r="U198" i="50"/>
  <c r="U229" i="50" s="1"/>
  <c r="T198" i="50"/>
  <c r="T229" i="50" s="1"/>
  <c r="S198" i="50"/>
  <c r="S229" i="50" s="1"/>
  <c r="R198" i="50"/>
  <c r="Q198" i="50"/>
  <c r="Q229" i="50" s="1"/>
  <c r="P198" i="50"/>
  <c r="P229" i="50" s="1"/>
  <c r="P331" i="50" s="1"/>
  <c r="O198" i="50"/>
  <c r="O229" i="50" s="1"/>
  <c r="N198" i="50"/>
  <c r="M198" i="50"/>
  <c r="L198" i="50"/>
  <c r="L229" i="50" s="1"/>
  <c r="L331" i="50" s="1"/>
  <c r="K198" i="50"/>
  <c r="K229" i="50" s="1"/>
  <c r="J198" i="50"/>
  <c r="J229" i="50" s="1"/>
  <c r="I198" i="50"/>
  <c r="H198" i="50"/>
  <c r="G198" i="50"/>
  <c r="F198" i="50"/>
  <c r="E198" i="50"/>
  <c r="E229" i="50" s="1"/>
  <c r="X190" i="50"/>
  <c r="X189" i="50"/>
  <c r="X220" i="50" s="1"/>
  <c r="X187" i="50"/>
  <c r="X218" i="50" s="1"/>
  <c r="X186" i="50"/>
  <c r="X185" i="50"/>
  <c r="H162" i="50"/>
  <c r="G162" i="50"/>
  <c r="G254" i="50" s="1"/>
  <c r="Y155" i="50"/>
  <c r="H153" i="50"/>
  <c r="G153" i="50"/>
  <c r="H151" i="50"/>
  <c r="G151" i="50"/>
  <c r="H150" i="50"/>
  <c r="G150" i="50"/>
  <c r="X144" i="50"/>
  <c r="AL142" i="50"/>
  <c r="AK142" i="50"/>
  <c r="AJ142" i="50"/>
  <c r="AI142" i="50"/>
  <c r="AH142" i="50"/>
  <c r="H139" i="50"/>
  <c r="G139" i="50"/>
  <c r="G231" i="50" s="1"/>
  <c r="G334" i="50" s="1"/>
  <c r="H138" i="50"/>
  <c r="H230" i="50" s="1"/>
  <c r="H332" i="50" s="1"/>
  <c r="G138" i="50"/>
  <c r="G230" i="50" s="1"/>
  <c r="G333" i="50" s="1"/>
  <c r="H137" i="50"/>
  <c r="H229" i="50" s="1"/>
  <c r="G137" i="50"/>
  <c r="W131" i="50"/>
  <c r="S131" i="50"/>
  <c r="Q131" i="50"/>
  <c r="P131" i="50"/>
  <c r="O131" i="50"/>
  <c r="N131" i="50"/>
  <c r="M131" i="50"/>
  <c r="L131" i="50"/>
  <c r="K131" i="50"/>
  <c r="J131" i="50"/>
  <c r="I131" i="50"/>
  <c r="I98" i="50" s="1"/>
  <c r="H131" i="50"/>
  <c r="G131" i="50"/>
  <c r="Z130" i="50"/>
  <c r="T130" i="50"/>
  <c r="P130" i="50"/>
  <c r="O130" i="50"/>
  <c r="N130" i="50"/>
  <c r="N132" i="50" s="1"/>
  <c r="M130" i="50"/>
  <c r="L130" i="50"/>
  <c r="L132" i="50" s="1"/>
  <c r="K130" i="50"/>
  <c r="J130" i="50"/>
  <c r="J7" i="50" s="1"/>
  <c r="I130" i="50"/>
  <c r="H130" i="50"/>
  <c r="H132" i="50" s="1"/>
  <c r="G130" i="50"/>
  <c r="F130" i="50"/>
  <c r="E130" i="50"/>
  <c r="E132" i="50" s="1"/>
  <c r="AA128" i="50"/>
  <c r="AA253" i="50" s="1"/>
  <c r="W128" i="50"/>
  <c r="S128" i="50"/>
  <c r="S98" i="50" s="1"/>
  <c r="Q128" i="50"/>
  <c r="R128" i="50" s="1"/>
  <c r="U128" i="50" s="1"/>
  <c r="AC127" i="50"/>
  <c r="X127" i="50"/>
  <c r="Q127" i="50"/>
  <c r="AC126" i="50"/>
  <c r="AC125" i="50"/>
  <c r="AC124" i="50"/>
  <c r="AD124" i="50" s="1"/>
  <c r="AC123" i="50"/>
  <c r="Y123" i="50"/>
  <c r="V123" i="50"/>
  <c r="V90" i="50" s="1"/>
  <c r="U123" i="50"/>
  <c r="R123" i="50"/>
  <c r="AC122" i="50"/>
  <c r="AD122" i="50" s="1"/>
  <c r="AE122" i="50" s="1"/>
  <c r="Y122" i="50"/>
  <c r="Y89" i="50" s="1"/>
  <c r="V122" i="50"/>
  <c r="U122" i="50"/>
  <c r="AC121" i="50"/>
  <c r="AC215" i="50" s="1"/>
  <c r="AC120" i="50"/>
  <c r="AC119" i="50"/>
  <c r="AC213" i="50" s="1"/>
  <c r="AC118" i="50"/>
  <c r="AC117" i="50"/>
  <c r="AB116" i="50"/>
  <c r="AB210" i="50" s="1"/>
  <c r="AB115" i="50"/>
  <c r="AB114" i="50"/>
  <c r="AB208" i="50" s="1"/>
  <c r="AB112" i="50"/>
  <c r="AC112" i="50" s="1"/>
  <c r="AD112" i="50" s="1"/>
  <c r="AC111" i="50"/>
  <c r="X111" i="50"/>
  <c r="Y78" i="50" s="1"/>
  <c r="AC110" i="50"/>
  <c r="AC109" i="50"/>
  <c r="AD109" i="50" s="1"/>
  <c r="AE109" i="50" s="1"/>
  <c r="S109" i="50"/>
  <c r="W76" i="50" s="1"/>
  <c r="R109" i="50"/>
  <c r="U76" i="50" s="1"/>
  <c r="Q109" i="50"/>
  <c r="AC108" i="50"/>
  <c r="AC202" i="50" s="1"/>
  <c r="S108" i="50"/>
  <c r="W75" i="50" s="1"/>
  <c r="R108" i="50"/>
  <c r="Q108" i="50"/>
  <c r="Q202" i="50" s="1"/>
  <c r="AC107" i="50"/>
  <c r="Y107" i="50"/>
  <c r="X107" i="50"/>
  <c r="Z74" i="50" s="1"/>
  <c r="AC106" i="50"/>
  <c r="AC200" i="50" s="1"/>
  <c r="AC105" i="50"/>
  <c r="AC199" i="50" s="1"/>
  <c r="AC104" i="50"/>
  <c r="V99" i="50"/>
  <c r="U99" i="50"/>
  <c r="AB98" i="50"/>
  <c r="X98" i="50"/>
  <c r="M98" i="50"/>
  <c r="AB97" i="50"/>
  <c r="AA97" i="50"/>
  <c r="X97" i="50"/>
  <c r="W97" i="50"/>
  <c r="S97" i="50"/>
  <c r="AB95" i="50"/>
  <c r="Z95" i="50"/>
  <c r="Y95" i="50"/>
  <c r="X95" i="50"/>
  <c r="AB94" i="50"/>
  <c r="AA94" i="50"/>
  <c r="W94" i="50"/>
  <c r="V94" i="50"/>
  <c r="U94" i="50"/>
  <c r="T94" i="50"/>
  <c r="S94" i="50"/>
  <c r="R94" i="50"/>
  <c r="O94" i="50"/>
  <c r="M94" i="50"/>
  <c r="L94" i="50"/>
  <c r="K94" i="50"/>
  <c r="J94" i="50"/>
  <c r="I94" i="50"/>
  <c r="H94" i="50"/>
  <c r="G94" i="50"/>
  <c r="F94" i="50"/>
  <c r="AB93" i="50"/>
  <c r="AA93" i="50"/>
  <c r="Z93" i="50"/>
  <c r="Y93" i="50"/>
  <c r="X93" i="50"/>
  <c r="AA92" i="50"/>
  <c r="Y92" i="50"/>
  <c r="AB91" i="50"/>
  <c r="AA91" i="50"/>
  <c r="Z91" i="50"/>
  <c r="Y91" i="50"/>
  <c r="AB90" i="50"/>
  <c r="AA90" i="50"/>
  <c r="Z90" i="50"/>
  <c r="X90" i="50"/>
  <c r="W90" i="50"/>
  <c r="T90" i="50"/>
  <c r="S90" i="50"/>
  <c r="AB89" i="50"/>
  <c r="AA89" i="50"/>
  <c r="Z89" i="50"/>
  <c r="X89" i="50"/>
  <c r="W89" i="50"/>
  <c r="T89" i="50"/>
  <c r="S89" i="50"/>
  <c r="R89" i="50"/>
  <c r="AB88" i="50"/>
  <c r="AA88" i="50"/>
  <c r="Z88" i="50"/>
  <c r="Y88" i="50"/>
  <c r="U88" i="50"/>
  <c r="T88" i="50"/>
  <c r="S88" i="50"/>
  <c r="R88" i="50"/>
  <c r="AB87" i="50"/>
  <c r="AA87" i="50"/>
  <c r="Z87" i="50"/>
  <c r="Y87" i="50"/>
  <c r="X87" i="50"/>
  <c r="W87" i="50"/>
  <c r="V87" i="50"/>
  <c r="U87" i="50"/>
  <c r="T87" i="50"/>
  <c r="S87" i="50"/>
  <c r="R87" i="50"/>
  <c r="O87" i="50"/>
  <c r="M87" i="50"/>
  <c r="L87" i="50"/>
  <c r="K87" i="50"/>
  <c r="J87" i="50"/>
  <c r="I87" i="50"/>
  <c r="H87" i="50"/>
  <c r="G87" i="50"/>
  <c r="F87" i="50"/>
  <c r="AB86" i="50"/>
  <c r="AA86" i="50"/>
  <c r="Z86" i="50"/>
  <c r="Y86" i="50"/>
  <c r="U86" i="50"/>
  <c r="T86" i="50"/>
  <c r="S86" i="50"/>
  <c r="AB85" i="50"/>
  <c r="AA85" i="50"/>
  <c r="Z85" i="50"/>
  <c r="Y85" i="50"/>
  <c r="X85" i="50"/>
  <c r="W85" i="50"/>
  <c r="V85" i="50"/>
  <c r="U85" i="50"/>
  <c r="T85" i="50"/>
  <c r="S85" i="50"/>
  <c r="R85" i="50"/>
  <c r="O85" i="50"/>
  <c r="M85" i="50"/>
  <c r="L85" i="50"/>
  <c r="K85" i="50"/>
  <c r="J85" i="50"/>
  <c r="I85" i="50"/>
  <c r="H85" i="50"/>
  <c r="G85" i="50"/>
  <c r="F85" i="50"/>
  <c r="AB84" i="50"/>
  <c r="AA84" i="50"/>
  <c r="Z84" i="50"/>
  <c r="Y84" i="50"/>
  <c r="X84" i="50"/>
  <c r="W84" i="50"/>
  <c r="V84" i="50"/>
  <c r="U84" i="50"/>
  <c r="T84" i="50"/>
  <c r="S84" i="50"/>
  <c r="R84" i="50"/>
  <c r="O84" i="50"/>
  <c r="M84" i="50"/>
  <c r="L84" i="50"/>
  <c r="K84" i="50"/>
  <c r="J84" i="50"/>
  <c r="I84" i="50"/>
  <c r="H84" i="50"/>
  <c r="G84" i="50"/>
  <c r="F84" i="50"/>
  <c r="U83" i="50"/>
  <c r="T83" i="50"/>
  <c r="S83" i="50"/>
  <c r="AA81" i="50"/>
  <c r="Z81" i="50"/>
  <c r="Y81" i="50"/>
  <c r="X81" i="50"/>
  <c r="W81" i="50"/>
  <c r="V81" i="50"/>
  <c r="U81" i="50"/>
  <c r="T81" i="50"/>
  <c r="S81" i="50"/>
  <c r="R81" i="50"/>
  <c r="O81" i="50"/>
  <c r="W80" i="50"/>
  <c r="V80" i="50"/>
  <c r="U80" i="50"/>
  <c r="T80" i="50"/>
  <c r="S80" i="50"/>
  <c r="O80" i="50"/>
  <c r="W79" i="50"/>
  <c r="V79" i="50"/>
  <c r="U79" i="50"/>
  <c r="T79" i="50"/>
  <c r="S79" i="50"/>
  <c r="AB78" i="50"/>
  <c r="AA78" i="50"/>
  <c r="Z78" i="50"/>
  <c r="W78" i="50"/>
  <c r="V78" i="50"/>
  <c r="U78" i="50"/>
  <c r="T78" i="50"/>
  <c r="S78" i="50"/>
  <c r="AB77" i="50"/>
  <c r="AA77" i="50"/>
  <c r="Z77" i="50"/>
  <c r="Y77" i="50"/>
  <c r="X77" i="50"/>
  <c r="W77" i="50"/>
  <c r="V77" i="50"/>
  <c r="U77" i="50"/>
  <c r="T77" i="50"/>
  <c r="S77" i="50"/>
  <c r="O77" i="50"/>
  <c r="M77" i="50"/>
  <c r="L77" i="50"/>
  <c r="K77" i="50"/>
  <c r="AB76" i="50"/>
  <c r="AA76" i="50"/>
  <c r="Z76" i="50"/>
  <c r="Y76" i="50"/>
  <c r="X76" i="50"/>
  <c r="S76" i="50"/>
  <c r="O76" i="50"/>
  <c r="AB75" i="50"/>
  <c r="AA75" i="50"/>
  <c r="Z75" i="50"/>
  <c r="Y75" i="50"/>
  <c r="X75" i="50"/>
  <c r="T75" i="50"/>
  <c r="AB74" i="50"/>
  <c r="AA74" i="50"/>
  <c r="W74" i="50"/>
  <c r="V74" i="50"/>
  <c r="U74" i="50"/>
  <c r="T74" i="50"/>
  <c r="S74" i="50"/>
  <c r="O74" i="50"/>
  <c r="M74" i="50"/>
  <c r="L74" i="50"/>
  <c r="K74" i="50"/>
  <c r="AB73" i="50"/>
  <c r="AA73" i="50"/>
  <c r="Z73" i="50"/>
  <c r="Y73" i="50"/>
  <c r="X73" i="50"/>
  <c r="W73" i="50"/>
  <c r="V73" i="50"/>
  <c r="U73" i="50"/>
  <c r="T73" i="50"/>
  <c r="S73" i="50"/>
  <c r="R73" i="50"/>
  <c r="O73" i="50"/>
  <c r="M73" i="50"/>
  <c r="L73" i="50"/>
  <c r="K73" i="50"/>
  <c r="J73" i="50"/>
  <c r="I73" i="50"/>
  <c r="H73" i="50"/>
  <c r="G73" i="50"/>
  <c r="F73" i="50"/>
  <c r="AB72" i="50"/>
  <c r="AA72" i="50"/>
  <c r="Z72" i="50"/>
  <c r="Y72" i="50"/>
  <c r="X72" i="50"/>
  <c r="W72" i="50"/>
  <c r="V72" i="50"/>
  <c r="U72" i="50"/>
  <c r="T72" i="50"/>
  <c r="S72" i="50"/>
  <c r="R72" i="50"/>
  <c r="O72" i="50"/>
  <c r="M72" i="50"/>
  <c r="L72" i="50"/>
  <c r="K72" i="50"/>
  <c r="J72" i="50"/>
  <c r="I72" i="50"/>
  <c r="H72" i="50"/>
  <c r="G72" i="50"/>
  <c r="F72" i="50"/>
  <c r="AB71" i="50"/>
  <c r="AA71" i="50"/>
  <c r="Z71" i="50"/>
  <c r="Y71" i="50"/>
  <c r="X71" i="50"/>
  <c r="W71" i="50"/>
  <c r="V71" i="50"/>
  <c r="U71" i="50"/>
  <c r="S71" i="50"/>
  <c r="R71" i="50"/>
  <c r="O71" i="50"/>
  <c r="M71" i="50"/>
  <c r="L71" i="50"/>
  <c r="K71" i="50"/>
  <c r="J71" i="50"/>
  <c r="I71" i="50"/>
  <c r="H71" i="50"/>
  <c r="G71" i="50"/>
  <c r="F71" i="50"/>
  <c r="AL60" i="50"/>
  <c r="AK60" i="50"/>
  <c r="AJ60" i="50"/>
  <c r="AI60" i="50"/>
  <c r="AH60" i="50"/>
  <c r="AG60" i="50"/>
  <c r="AF60" i="50"/>
  <c r="AE60" i="50"/>
  <c r="AD60" i="50"/>
  <c r="AC60" i="50"/>
  <c r="AB60" i="50"/>
  <c r="AA60" i="50"/>
  <c r="Z60" i="50"/>
  <c r="Y60" i="50"/>
  <c r="X60" i="50"/>
  <c r="W60" i="50"/>
  <c r="U60" i="50"/>
  <c r="I60" i="50"/>
  <c r="H60" i="50"/>
  <c r="G60" i="50"/>
  <c r="F60" i="50"/>
  <c r="E60" i="50"/>
  <c r="L59" i="50"/>
  <c r="J59" i="50"/>
  <c r="J60" i="50" s="1"/>
  <c r="V56" i="50"/>
  <c r="V52" i="50"/>
  <c r="V50" i="50"/>
  <c r="L50" i="50"/>
  <c r="U32" i="50"/>
  <c r="U34" i="50" s="1"/>
  <c r="T32" i="50"/>
  <c r="AB30" i="50"/>
  <c r="AA30" i="50"/>
  <c r="AA9" i="52" s="1"/>
  <c r="Z30" i="50"/>
  <c r="AA21" i="50"/>
  <c r="Z21" i="50"/>
  <c r="X21" i="50"/>
  <c r="S16" i="50"/>
  <c r="V16" i="50" s="1"/>
  <c r="R16" i="50"/>
  <c r="U16" i="50" s="1"/>
  <c r="Q16" i="50"/>
  <c r="T16" i="50" s="1"/>
  <c r="W16" i="50" s="1"/>
  <c r="AD15" i="50"/>
  <c r="AE15" i="50" s="1"/>
  <c r="AF15" i="50" s="1"/>
  <c r="AG15" i="50" s="1"/>
  <c r="AH15" i="50" s="1"/>
  <c r="AI15" i="50" s="1"/>
  <c r="AJ15" i="50" s="1"/>
  <c r="AK15" i="50" s="1"/>
  <c r="AL15" i="50" s="1"/>
  <c r="I15" i="50"/>
  <c r="AD13" i="50"/>
  <c r="V13" i="50"/>
  <c r="I13" i="50"/>
  <c r="P12" i="50"/>
  <c r="P106" i="51" s="1"/>
  <c r="O12" i="50"/>
  <c r="O106" i="51" s="1"/>
  <c r="U10" i="50"/>
  <c r="T10" i="50"/>
  <c r="K7" i="50"/>
  <c r="AC11" i="51" l="1"/>
  <c r="W13" i="51"/>
  <c r="Z38" i="51"/>
  <c r="U46" i="51"/>
  <c r="S83" i="51"/>
  <c r="AB9" i="52"/>
  <c r="I13" i="42"/>
  <c r="Z53" i="51"/>
  <c r="F98" i="51"/>
  <c r="S21" i="52"/>
  <c r="U302" i="50"/>
  <c r="X26" i="52"/>
  <c r="S53" i="51"/>
  <c r="AE50" i="51"/>
  <c r="Z9" i="52"/>
  <c r="H13" i="42"/>
  <c r="T13" i="51"/>
  <c r="T8" i="51" s="1"/>
  <c r="AB13" i="51"/>
  <c r="F23" i="41"/>
  <c r="Z345" i="50"/>
  <c r="Z313" i="50"/>
  <c r="AE307" i="50"/>
  <c r="Y349" i="50"/>
  <c r="M7" i="50"/>
  <c r="H242" i="50"/>
  <c r="H343" i="50" s="1"/>
  <c r="AA238" i="50"/>
  <c r="R290" i="50"/>
  <c r="R30" i="50" s="1"/>
  <c r="R9" i="52" s="1"/>
  <c r="AI307" i="50"/>
  <c r="X74" i="50"/>
  <c r="AB206" i="50"/>
  <c r="AC307" i="50"/>
  <c r="E7" i="50"/>
  <c r="E71" i="51" s="1"/>
  <c r="AC116" i="50"/>
  <c r="W98" i="50"/>
  <c r="H98" i="50"/>
  <c r="L98" i="50"/>
  <c r="AD307" i="50"/>
  <c r="X334" i="50"/>
  <c r="V30" i="50"/>
  <c r="V293" i="50" s="1"/>
  <c r="Y324" i="50"/>
  <c r="Z321" i="50"/>
  <c r="Z299" i="50"/>
  <c r="Z332" i="50"/>
  <c r="U344" i="50"/>
  <c r="U312" i="50"/>
  <c r="P132" i="50"/>
  <c r="P7" i="50"/>
  <c r="P70" i="51" s="1"/>
  <c r="U216" i="50"/>
  <c r="U247" i="50" s="1"/>
  <c r="U89" i="50"/>
  <c r="O133" i="50"/>
  <c r="O98" i="50"/>
  <c r="AA221" i="50"/>
  <c r="AA224" i="50" s="1"/>
  <c r="AC230" i="50"/>
  <c r="T305" i="50"/>
  <c r="T52" i="50"/>
  <c r="L7" i="50"/>
  <c r="L71" i="51" s="1"/>
  <c r="AE13" i="50"/>
  <c r="AD105" i="50"/>
  <c r="AD107" i="50"/>
  <c r="AC201" i="50"/>
  <c r="K133" i="50"/>
  <c r="S202" i="50"/>
  <c r="Y232" i="50"/>
  <c r="S293" i="50"/>
  <c r="G7" i="50"/>
  <c r="G70" i="51" s="1"/>
  <c r="O7" i="50"/>
  <c r="O72" i="51" s="1"/>
  <c r="V53" i="50"/>
  <c r="V76" i="50"/>
  <c r="V128" i="50"/>
  <c r="Z98" i="50" s="1"/>
  <c r="L133" i="50"/>
  <c r="H243" i="50"/>
  <c r="H344" i="50" s="1"/>
  <c r="F224" i="50"/>
  <c r="J224" i="50"/>
  <c r="H224" i="50"/>
  <c r="V308" i="50"/>
  <c r="Z311" i="50"/>
  <c r="H7" i="50"/>
  <c r="H71" i="51" s="1"/>
  <c r="L60" i="50"/>
  <c r="T56" i="50"/>
  <c r="Y90" i="50"/>
  <c r="I97" i="50"/>
  <c r="G132" i="50"/>
  <c r="H99" i="50" s="1"/>
  <c r="K132" i="50"/>
  <c r="L99" i="50" s="1"/>
  <c r="O132" i="50"/>
  <c r="O99" i="50" s="1"/>
  <c r="O97" i="50"/>
  <c r="AA130" i="50"/>
  <c r="AA7" i="50" s="1"/>
  <c r="AA72" i="51" s="1"/>
  <c r="G242" i="50"/>
  <c r="G344" i="50" s="1"/>
  <c r="H254" i="50"/>
  <c r="G229" i="50"/>
  <c r="G332" i="50" s="1"/>
  <c r="AA230" i="50"/>
  <c r="AA332" i="50" s="1"/>
  <c r="R316" i="50"/>
  <c r="Y185" i="50"/>
  <c r="AC216" i="50"/>
  <c r="AC247" i="50" s="1"/>
  <c r="AC316" i="50" s="1"/>
  <c r="V217" i="50"/>
  <c r="V248" i="50" s="1"/>
  <c r="G224" i="50"/>
  <c r="W303" i="50"/>
  <c r="Z308" i="50"/>
  <c r="W346" i="50"/>
  <c r="W348" i="50"/>
  <c r="H231" i="50"/>
  <c r="H333" i="50" s="1"/>
  <c r="H245" i="50"/>
  <c r="H346" i="50" s="1"/>
  <c r="Y186" i="50"/>
  <c r="W30" i="50"/>
  <c r="W293" i="50" s="1"/>
  <c r="AA31" i="50"/>
  <c r="F26" i="41"/>
  <c r="M35" i="52"/>
  <c r="J27" i="52"/>
  <c r="Y35" i="52"/>
  <c r="AA35" i="52"/>
  <c r="T44" i="52"/>
  <c r="G35" i="52"/>
  <c r="AA14" i="52"/>
  <c r="L35" i="52"/>
  <c r="P22" i="51"/>
  <c r="K27" i="52"/>
  <c r="J35" i="52"/>
  <c r="F35" i="52"/>
  <c r="N14" i="52"/>
  <c r="K14" i="52"/>
  <c r="T14" i="52"/>
  <c r="F44" i="52"/>
  <c r="S14" i="52"/>
  <c r="O27" i="52"/>
  <c r="H35" i="52"/>
  <c r="I35" i="52"/>
  <c r="Y14" i="52"/>
  <c r="AB14" i="52"/>
  <c r="L14" i="52"/>
  <c r="E255" i="50"/>
  <c r="E9" i="50" s="1"/>
  <c r="E332" i="50"/>
  <c r="AC348" i="50"/>
  <c r="U331" i="50"/>
  <c r="U298" i="50"/>
  <c r="W308" i="50"/>
  <c r="W341" i="50"/>
  <c r="O71" i="51"/>
  <c r="O70" i="51"/>
  <c r="T18" i="50"/>
  <c r="T24" i="50" s="1"/>
  <c r="AD201" i="50"/>
  <c r="AC205" i="50"/>
  <c r="AC236" i="50" s="1"/>
  <c r="AD111" i="50"/>
  <c r="AD118" i="50"/>
  <c r="AD218" i="50"/>
  <c r="AD249" i="50" s="1"/>
  <c r="AD318" i="50" s="1"/>
  <c r="F131" i="50"/>
  <c r="F97" i="50"/>
  <c r="J132" i="50"/>
  <c r="J97" i="50"/>
  <c r="V331" i="50"/>
  <c r="V298" i="50"/>
  <c r="AB299" i="50"/>
  <c r="AB332" i="50"/>
  <c r="I333" i="50"/>
  <c r="I300" i="50"/>
  <c r="I324" i="50" s="1"/>
  <c r="Q333" i="50"/>
  <c r="Q300" i="50"/>
  <c r="Q334" i="50"/>
  <c r="Q301" i="50"/>
  <c r="AB303" i="50"/>
  <c r="AB336" i="50"/>
  <c r="AB337" i="50"/>
  <c r="AB304" i="50"/>
  <c r="S308" i="50"/>
  <c r="S341" i="50"/>
  <c r="Q346" i="50"/>
  <c r="Q314" i="50"/>
  <c r="U346" i="50"/>
  <c r="U314" i="50"/>
  <c r="AB321" i="50"/>
  <c r="AB320" i="50"/>
  <c r="AB350" i="50"/>
  <c r="Y331" i="50"/>
  <c r="Q299" i="50"/>
  <c r="Q332" i="50"/>
  <c r="V333" i="50"/>
  <c r="V300" i="50"/>
  <c r="Z333" i="50"/>
  <c r="Z300" i="50"/>
  <c r="AB301" i="50"/>
  <c r="AB334" i="50"/>
  <c r="U336" i="50"/>
  <c r="U303" i="50"/>
  <c r="Z336" i="50"/>
  <c r="Z303" i="50"/>
  <c r="T306" i="50"/>
  <c r="T53" i="50"/>
  <c r="V332" i="50"/>
  <c r="Y23" i="51"/>
  <c r="K71" i="51"/>
  <c r="K70" i="51"/>
  <c r="K72" i="51"/>
  <c r="T76" i="50"/>
  <c r="Q203" i="50"/>
  <c r="Q234" i="50" s="1"/>
  <c r="AE203" i="50"/>
  <c r="AE234" i="50" s="1"/>
  <c r="AF109" i="50"/>
  <c r="R90" i="50"/>
  <c r="R217" i="50"/>
  <c r="R248" i="50" s="1"/>
  <c r="U90" i="50"/>
  <c r="AD123" i="50"/>
  <c r="AC217" i="50"/>
  <c r="AC248" i="50" s="1"/>
  <c r="AE124" i="50"/>
  <c r="Q221" i="50"/>
  <c r="Q252" i="50" s="1"/>
  <c r="R127" i="50"/>
  <c r="I7" i="50"/>
  <c r="J98" i="50"/>
  <c r="I133" i="50"/>
  <c r="M29" i="51"/>
  <c r="M10" i="51"/>
  <c r="I132" i="50"/>
  <c r="I99" i="50" s="1"/>
  <c r="K224" i="50"/>
  <c r="O224" i="50"/>
  <c r="S331" i="50"/>
  <c r="S298" i="50"/>
  <c r="W298" i="50"/>
  <c r="R300" i="50"/>
  <c r="R333" i="50"/>
  <c r="AB333" i="50"/>
  <c r="AB300" i="50"/>
  <c r="V334" i="50"/>
  <c r="V301" i="50"/>
  <c r="Z334" i="50"/>
  <c r="Z301" i="50"/>
  <c r="T224" i="50"/>
  <c r="Z335" i="50"/>
  <c r="Z302" i="50"/>
  <c r="AD203" i="50"/>
  <c r="AD234" i="50" s="1"/>
  <c r="S304" i="50"/>
  <c r="S337" i="50"/>
  <c r="R343" i="50"/>
  <c r="R311" i="50"/>
  <c r="AB311" i="50"/>
  <c r="AB343" i="50"/>
  <c r="AB345" i="50"/>
  <c r="AB313" i="50"/>
  <c r="R346" i="50"/>
  <c r="R314" i="50"/>
  <c r="AB314" i="50"/>
  <c r="AB346" i="50"/>
  <c r="AK315" i="50"/>
  <c r="S348" i="50"/>
  <c r="S316" i="50"/>
  <c r="L224" i="50"/>
  <c r="O331" i="50"/>
  <c r="O255" i="50"/>
  <c r="O9" i="50" s="1"/>
  <c r="AC332" i="50"/>
  <c r="AC299" i="50"/>
  <c r="S233" i="50"/>
  <c r="Z305" i="50"/>
  <c r="Z338" i="50"/>
  <c r="R341" i="50"/>
  <c r="R308" i="50"/>
  <c r="Z344" i="50"/>
  <c r="Z312" i="50"/>
  <c r="U301" i="50"/>
  <c r="G72" i="51"/>
  <c r="G71" i="51"/>
  <c r="AB209" i="50"/>
  <c r="AB224" i="50" s="1"/>
  <c r="AC115" i="50"/>
  <c r="AC210" i="50"/>
  <c r="AC241" i="50" s="1"/>
  <c r="AD116" i="50"/>
  <c r="AC214" i="50"/>
  <c r="AD120" i="50"/>
  <c r="AD216" i="50"/>
  <c r="AD247" i="50" s="1"/>
  <c r="X94" i="50"/>
  <c r="X351" i="50"/>
  <c r="X130" i="50"/>
  <c r="Y127" i="50"/>
  <c r="Y130" i="50" s="1"/>
  <c r="Z94" i="50"/>
  <c r="Y98" i="50"/>
  <c r="U98" i="50"/>
  <c r="Z131" i="50"/>
  <c r="Z133" i="50" s="1"/>
  <c r="J133" i="50"/>
  <c r="M132" i="50"/>
  <c r="M99" i="50" s="1"/>
  <c r="H331" i="50"/>
  <c r="X221" i="50"/>
  <c r="Y221" i="50" s="1"/>
  <c r="Y224" i="50" s="1"/>
  <c r="O300" i="50"/>
  <c r="O324" i="50" s="1"/>
  <c r="O333" i="50"/>
  <c r="T303" i="50"/>
  <c r="T51" i="50"/>
  <c r="AG307" i="50"/>
  <c r="S344" i="50"/>
  <c r="S312" i="50"/>
  <c r="W344" i="50"/>
  <c r="W312" i="50"/>
  <c r="AC212" i="50"/>
  <c r="AC243" i="50" s="1"/>
  <c r="Z348" i="50"/>
  <c r="Z316" i="50"/>
  <c r="AC245" i="50"/>
  <c r="AL315" i="50"/>
  <c r="Y290" i="50"/>
  <c r="Y293" i="50" s="1"/>
  <c r="Y247" i="50"/>
  <c r="Y348" i="50" s="1"/>
  <c r="S311" i="50"/>
  <c r="AB335" i="50"/>
  <c r="M15" i="51"/>
  <c r="M20" i="52" s="1"/>
  <c r="J72" i="51"/>
  <c r="J71" i="51"/>
  <c r="J70" i="51"/>
  <c r="AD199" i="50"/>
  <c r="R202" i="50"/>
  <c r="R233" i="50" s="1"/>
  <c r="U75" i="50"/>
  <c r="AD206" i="50"/>
  <c r="AD237" i="50" s="1"/>
  <c r="AE112" i="50"/>
  <c r="V216" i="50"/>
  <c r="V247" i="50" s="1"/>
  <c r="V89" i="50"/>
  <c r="V98" i="50"/>
  <c r="U333" i="50"/>
  <c r="U300" i="50"/>
  <c r="W302" i="50"/>
  <c r="W335" i="50"/>
  <c r="R337" i="50"/>
  <c r="R304" i="50"/>
  <c r="N7" i="50"/>
  <c r="X16" i="50"/>
  <c r="Y16" i="50" s="1"/>
  <c r="U18" i="50"/>
  <c r="U24" i="50" s="1"/>
  <c r="R22" i="51"/>
  <c r="T34" i="50"/>
  <c r="M97" i="50"/>
  <c r="Y74" i="50"/>
  <c r="AC206" i="50"/>
  <c r="AC237" i="50" s="1"/>
  <c r="AE216" i="50"/>
  <c r="AE247" i="50" s="1"/>
  <c r="AF122" i="50"/>
  <c r="AC219" i="50"/>
  <c r="AC250" i="50" s="1"/>
  <c r="AC319" i="50" s="1"/>
  <c r="AD125" i="50"/>
  <c r="E224" i="50"/>
  <c r="I229" i="50"/>
  <c r="I224" i="50"/>
  <c r="M229" i="50"/>
  <c r="M224" i="50"/>
  <c r="Q298" i="50"/>
  <c r="Q331" i="50"/>
  <c r="U299" i="50"/>
  <c r="U332" i="50"/>
  <c r="Q337" i="50"/>
  <c r="Q304" i="50"/>
  <c r="U337" i="50"/>
  <c r="U304" i="50"/>
  <c r="AB338" i="50"/>
  <c r="AB305" i="50"/>
  <c r="Q349" i="50"/>
  <c r="Q317" i="50"/>
  <c r="W349" i="50"/>
  <c r="W317" i="50"/>
  <c r="W224" i="50"/>
  <c r="J255" i="50"/>
  <c r="J9" i="50" s="1"/>
  <c r="J331" i="50"/>
  <c r="R334" i="50"/>
  <c r="R301" i="50"/>
  <c r="V337" i="50"/>
  <c r="V304" i="50"/>
  <c r="Z337" i="50"/>
  <c r="Z304" i="50"/>
  <c r="AJ307" i="50"/>
  <c r="S300" i="50"/>
  <c r="AH307" i="50"/>
  <c r="J333" i="50"/>
  <c r="U217" i="50"/>
  <c r="U248" i="50" s="1"/>
  <c r="S130" i="50"/>
  <c r="W130" i="50"/>
  <c r="N224" i="50"/>
  <c r="AB331" i="50"/>
  <c r="AB298" i="50"/>
  <c r="R332" i="50"/>
  <c r="R299" i="50"/>
  <c r="U311" i="50"/>
  <c r="U343" i="50"/>
  <c r="AH315" i="50"/>
  <c r="AB317" i="50"/>
  <c r="AB349" i="50"/>
  <c r="F229" i="50"/>
  <c r="K331" i="50"/>
  <c r="K255" i="50"/>
  <c r="K9" i="50" s="1"/>
  <c r="Z298" i="50"/>
  <c r="Z331" i="50"/>
  <c r="Z255" i="50"/>
  <c r="Z9" i="50" s="1"/>
  <c r="L333" i="50"/>
  <c r="L300" i="50"/>
  <c r="L324" i="50" s="1"/>
  <c r="AC232" i="50"/>
  <c r="T233" i="50"/>
  <c r="V336" i="50"/>
  <c r="V303" i="50"/>
  <c r="W337" i="50"/>
  <c r="W304" i="50"/>
  <c r="AF307" i="50"/>
  <c r="AK307" i="50"/>
  <c r="AB239" i="50"/>
  <c r="AB308" i="50" s="1"/>
  <c r="W343" i="50"/>
  <c r="W311" i="50"/>
  <c r="Q345" i="50"/>
  <c r="Q313" i="50"/>
  <c r="S349" i="50"/>
  <c r="S317" i="50"/>
  <c r="W252" i="50"/>
  <c r="W255" i="50" s="1"/>
  <c r="W9" i="50" s="1"/>
  <c r="W300" i="50"/>
  <c r="S8" i="51"/>
  <c r="Z23" i="51"/>
  <c r="H72" i="51"/>
  <c r="U40" i="50"/>
  <c r="V75" i="50"/>
  <c r="G97" i="50"/>
  <c r="K97" i="50"/>
  <c r="K98" i="50"/>
  <c r="AD104" i="50"/>
  <c r="AD106" i="50"/>
  <c r="AC233" i="50"/>
  <c r="AD110" i="50"/>
  <c r="AC114" i="50"/>
  <c r="AC130" i="50" s="1"/>
  <c r="AC244" i="50"/>
  <c r="AC246" i="50"/>
  <c r="AB130" i="50"/>
  <c r="AC198" i="50"/>
  <c r="AC229" i="50" s="1"/>
  <c r="W332" i="50"/>
  <c r="W299" i="50"/>
  <c r="S301" i="50"/>
  <c r="S334" i="50"/>
  <c r="W334" i="50"/>
  <c r="W301" i="50"/>
  <c r="R203" i="50"/>
  <c r="R234" i="50" s="1"/>
  <c r="AC204" i="50"/>
  <c r="AC235" i="50" s="1"/>
  <c r="U341" i="50"/>
  <c r="U308" i="50"/>
  <c r="V343" i="50"/>
  <c r="V311" i="50"/>
  <c r="AI315" i="50"/>
  <c r="Q348" i="50"/>
  <c r="Q316" i="50"/>
  <c r="AC218" i="50"/>
  <c r="AC249" i="50" s="1"/>
  <c r="AC318" i="50" s="1"/>
  <c r="AC220" i="50"/>
  <c r="AC251" i="50" s="1"/>
  <c r="AC221" i="50"/>
  <c r="AC252" i="50" s="1"/>
  <c r="AC351" i="50" s="1"/>
  <c r="R229" i="50"/>
  <c r="V335" i="50"/>
  <c r="V302" i="50"/>
  <c r="AB237" i="50"/>
  <c r="V345" i="50"/>
  <c r="V313" i="50"/>
  <c r="Q308" i="50"/>
  <c r="R313" i="50"/>
  <c r="U345" i="50"/>
  <c r="AE18" i="51"/>
  <c r="AE21" i="52" s="1"/>
  <c r="AA53" i="51"/>
  <c r="AA8" i="51" s="1"/>
  <c r="F85" i="51"/>
  <c r="AF152" i="51"/>
  <c r="AD152" i="51"/>
  <c r="AC231" i="50"/>
  <c r="G243" i="50"/>
  <c r="G345" i="50" s="1"/>
  <c r="Q311" i="50"/>
  <c r="Q343" i="50"/>
  <c r="AE42" i="52"/>
  <c r="AF50" i="51"/>
  <c r="V83" i="51"/>
  <c r="R83" i="51"/>
  <c r="X83" i="51"/>
  <c r="Y83" i="51" s="1"/>
  <c r="Z83" i="51" s="1"/>
  <c r="AA83" i="51" s="1"/>
  <c r="AB83" i="51" s="1"/>
  <c r="AC83" i="51" s="1"/>
  <c r="AD83" i="51" s="1"/>
  <c r="AE83" i="51" s="1"/>
  <c r="AF83" i="51" s="1"/>
  <c r="AG83" i="51" s="1"/>
  <c r="AH83" i="51" s="1"/>
  <c r="AI83" i="51" s="1"/>
  <c r="AJ83" i="51" s="1"/>
  <c r="AK83" i="51" s="1"/>
  <c r="AL83" i="51" s="1"/>
  <c r="L70" i="51"/>
  <c r="E72" i="51"/>
  <c r="E70" i="51"/>
  <c r="X9" i="52"/>
  <c r="X14" i="52" s="1"/>
  <c r="X293" i="50"/>
  <c r="V51" i="50"/>
  <c r="S75" i="50"/>
  <c r="AA95" i="50"/>
  <c r="H97" i="50"/>
  <c r="L97" i="50"/>
  <c r="AA98" i="50"/>
  <c r="Q233" i="50"/>
  <c r="AD108" i="50"/>
  <c r="AB241" i="50"/>
  <c r="AD117" i="50"/>
  <c r="AD119" i="50"/>
  <c r="AD121" i="50"/>
  <c r="AD126" i="50"/>
  <c r="AD127" i="50"/>
  <c r="Q130" i="50"/>
  <c r="Q133" i="50" s="1"/>
  <c r="T131" i="50"/>
  <c r="T98" i="50" s="1"/>
  <c r="G245" i="50"/>
  <c r="L255" i="50"/>
  <c r="L9" i="50" s="1"/>
  <c r="P255" i="50"/>
  <c r="P9" i="50" s="1"/>
  <c r="T298" i="50"/>
  <c r="Z224" i="50"/>
  <c r="S203" i="50"/>
  <c r="S224" i="50" s="1"/>
  <c r="AC203" i="50"/>
  <c r="AC234" i="50" s="1"/>
  <c r="AL307" i="50"/>
  <c r="AC211" i="50"/>
  <c r="AC242" i="50" s="1"/>
  <c r="V344" i="50"/>
  <c r="V312" i="50"/>
  <c r="AB312" i="50"/>
  <c r="AB344" i="50"/>
  <c r="AB316" i="50"/>
  <c r="AB348" i="50"/>
  <c r="Z349" i="50"/>
  <c r="Z317" i="50"/>
  <c r="S252" i="50"/>
  <c r="P224" i="50"/>
  <c r="N229" i="50"/>
  <c r="X338" i="50"/>
  <c r="AJ315" i="50"/>
  <c r="AE264" i="50"/>
  <c r="AB272" i="50"/>
  <c r="AA290" i="50"/>
  <c r="S299" i="50"/>
  <c r="Q312" i="50"/>
  <c r="V314" i="50"/>
  <c r="R344" i="50"/>
  <c r="S346" i="50"/>
  <c r="AB18" i="52"/>
  <c r="AA18" i="52"/>
  <c r="AA27" i="52" s="1"/>
  <c r="Z13" i="51"/>
  <c r="Z8" i="51" s="1"/>
  <c r="G110" i="51"/>
  <c r="G113" i="51" s="1"/>
  <c r="G45" i="51" s="1"/>
  <c r="W345" i="50"/>
  <c r="W313" i="50"/>
  <c r="Z346" i="50"/>
  <c r="Z314" i="50"/>
  <c r="AB275" i="50"/>
  <c r="AC275" i="50" s="1"/>
  <c r="AD275" i="50" s="1"/>
  <c r="AE275" i="50" s="1"/>
  <c r="AF275" i="50" s="1"/>
  <c r="AG275" i="50" s="1"/>
  <c r="AH275" i="50" s="1"/>
  <c r="AI275" i="50" s="1"/>
  <c r="AJ275" i="50" s="1"/>
  <c r="AK275" i="50" s="1"/>
  <c r="AL275" i="50" s="1"/>
  <c r="AA240" i="50"/>
  <c r="Z320" i="50"/>
  <c r="AB347" i="50"/>
  <c r="K34" i="52"/>
  <c r="K35" i="52" s="1"/>
  <c r="V34" i="52"/>
  <c r="V35" i="52" s="1"/>
  <c r="AC18" i="52"/>
  <c r="AB276" i="50"/>
  <c r="AC276" i="50" s="1"/>
  <c r="AD276" i="50" s="1"/>
  <c r="AE276" i="50" s="1"/>
  <c r="AF276" i="50" s="1"/>
  <c r="AG276" i="50" s="1"/>
  <c r="AH276" i="50" s="1"/>
  <c r="AI276" i="50" s="1"/>
  <c r="AJ276" i="50" s="1"/>
  <c r="AK276" i="50" s="1"/>
  <c r="AL276" i="50" s="1"/>
  <c r="AA241" i="50"/>
  <c r="X316" i="50"/>
  <c r="X324" i="50" s="1"/>
  <c r="Q325" i="50"/>
  <c r="R348" i="50"/>
  <c r="T55" i="51"/>
  <c r="T59" i="51"/>
  <c r="T60" i="51" s="1"/>
  <c r="T16" i="51"/>
  <c r="T25" i="51" s="1"/>
  <c r="T54" i="51" s="1"/>
  <c r="AD21" i="52"/>
  <c r="AC21" i="52"/>
  <c r="AD31" i="51"/>
  <c r="AC23" i="52"/>
  <c r="AC24" i="52"/>
  <c r="AD32" i="51"/>
  <c r="G26" i="52"/>
  <c r="F26" i="52"/>
  <c r="F27" i="52" s="1"/>
  <c r="AC26" i="52"/>
  <c r="AD36" i="51"/>
  <c r="G27" i="52"/>
  <c r="T21" i="52"/>
  <c r="T27" i="52" s="1"/>
  <c r="T46" i="52" s="1"/>
  <c r="U18" i="51"/>
  <c r="U21" i="52" s="1"/>
  <c r="AC34" i="52"/>
  <c r="AC35" i="52" s="1"/>
  <c r="AD24" i="51"/>
  <c r="U35" i="52"/>
  <c r="G92" i="51"/>
  <c r="G94" i="51" s="1"/>
  <c r="F100" i="51"/>
  <c r="F95" i="51"/>
  <c r="I27" i="52"/>
  <c r="X255" i="50"/>
  <c r="Z18" i="52"/>
  <c r="Y18" i="52"/>
  <c r="V18" i="51"/>
  <c r="V21" i="52" s="1"/>
  <c r="AA39" i="52"/>
  <c r="AA44" i="52" s="1"/>
  <c r="I42" i="52"/>
  <c r="H42" i="52"/>
  <c r="F81" i="51"/>
  <c r="G77" i="51"/>
  <c r="G80" i="51" s="1"/>
  <c r="Z26" i="52"/>
  <c r="Z14" i="52"/>
  <c r="S27" i="52"/>
  <c r="X18" i="52"/>
  <c r="X27" i="52" s="1"/>
  <c r="U13" i="51"/>
  <c r="Q34" i="52"/>
  <c r="Q35" i="52" s="1"/>
  <c r="P34" i="52"/>
  <c r="P35" i="52" s="1"/>
  <c r="O34" i="52"/>
  <c r="O35" i="52" s="1"/>
  <c r="S34" i="52"/>
  <c r="R34" i="52"/>
  <c r="R35" i="52" s="1"/>
  <c r="AB39" i="52"/>
  <c r="Z39" i="52"/>
  <c r="Z55" i="51"/>
  <c r="AB26" i="52"/>
  <c r="S79" i="51"/>
  <c r="S31" i="52" s="1"/>
  <c r="AC84" i="51"/>
  <c r="H27" i="52"/>
  <c r="L27" i="52"/>
  <c r="W35" i="52"/>
  <c r="Y26" i="52"/>
  <c r="G42" i="52"/>
  <c r="N27" i="52"/>
  <c r="W27" i="52"/>
  <c r="X35" i="52"/>
  <c r="AB35" i="52"/>
  <c r="AK22" i="42"/>
  <c r="F14" i="41"/>
  <c r="F15" i="41" s="1"/>
  <c r="Y255" i="50" l="1"/>
  <c r="Y351" i="50"/>
  <c r="P71" i="51"/>
  <c r="K99" i="50"/>
  <c r="AD11" i="51"/>
  <c r="AE11" i="51" s="1"/>
  <c r="G96" i="51"/>
  <c r="G98" i="51" s="1"/>
  <c r="F99" i="51"/>
  <c r="AC310" i="50"/>
  <c r="P72" i="51"/>
  <c r="W9" i="52"/>
  <c r="W14" i="52" s="1"/>
  <c r="AD230" i="50"/>
  <c r="AD332" i="50" s="1"/>
  <c r="AD232" i="50"/>
  <c r="V22" i="51"/>
  <c r="Y190" i="50"/>
  <c r="V9" i="52"/>
  <c r="T132" i="50"/>
  <c r="Z16" i="50"/>
  <c r="AA16" i="50" s="1"/>
  <c r="AB16" i="50" s="1"/>
  <c r="AC16" i="50" s="1"/>
  <c r="AD16" i="50" s="1"/>
  <c r="AE16" i="50" s="1"/>
  <c r="AF16" i="50" s="1"/>
  <c r="AG16" i="50" s="1"/>
  <c r="AH16" i="50" s="1"/>
  <c r="AI16" i="50" s="1"/>
  <c r="AJ16" i="50" s="1"/>
  <c r="AK16" i="50" s="1"/>
  <c r="AL16" i="50" s="1"/>
  <c r="U316" i="50"/>
  <c r="U348" i="50"/>
  <c r="AA255" i="50"/>
  <c r="AA256" i="50" s="1"/>
  <c r="AA70" i="51"/>
  <c r="Z132" i="50"/>
  <c r="AE107" i="50"/>
  <c r="AE201" i="50" s="1"/>
  <c r="AE232" i="50" s="1"/>
  <c r="V60" i="50"/>
  <c r="H70" i="51"/>
  <c r="Y334" i="50"/>
  <c r="AA71" i="51"/>
  <c r="AE105" i="50"/>
  <c r="AE199" i="50" s="1"/>
  <c r="AE230" i="50" s="1"/>
  <c r="H255" i="50"/>
  <c r="H9" i="50" s="1"/>
  <c r="H32" i="50" s="1"/>
  <c r="S234" i="50"/>
  <c r="S255" i="50" s="1"/>
  <c r="S9" i="50" s="1"/>
  <c r="AA133" i="50"/>
  <c r="Q224" i="50"/>
  <c r="L72" i="51"/>
  <c r="AA132" i="50"/>
  <c r="AA99" i="50" s="1"/>
  <c r="G255" i="50"/>
  <c r="G9" i="50" s="1"/>
  <c r="G10" i="50" s="1"/>
  <c r="AF13" i="50"/>
  <c r="F13" i="41"/>
  <c r="Z27" i="52"/>
  <c r="AA46" i="52"/>
  <c r="AB27" i="52"/>
  <c r="R303" i="50"/>
  <c r="R51" i="50" s="1"/>
  <c r="R336" i="50"/>
  <c r="Q336" i="50"/>
  <c r="Q303" i="50"/>
  <c r="Q51" i="50" s="1"/>
  <c r="AC343" i="50"/>
  <c r="AC311" i="50"/>
  <c r="AC26" i="50"/>
  <c r="AC13" i="52" s="1"/>
  <c r="AC350" i="50"/>
  <c r="AC320" i="50"/>
  <c r="AC321" i="50"/>
  <c r="U349" i="50"/>
  <c r="U317" i="50"/>
  <c r="V316" i="50"/>
  <c r="V348" i="50"/>
  <c r="R302" i="50"/>
  <c r="R50" i="50" s="1"/>
  <c r="R60" i="50" s="1"/>
  <c r="R335" i="50"/>
  <c r="Q321" i="50"/>
  <c r="Q351" i="50"/>
  <c r="AC303" i="50"/>
  <c r="AC336" i="50"/>
  <c r="AE316" i="50"/>
  <c r="AE348" i="50"/>
  <c r="AC337" i="50"/>
  <c r="AC304" i="50"/>
  <c r="AD336" i="50"/>
  <c r="AD303" i="50"/>
  <c r="AC305" i="50"/>
  <c r="AC338" i="50"/>
  <c r="G81" i="51"/>
  <c r="H77" i="51"/>
  <c r="H80" i="51" s="1"/>
  <c r="AD26" i="52"/>
  <c r="AE36" i="51"/>
  <c r="AD215" i="50"/>
  <c r="AD246" i="50" s="1"/>
  <c r="AE121" i="50"/>
  <c r="AB306" i="50"/>
  <c r="AC347" i="50"/>
  <c r="AC315" i="50"/>
  <c r="AD198" i="50"/>
  <c r="AD229" i="50" s="1"/>
  <c r="AE104" i="50"/>
  <c r="S59" i="51"/>
  <c r="S16" i="51"/>
  <c r="S25" i="51" s="1"/>
  <c r="S54" i="51" s="1"/>
  <c r="S55" i="51"/>
  <c r="T50" i="50"/>
  <c r="T60" i="50" s="1"/>
  <c r="T40" i="50" s="1"/>
  <c r="T302" i="50"/>
  <c r="AF216" i="50"/>
  <c r="AF247" i="50" s="1"/>
  <c r="AG122" i="50"/>
  <c r="Y131" i="50"/>
  <c r="Y133" i="50" s="1"/>
  <c r="N72" i="51"/>
  <c r="N71" i="51"/>
  <c r="N70" i="51"/>
  <c r="W32" i="50"/>
  <c r="V127" i="50"/>
  <c r="R221" i="50"/>
  <c r="R224" i="50" s="1"/>
  <c r="U127" i="50"/>
  <c r="AC349" i="50"/>
  <c r="AC317" i="50"/>
  <c r="AE336" i="50"/>
  <c r="AE303" i="50"/>
  <c r="AC312" i="50"/>
  <c r="AC344" i="50"/>
  <c r="T324" i="50"/>
  <c r="AD221" i="50"/>
  <c r="AD252" i="50" s="1"/>
  <c r="AD351" i="50" s="1"/>
  <c r="AE127" i="50"/>
  <c r="AD211" i="50"/>
  <c r="AD242" i="50" s="1"/>
  <c r="AE117" i="50"/>
  <c r="AF18" i="51"/>
  <c r="AC335" i="50"/>
  <c r="AC302" i="50"/>
  <c r="W351" i="50"/>
  <c r="W321" i="50"/>
  <c r="Z324" i="50"/>
  <c r="AE125" i="50"/>
  <c r="AD219" i="50"/>
  <c r="AD250" i="50" s="1"/>
  <c r="AD319" i="50" s="1"/>
  <c r="U22" i="50"/>
  <c r="U19" i="50"/>
  <c r="AC346" i="50"/>
  <c r="AC314" i="50"/>
  <c r="Z7" i="50"/>
  <c r="Y97" i="50"/>
  <c r="Y94" i="50"/>
  <c r="AC209" i="50"/>
  <c r="AD115" i="50"/>
  <c r="O32" i="50"/>
  <c r="O18" i="50"/>
  <c r="O10" i="50"/>
  <c r="M22" i="52"/>
  <c r="AD217" i="50"/>
  <c r="AD248" i="50" s="1"/>
  <c r="AE123" i="50"/>
  <c r="AG109" i="50"/>
  <c r="AF203" i="50"/>
  <c r="AF234" i="50" s="1"/>
  <c r="J99" i="50"/>
  <c r="AD205" i="50"/>
  <c r="AD236" i="50" s="1"/>
  <c r="AE111" i="50"/>
  <c r="AD84" i="51"/>
  <c r="AC30" i="50"/>
  <c r="AD24" i="52"/>
  <c r="AE32" i="51"/>
  <c r="AB290" i="50"/>
  <c r="AC272" i="50"/>
  <c r="AC306" i="50" s="1"/>
  <c r="L10" i="50"/>
  <c r="L18" i="50"/>
  <c r="L32" i="50"/>
  <c r="AD202" i="50"/>
  <c r="AD233" i="50" s="1"/>
  <c r="AE108" i="50"/>
  <c r="R331" i="50"/>
  <c r="R298" i="50"/>
  <c r="AD204" i="50"/>
  <c r="AD235" i="50" s="1"/>
  <c r="AE110" i="50"/>
  <c r="Z32" i="50"/>
  <c r="H15" i="42" s="1"/>
  <c r="S132" i="50"/>
  <c r="S133" i="50"/>
  <c r="S7" i="50"/>
  <c r="AD299" i="50"/>
  <c r="AD316" i="50"/>
  <c r="AD348" i="50"/>
  <c r="R349" i="50"/>
  <c r="R317" i="50"/>
  <c r="Y256" i="50"/>
  <c r="Y9" i="50" s="1"/>
  <c r="F98" i="50"/>
  <c r="G98" i="50"/>
  <c r="AC298" i="50"/>
  <c r="AC331" i="50"/>
  <c r="X256" i="50"/>
  <c r="X9" i="50" s="1"/>
  <c r="F101" i="51"/>
  <c r="F103" i="51"/>
  <c r="F105" i="51" s="1"/>
  <c r="F106" i="51" s="1"/>
  <c r="H110" i="51"/>
  <c r="H113" i="51" s="1"/>
  <c r="G41" i="52"/>
  <c r="G44" i="52" s="1"/>
  <c r="G114" i="51"/>
  <c r="AF11" i="51"/>
  <c r="AF18" i="52" s="1"/>
  <c r="AF264" i="50"/>
  <c r="N331" i="50"/>
  <c r="N255" i="50"/>
  <c r="N9" i="50" s="1"/>
  <c r="T255" i="50"/>
  <c r="Q7" i="50"/>
  <c r="Q132" i="50"/>
  <c r="T99" i="50" s="1"/>
  <c r="T97" i="50"/>
  <c r="AD213" i="50"/>
  <c r="AD244" i="50" s="1"/>
  <c r="AE119" i="50"/>
  <c r="Q335" i="50"/>
  <c r="Q302" i="50"/>
  <c r="Q50" i="50" s="1"/>
  <c r="AF42" i="52"/>
  <c r="AG50" i="51"/>
  <c r="F86" i="51"/>
  <c r="F87" i="51"/>
  <c r="F88" i="51" s="1"/>
  <c r="G82" i="51"/>
  <c r="G85" i="51" s="1"/>
  <c r="G87" i="51" s="1"/>
  <c r="G88" i="51" s="1"/>
  <c r="AB132" i="50"/>
  <c r="AB99" i="50" s="1"/>
  <c r="AB133" i="50"/>
  <c r="AB7" i="50"/>
  <c r="AB36" i="52" s="1"/>
  <c r="I27" i="42" s="1"/>
  <c r="AC313" i="50"/>
  <c r="AC345" i="50"/>
  <c r="S336" i="50"/>
  <c r="S303" i="50"/>
  <c r="S51" i="50" s="1"/>
  <c r="AC334" i="50"/>
  <c r="AC301" i="50"/>
  <c r="F332" i="50"/>
  <c r="F255" i="50"/>
  <c r="J32" i="50"/>
  <c r="J10" i="50"/>
  <c r="M331" i="50"/>
  <c r="M255" i="50"/>
  <c r="M9" i="50" s="1"/>
  <c r="R130" i="50"/>
  <c r="AF112" i="50"/>
  <c r="AE206" i="50"/>
  <c r="AE237" i="50" s="1"/>
  <c r="AD214" i="50"/>
  <c r="AD245" i="50" s="1"/>
  <c r="AE120" i="50"/>
  <c r="W324" i="50"/>
  <c r="M17" i="52"/>
  <c r="M13" i="51"/>
  <c r="I72" i="51"/>
  <c r="I71" i="51"/>
  <c r="I70" i="51"/>
  <c r="F132" i="50"/>
  <c r="AD212" i="50"/>
  <c r="AD243" i="50" s="1"/>
  <c r="AE118" i="50"/>
  <c r="AD334" i="50"/>
  <c r="AD301" i="50"/>
  <c r="T19" i="50"/>
  <c r="T22" i="50"/>
  <c r="G100" i="51"/>
  <c r="G95" i="51"/>
  <c r="H92" i="51"/>
  <c r="H94" i="51" s="1"/>
  <c r="AE24" i="51"/>
  <c r="AE34" i="52" s="1"/>
  <c r="AE35" i="52" s="1"/>
  <c r="AE18" i="52"/>
  <c r="S35" i="52"/>
  <c r="Y27" i="52"/>
  <c r="AD34" i="52"/>
  <c r="AD35" i="52" s="1"/>
  <c r="AD23" i="52"/>
  <c r="AE31" i="51"/>
  <c r="Z59" i="51"/>
  <c r="Z16" i="51"/>
  <c r="Z25" i="51" s="1"/>
  <c r="Z54" i="51" s="1"/>
  <c r="S351" i="50"/>
  <c r="S321" i="50"/>
  <c r="P10" i="50"/>
  <c r="P32" i="50"/>
  <c r="P18" i="50"/>
  <c r="AC131" i="50"/>
  <c r="AC7" i="50" s="1"/>
  <c r="AC14" i="50" s="1"/>
  <c r="AD220" i="50"/>
  <c r="AD251" i="50" s="1"/>
  <c r="AE126" i="50"/>
  <c r="AB310" i="50"/>
  <c r="AC300" i="50"/>
  <c r="AC333" i="50"/>
  <c r="AA59" i="51"/>
  <c r="AA55" i="51"/>
  <c r="AA16" i="51"/>
  <c r="AA25" i="51" s="1"/>
  <c r="AA54" i="51" s="1"/>
  <c r="V317" i="50"/>
  <c r="V349" i="50"/>
  <c r="AD114" i="50"/>
  <c r="AD130" i="50" s="1"/>
  <c r="AC208" i="50"/>
  <c r="AC239" i="50" s="1"/>
  <c r="AC308" i="50" s="1"/>
  <c r="AD200" i="50"/>
  <c r="AD231" i="50" s="1"/>
  <c r="AE106" i="50"/>
  <c r="K32" i="50"/>
  <c r="K34" i="50" s="1"/>
  <c r="K10" i="50"/>
  <c r="W7" i="50"/>
  <c r="W133" i="50"/>
  <c r="W132" i="50"/>
  <c r="Q255" i="50"/>
  <c r="Q9" i="50" s="1"/>
  <c r="I331" i="50"/>
  <c r="I255" i="50"/>
  <c r="I9" i="50" s="1"/>
  <c r="X224" i="50"/>
  <c r="AF105" i="50"/>
  <c r="H18" i="50"/>
  <c r="X131" i="50"/>
  <c r="X133" i="50" s="1"/>
  <c r="AD210" i="50"/>
  <c r="AD241" i="50" s="1"/>
  <c r="AD310" i="50" s="1"/>
  <c r="AE116" i="50"/>
  <c r="AB240" i="50"/>
  <c r="AB309" i="50" s="1"/>
  <c r="S335" i="50"/>
  <c r="S302" i="50"/>
  <c r="S50" i="50" s="1"/>
  <c r="S60" i="50" s="1"/>
  <c r="AE218" i="50"/>
  <c r="AE249" i="50" s="1"/>
  <c r="AE318" i="50" s="1"/>
  <c r="AF124" i="50"/>
  <c r="F7" i="50"/>
  <c r="AF107" i="50"/>
  <c r="E10" i="50"/>
  <c r="E32" i="50"/>
  <c r="E18" i="50"/>
  <c r="F16" i="41"/>
  <c r="G99" i="51" l="1"/>
  <c r="H96" i="51"/>
  <c r="H98" i="51" s="1"/>
  <c r="R252" i="50"/>
  <c r="R255" i="50" s="1"/>
  <c r="R9" i="50" s="1"/>
  <c r="AD18" i="52"/>
  <c r="X7" i="50"/>
  <c r="G18" i="50"/>
  <c r="AC224" i="50"/>
  <c r="G32" i="50"/>
  <c r="Y7" i="50"/>
  <c r="Y31" i="50" s="1"/>
  <c r="S10" i="50"/>
  <c r="S32" i="50"/>
  <c r="S18" i="50"/>
  <c r="G14" i="41"/>
  <c r="AC36" i="52"/>
  <c r="G38" i="41" s="1"/>
  <c r="Q60" i="50"/>
  <c r="AC31" i="50"/>
  <c r="G29" i="41" s="1"/>
  <c r="AB324" i="50"/>
  <c r="G11" i="42"/>
  <c r="X31" i="50"/>
  <c r="H10" i="50"/>
  <c r="AA9" i="50"/>
  <c r="AA10" i="50" s="1"/>
  <c r="AG13" i="50"/>
  <c r="I11" i="42"/>
  <c r="I14" i="42" s="1"/>
  <c r="AB40" i="51"/>
  <c r="F43" i="41" s="1"/>
  <c r="AB31" i="50"/>
  <c r="S60" i="51"/>
  <c r="S324" i="50"/>
  <c r="AC132" i="50"/>
  <c r="Z10" i="50"/>
  <c r="H11" i="42"/>
  <c r="Z31" i="50"/>
  <c r="AD333" i="50"/>
  <c r="AD300" i="50"/>
  <c r="AC29" i="51"/>
  <c r="AC10" i="51"/>
  <c r="AC15" i="51"/>
  <c r="AC8" i="50"/>
  <c r="G9" i="41" s="1"/>
  <c r="AD313" i="50"/>
  <c r="AD345" i="50"/>
  <c r="AF303" i="50"/>
  <c r="AF336" i="50"/>
  <c r="AD347" i="50"/>
  <c r="AD315" i="50"/>
  <c r="AD338" i="50"/>
  <c r="AD305" i="50"/>
  <c r="AF316" i="50"/>
  <c r="AF348" i="50"/>
  <c r="AD344" i="50"/>
  <c r="AD312" i="50"/>
  <c r="AE334" i="50"/>
  <c r="AE301" i="50"/>
  <c r="H56" i="51"/>
  <c r="H34" i="50"/>
  <c r="H40" i="50"/>
  <c r="AE332" i="50"/>
  <c r="AE299" i="50"/>
  <c r="AD321" i="50"/>
  <c r="AD350" i="50"/>
  <c r="AD320" i="50"/>
  <c r="G101" i="51"/>
  <c r="G103" i="51"/>
  <c r="G105" i="51" s="1"/>
  <c r="G106" i="51" s="1"/>
  <c r="M10" i="50"/>
  <c r="M32" i="50"/>
  <c r="M34" i="50" s="1"/>
  <c r="AD335" i="50"/>
  <c r="AD302" i="50"/>
  <c r="AD349" i="50"/>
  <c r="AD317" i="50"/>
  <c r="AG18" i="51"/>
  <c r="W56" i="51"/>
  <c r="W34" i="50"/>
  <c r="W40" i="50"/>
  <c r="Y72" i="51"/>
  <c r="Y70" i="51"/>
  <c r="Y71" i="51"/>
  <c r="Y8" i="50"/>
  <c r="AD131" i="50"/>
  <c r="AD7" i="50" s="1"/>
  <c r="AD14" i="50" s="1"/>
  <c r="AE215" i="50"/>
  <c r="AE246" i="50" s="1"/>
  <c r="AF121" i="50"/>
  <c r="F72" i="51"/>
  <c r="F71" i="51"/>
  <c r="F70" i="51"/>
  <c r="T56" i="51"/>
  <c r="T57" i="51" s="1"/>
  <c r="P34" i="50"/>
  <c r="P56" i="51"/>
  <c r="P40" i="50"/>
  <c r="AF118" i="50"/>
  <c r="AE212" i="50"/>
  <c r="AE243" i="50" s="1"/>
  <c r="AD346" i="50"/>
  <c r="AD314" i="50"/>
  <c r="X10" i="50"/>
  <c r="X18" i="50"/>
  <c r="X24" i="50" s="1"/>
  <c r="X32" i="50"/>
  <c r="G15" i="42" s="1"/>
  <c r="AE204" i="50"/>
  <c r="AE235" i="50" s="1"/>
  <c r="AF110" i="50"/>
  <c r="AC9" i="52"/>
  <c r="AC22" i="51"/>
  <c r="AG203" i="50"/>
  <c r="AG234" i="50" s="1"/>
  <c r="AH109" i="50"/>
  <c r="O56" i="51"/>
  <c r="O34" i="50"/>
  <c r="O40" i="50"/>
  <c r="R351" i="50"/>
  <c r="R321" i="50"/>
  <c r="R324" i="50" s="1"/>
  <c r="AD331" i="50"/>
  <c r="AD298" i="50"/>
  <c r="I77" i="51"/>
  <c r="I80" i="51" s="1"/>
  <c r="H81" i="51"/>
  <c r="S19" i="50"/>
  <c r="AA32" i="50"/>
  <c r="AA60" i="51" s="1"/>
  <c r="AF201" i="50"/>
  <c r="AF232" i="50" s="1"/>
  <c r="AG107" i="50"/>
  <c r="AG124" i="50"/>
  <c r="AF218" i="50"/>
  <c r="AF249" i="50" s="1"/>
  <c r="AF318" i="50" s="1"/>
  <c r="AE210" i="50"/>
  <c r="AE241" i="50" s="1"/>
  <c r="AE310" i="50" s="1"/>
  <c r="AF116" i="50"/>
  <c r="X132" i="50"/>
  <c r="X99" i="50" s="1"/>
  <c r="I10" i="50"/>
  <c r="I32" i="50"/>
  <c r="AE220" i="50"/>
  <c r="AE251" i="50" s="1"/>
  <c r="AF126" i="50"/>
  <c r="Z60" i="51"/>
  <c r="H100" i="51"/>
  <c r="H95" i="51"/>
  <c r="I92" i="51"/>
  <c r="I94" i="51" s="1"/>
  <c r="F256" i="50"/>
  <c r="F9" i="50" s="1"/>
  <c r="AB72" i="51"/>
  <c r="AB71" i="51"/>
  <c r="AB70" i="51"/>
  <c r="AB8" i="50"/>
  <c r="AE213" i="50"/>
  <c r="AE244" i="50" s="1"/>
  <c r="AF119" i="50"/>
  <c r="H45" i="51"/>
  <c r="I110" i="51"/>
  <c r="I113" i="51" s="1"/>
  <c r="L56" i="51"/>
  <c r="L40" i="50"/>
  <c r="L34" i="50"/>
  <c r="AE84" i="51"/>
  <c r="AD30" i="50"/>
  <c r="AE217" i="50"/>
  <c r="AE248" i="50" s="1"/>
  <c r="AF123" i="50"/>
  <c r="AC240" i="50"/>
  <c r="AC309" i="50" s="1"/>
  <c r="AC324" i="50" s="1"/>
  <c r="AF125" i="50"/>
  <c r="AE219" i="50"/>
  <c r="AE250" i="50" s="1"/>
  <c r="AE319" i="50" s="1"/>
  <c r="AE221" i="50"/>
  <c r="AE252" i="50" s="1"/>
  <c r="AE351" i="50" s="1"/>
  <c r="AF127" i="50"/>
  <c r="U221" i="50"/>
  <c r="U224" i="50" s="1"/>
  <c r="U97" i="50"/>
  <c r="U130" i="50"/>
  <c r="Y132" i="50"/>
  <c r="AE198" i="50"/>
  <c r="AE229" i="50" s="1"/>
  <c r="AF104" i="50"/>
  <c r="S56" i="51"/>
  <c r="S57" i="51" s="1"/>
  <c r="S34" i="50"/>
  <c r="S40" i="50"/>
  <c r="E56" i="51"/>
  <c r="E34" i="50"/>
  <c r="E40" i="50"/>
  <c r="X70" i="51"/>
  <c r="X72" i="51"/>
  <c r="X8" i="50"/>
  <c r="X71" i="51"/>
  <c r="Q10" i="50"/>
  <c r="Q18" i="50"/>
  <c r="Q32" i="50"/>
  <c r="P19" i="50"/>
  <c r="P22" i="50"/>
  <c r="AE23" i="52"/>
  <c r="AF31" i="51"/>
  <c r="AF24" i="51"/>
  <c r="F99" i="50"/>
  <c r="G99" i="50"/>
  <c r="AE214" i="50"/>
  <c r="AE245" i="50" s="1"/>
  <c r="AF120" i="50"/>
  <c r="Y10" i="50"/>
  <c r="Y18" i="50"/>
  <c r="Y24" i="50" s="1"/>
  <c r="Y32" i="50"/>
  <c r="O22" i="50"/>
  <c r="O19" i="50"/>
  <c r="AB255" i="50"/>
  <c r="AB9" i="50" s="1"/>
  <c r="AD343" i="50"/>
  <c r="AD311" i="50"/>
  <c r="AD26" i="50"/>
  <c r="AD13" i="52" s="1"/>
  <c r="Z97" i="50"/>
  <c r="V97" i="50"/>
  <c r="V221" i="50"/>
  <c r="V224" i="50" s="1"/>
  <c r="V130" i="50"/>
  <c r="G56" i="51"/>
  <c r="G40" i="50"/>
  <c r="G34" i="50"/>
  <c r="T27" i="50"/>
  <c r="T28" i="50" s="1"/>
  <c r="T23" i="50"/>
  <c r="AG112" i="50"/>
  <c r="AF206" i="50"/>
  <c r="AF237" i="50" s="1"/>
  <c r="H82" i="51"/>
  <c r="H85" i="51" s="1"/>
  <c r="H87" i="51" s="1"/>
  <c r="H88" i="51" s="1"/>
  <c r="G86" i="51"/>
  <c r="AG42" i="52"/>
  <c r="AH50" i="51"/>
  <c r="N18" i="50"/>
  <c r="N32" i="50"/>
  <c r="N10" i="50"/>
  <c r="AG11" i="51"/>
  <c r="AG18" i="52" s="1"/>
  <c r="R32" i="50"/>
  <c r="AD272" i="50"/>
  <c r="AC290" i="50"/>
  <c r="AF21" i="52"/>
  <c r="E22" i="50"/>
  <c r="E19" i="50"/>
  <c r="H19" i="50"/>
  <c r="H22" i="50"/>
  <c r="AG105" i="50"/>
  <c r="AF199" i="50"/>
  <c r="AF230" i="50" s="1"/>
  <c r="W72" i="51"/>
  <c r="W71" i="51"/>
  <c r="W70" i="51"/>
  <c r="W8" i="50"/>
  <c r="AA8" i="50"/>
  <c r="AF106" i="50"/>
  <c r="AE200" i="50"/>
  <c r="AE231" i="50" s="1"/>
  <c r="AD208" i="50"/>
  <c r="AD239" i="50" s="1"/>
  <c r="AD308" i="50" s="1"/>
  <c r="AE114" i="50"/>
  <c r="R131" i="50"/>
  <c r="R98" i="50" s="1"/>
  <c r="R97" i="50"/>
  <c r="J56" i="51"/>
  <c r="J40" i="50"/>
  <c r="J34" i="50"/>
  <c r="Q72" i="51"/>
  <c r="Q71" i="51"/>
  <c r="Q70" i="51"/>
  <c r="AG264" i="50"/>
  <c r="S72" i="51"/>
  <c r="S71" i="51"/>
  <c r="S70" i="51"/>
  <c r="Z56" i="51"/>
  <c r="Z57" i="51" s="1"/>
  <c r="Z40" i="50"/>
  <c r="Z34" i="50"/>
  <c r="AD304" i="50"/>
  <c r="AD337" i="50"/>
  <c r="AE202" i="50"/>
  <c r="AE233" i="50" s="1"/>
  <c r="AF108" i="50"/>
  <c r="L19" i="50"/>
  <c r="L22" i="50"/>
  <c r="AE24" i="52"/>
  <c r="AF32" i="51"/>
  <c r="AE205" i="50"/>
  <c r="AF111" i="50"/>
  <c r="AE236" i="50"/>
  <c r="AD209" i="50"/>
  <c r="AE115" i="50"/>
  <c r="AD240" i="50"/>
  <c r="AD309" i="50" s="1"/>
  <c r="Z72" i="51"/>
  <c r="Z71" i="51"/>
  <c r="Z70" i="51"/>
  <c r="Z8" i="50"/>
  <c r="U23" i="50"/>
  <c r="U27" i="50"/>
  <c r="Q324" i="50"/>
  <c r="AE242" i="50"/>
  <c r="AF117" i="50"/>
  <c r="AE211" i="50"/>
  <c r="W10" i="50"/>
  <c r="G22" i="50"/>
  <c r="G19" i="50"/>
  <c r="AG216" i="50"/>
  <c r="AG247" i="50" s="1"/>
  <c r="AH122" i="50"/>
  <c r="AE26" i="52"/>
  <c r="AF36" i="51"/>
  <c r="H99" i="51" l="1"/>
  <c r="I96" i="51"/>
  <c r="I98" i="51" s="1"/>
  <c r="S22" i="50"/>
  <c r="S24" i="50"/>
  <c r="I12" i="42"/>
  <c r="AD36" i="52"/>
  <c r="H38" i="41" s="1"/>
  <c r="H14" i="41"/>
  <c r="G15" i="41"/>
  <c r="G16" i="41"/>
  <c r="G13" i="41"/>
  <c r="J18" i="42" s="1"/>
  <c r="AC39" i="51"/>
  <c r="AC40" i="51" s="1"/>
  <c r="G43" i="41" s="1"/>
  <c r="AD132" i="50"/>
  <c r="AD224" i="50"/>
  <c r="AH13" i="50"/>
  <c r="AD9" i="52"/>
  <c r="AD31" i="50"/>
  <c r="H29" i="41" s="1"/>
  <c r="AE300" i="50"/>
  <c r="AE333" i="50"/>
  <c r="AE345" i="50"/>
  <c r="AE313" i="50"/>
  <c r="AE337" i="50"/>
  <c r="AE304" i="50"/>
  <c r="AE314" i="50"/>
  <c r="AE346" i="50"/>
  <c r="AF301" i="50"/>
  <c r="AF334" i="50"/>
  <c r="AG348" i="50"/>
  <c r="AG316" i="50"/>
  <c r="AE302" i="50"/>
  <c r="AE335" i="50"/>
  <c r="F18" i="50"/>
  <c r="F32" i="50"/>
  <c r="F10" i="50"/>
  <c r="AF211" i="50"/>
  <c r="AF242" i="50" s="1"/>
  <c r="AG117" i="50"/>
  <c r="E23" i="50"/>
  <c r="E27" i="50"/>
  <c r="AF245" i="50"/>
  <c r="AG120" i="50"/>
  <c r="AF214" i="50"/>
  <c r="AF23" i="52"/>
  <c r="AG31" i="51"/>
  <c r="AE298" i="50"/>
  <c r="AE331" i="50"/>
  <c r="H103" i="51"/>
  <c r="H105" i="51" s="1"/>
  <c r="H106" i="51" s="1"/>
  <c r="H101" i="51"/>
  <c r="AI109" i="50"/>
  <c r="AH203" i="50"/>
  <c r="AH234" i="50" s="1"/>
  <c r="AE344" i="50"/>
  <c r="AE312" i="50"/>
  <c r="AC17" i="52"/>
  <c r="AC13" i="51"/>
  <c r="AI122" i="50"/>
  <c r="AH216" i="50"/>
  <c r="AH247" i="50" s="1"/>
  <c r="G27" i="50"/>
  <c r="G23" i="50"/>
  <c r="AE343" i="50"/>
  <c r="AE311" i="50"/>
  <c r="AE26" i="50"/>
  <c r="AE13" i="52" s="1"/>
  <c r="AF205" i="50"/>
  <c r="AF236" i="50" s="1"/>
  <c r="AG111" i="50"/>
  <c r="L27" i="50"/>
  <c r="L28" i="50" s="1"/>
  <c r="L23" i="50"/>
  <c r="R132" i="50"/>
  <c r="H27" i="50"/>
  <c r="H23" i="50"/>
  <c r="V56" i="51"/>
  <c r="R56" i="51"/>
  <c r="R40" i="50"/>
  <c r="AB10" i="50"/>
  <c r="AB32" i="50"/>
  <c r="I15" i="42" s="1"/>
  <c r="Y56" i="51"/>
  <c r="Y34" i="50"/>
  <c r="Y40" i="50"/>
  <c r="AG34" i="52"/>
  <c r="AG35" i="52" s="1"/>
  <c r="AG24" i="51"/>
  <c r="Q22" i="50"/>
  <c r="Q19" i="50"/>
  <c r="AF198" i="50"/>
  <c r="AF229" i="50" s="1"/>
  <c r="AG104" i="50"/>
  <c r="Y99" i="50"/>
  <c r="Z99" i="50"/>
  <c r="U252" i="50"/>
  <c r="AE349" i="50"/>
  <c r="AE317" i="50"/>
  <c r="AF84" i="51"/>
  <c r="AE30" i="50"/>
  <c r="AC255" i="50"/>
  <c r="AC9" i="50" s="1"/>
  <c r="AA56" i="51"/>
  <c r="AA57" i="51" s="1"/>
  <c r="AA34" i="50"/>
  <c r="AA40" i="50"/>
  <c r="J77" i="51"/>
  <c r="J80" i="51" s="1"/>
  <c r="I81" i="51"/>
  <c r="AG303" i="50"/>
  <c r="AG336" i="50"/>
  <c r="AF204" i="50"/>
  <c r="AF235" i="50" s="1"/>
  <c r="AG110" i="50"/>
  <c r="X56" i="51"/>
  <c r="X34" i="50"/>
  <c r="X40" i="50"/>
  <c r="AE347" i="50"/>
  <c r="AE315" i="50"/>
  <c r="AD29" i="51"/>
  <c r="AD10" i="51"/>
  <c r="AD17" i="52" s="1"/>
  <c r="AD15" i="51"/>
  <c r="AD20" i="52" s="1"/>
  <c r="AD8" i="50"/>
  <c r="H9" i="41" s="1"/>
  <c r="AE305" i="50"/>
  <c r="AE338" i="50"/>
  <c r="AF200" i="50"/>
  <c r="AF231" i="50" s="1"/>
  <c r="AG106" i="50"/>
  <c r="AG199" i="50"/>
  <c r="AG230" i="50" s="1"/>
  <c r="AH105" i="50"/>
  <c r="AH42" i="52"/>
  <c r="AI50" i="51"/>
  <c r="U56" i="51"/>
  <c r="Q56" i="51"/>
  <c r="Q34" i="50"/>
  <c r="Q40" i="50"/>
  <c r="AF213" i="50"/>
  <c r="AF244" i="50" s="1"/>
  <c r="AG119" i="50"/>
  <c r="AE350" i="50"/>
  <c r="AE321" i="50"/>
  <c r="AE320" i="50"/>
  <c r="AH107" i="50"/>
  <c r="AG201" i="50"/>
  <c r="AG232" i="50" s="1"/>
  <c r="AC22" i="52"/>
  <c r="AF26" i="52"/>
  <c r="AG36" i="51"/>
  <c r="AF115" i="50"/>
  <c r="AE209" i="50"/>
  <c r="AE240" i="50" s="1"/>
  <c r="AE309" i="50" s="1"/>
  <c r="AH264" i="50"/>
  <c r="R7" i="50"/>
  <c r="R34" i="50" s="1"/>
  <c r="AF299" i="50"/>
  <c r="AF332" i="50"/>
  <c r="N56" i="51"/>
  <c r="N34" i="50"/>
  <c r="AG206" i="50"/>
  <c r="AG237" i="50" s="1"/>
  <c r="AH112" i="50"/>
  <c r="V131" i="50"/>
  <c r="V7" i="50" s="1"/>
  <c r="Y22" i="50"/>
  <c r="Y19" i="50"/>
  <c r="P27" i="50"/>
  <c r="P23" i="50"/>
  <c r="U131" i="50"/>
  <c r="U132" i="50" s="1"/>
  <c r="AG127" i="50"/>
  <c r="AF221" i="50"/>
  <c r="AF252" i="50" s="1"/>
  <c r="AF351" i="50" s="1"/>
  <c r="AF219" i="50"/>
  <c r="AF250" i="50" s="1"/>
  <c r="AF319" i="50" s="1"/>
  <c r="AG125" i="50"/>
  <c r="AG123" i="50"/>
  <c r="AF217" i="50"/>
  <c r="AF248" i="50" s="1"/>
  <c r="J110" i="51"/>
  <c r="J113" i="51" s="1"/>
  <c r="I45" i="51"/>
  <c r="I100" i="51"/>
  <c r="I95" i="51"/>
  <c r="J92" i="51"/>
  <c r="J94" i="51" s="1"/>
  <c r="AG126" i="50"/>
  <c r="AF220" i="50"/>
  <c r="AF251" i="50" s="1"/>
  <c r="I56" i="51"/>
  <c r="I34" i="50"/>
  <c r="I40" i="50"/>
  <c r="AG116" i="50"/>
  <c r="AF210" i="50"/>
  <c r="AF241" i="50" s="1"/>
  <c r="AF310" i="50" s="1"/>
  <c r="AH124" i="50"/>
  <c r="AG218" i="50"/>
  <c r="AG249" i="50" s="1"/>
  <c r="AG318" i="50" s="1"/>
  <c r="X19" i="50"/>
  <c r="X22" i="50"/>
  <c r="AF215" i="50"/>
  <c r="AF246" i="50" s="1"/>
  <c r="AG121" i="50"/>
  <c r="AH18" i="51"/>
  <c r="U49" i="51"/>
  <c r="U8" i="52" s="1"/>
  <c r="U14" i="52" s="1"/>
  <c r="U28" i="50"/>
  <c r="AF24" i="52"/>
  <c r="AG32" i="51"/>
  <c r="AF202" i="50"/>
  <c r="AF233" i="50" s="1"/>
  <c r="AG108" i="50"/>
  <c r="AE208" i="50"/>
  <c r="AE239" i="50" s="1"/>
  <c r="AF114" i="50"/>
  <c r="AE272" i="50"/>
  <c r="AD290" i="50"/>
  <c r="AD306" i="50"/>
  <c r="AD324" i="50" s="1"/>
  <c r="AH11" i="51"/>
  <c r="N22" i="50"/>
  <c r="N19" i="50"/>
  <c r="I82" i="51"/>
  <c r="I85" i="51" s="1"/>
  <c r="I87" i="51" s="1"/>
  <c r="I88" i="51" s="1"/>
  <c r="H86" i="51"/>
  <c r="V252" i="50"/>
  <c r="O27" i="50"/>
  <c r="O23" i="50"/>
  <c r="AF34" i="52"/>
  <c r="AF35" i="52" s="1"/>
  <c r="AE130" i="50"/>
  <c r="H41" i="52"/>
  <c r="H44" i="52" s="1"/>
  <c r="H114" i="51"/>
  <c r="S27" i="50"/>
  <c r="S28" i="50" s="1"/>
  <c r="S23" i="50"/>
  <c r="AD255" i="50"/>
  <c r="AD9" i="50" s="1"/>
  <c r="AD22" i="51"/>
  <c r="AF212" i="50"/>
  <c r="AF243" i="50" s="1"/>
  <c r="AG118" i="50"/>
  <c r="AG21" i="52"/>
  <c r="AC20" i="52"/>
  <c r="B24" i="42"/>
  <c r="I99" i="51" l="1"/>
  <c r="J96" i="51"/>
  <c r="J98" i="51" s="1"/>
  <c r="K96" i="51"/>
  <c r="K98" i="51" s="1"/>
  <c r="K99" i="51" s="1"/>
  <c r="AC41" i="51"/>
  <c r="H16" i="41"/>
  <c r="H15" i="41"/>
  <c r="H13" i="41"/>
  <c r="K18" i="42" s="1"/>
  <c r="AI13" i="50"/>
  <c r="AE9" i="52"/>
  <c r="AD39" i="51"/>
  <c r="AD40" i="51" s="1"/>
  <c r="H43" i="41" s="1"/>
  <c r="AF338" i="50"/>
  <c r="AF305" i="50"/>
  <c r="AG299" i="50"/>
  <c r="AG332" i="50"/>
  <c r="AH336" i="50"/>
  <c r="AH303" i="50"/>
  <c r="AF317" i="50"/>
  <c r="AF349" i="50"/>
  <c r="AG334" i="50"/>
  <c r="AG301" i="50"/>
  <c r="AH348" i="50"/>
  <c r="AH316" i="50"/>
  <c r="AF311" i="50"/>
  <c r="AF343" i="50"/>
  <c r="AF26" i="50"/>
  <c r="AF13" i="52" s="1"/>
  <c r="AE308" i="50"/>
  <c r="AE255" i="50"/>
  <c r="AE9" i="50" s="1"/>
  <c r="AF337" i="50"/>
  <c r="AF304" i="50"/>
  <c r="AF350" i="50"/>
  <c r="AF321" i="50"/>
  <c r="AF320" i="50"/>
  <c r="V15" i="51"/>
  <c r="V20" i="52" s="1"/>
  <c r="V29" i="51"/>
  <c r="V10" i="51"/>
  <c r="O110" i="51"/>
  <c r="O113" i="51" s="1"/>
  <c r="J45" i="51"/>
  <c r="K110" i="51"/>
  <c r="K113" i="51" s="1"/>
  <c r="AH125" i="50"/>
  <c r="AG219" i="50"/>
  <c r="AG250" i="50" s="1"/>
  <c r="AG319" i="50" s="1"/>
  <c r="AE224" i="50"/>
  <c r="AH206" i="50"/>
  <c r="AH237" i="50" s="1"/>
  <c r="AI112" i="50"/>
  <c r="AI107" i="50"/>
  <c r="AH201" i="50"/>
  <c r="AH232" i="50" s="1"/>
  <c r="AF333" i="50"/>
  <c r="AF300" i="50"/>
  <c r="J81" i="51"/>
  <c r="K77" i="51"/>
  <c r="K80" i="51" s="1"/>
  <c r="M77" i="51"/>
  <c r="M80" i="51" s="1"/>
  <c r="L77" i="51"/>
  <c r="L80" i="51" s="1"/>
  <c r="AF331" i="50"/>
  <c r="AF298" i="50"/>
  <c r="G49" i="51"/>
  <c r="G28" i="50"/>
  <c r="F56" i="51"/>
  <c r="F40" i="50"/>
  <c r="F34" i="50"/>
  <c r="V321" i="50"/>
  <c r="V324" i="50" s="1"/>
  <c r="V351" i="50"/>
  <c r="V255" i="50"/>
  <c r="V9" i="50" s="1"/>
  <c r="N27" i="50"/>
  <c r="N28" i="50" s="1"/>
  <c r="N23" i="50"/>
  <c r="AI18" i="51"/>
  <c r="AI264" i="50"/>
  <c r="AH119" i="50"/>
  <c r="AG213" i="50"/>
  <c r="AG244" i="50" s="1"/>
  <c r="AH199" i="50"/>
  <c r="AH230" i="50" s="1"/>
  <c r="AI105" i="50"/>
  <c r="AH111" i="50"/>
  <c r="AG205" i="50"/>
  <c r="AG236" i="50" s="1"/>
  <c r="AF346" i="50"/>
  <c r="AF314" i="50"/>
  <c r="AG212" i="50"/>
  <c r="AG243" i="50" s="1"/>
  <c r="AH118" i="50"/>
  <c r="AE22" i="51"/>
  <c r="AI11" i="51"/>
  <c r="AF272" i="50"/>
  <c r="AE290" i="50"/>
  <c r="AE306" i="50"/>
  <c r="AH108" i="50"/>
  <c r="AG202" i="50"/>
  <c r="AG233" i="50" s="1"/>
  <c r="AH21" i="52"/>
  <c r="X27" i="50"/>
  <c r="X28" i="50" s="1"/>
  <c r="X23" i="50"/>
  <c r="AH126" i="50"/>
  <c r="AG220" i="50"/>
  <c r="AG251" i="50"/>
  <c r="I103" i="51"/>
  <c r="I105" i="51" s="1"/>
  <c r="I12" i="50" s="1"/>
  <c r="I101" i="51"/>
  <c r="AG217" i="50"/>
  <c r="AG248" i="50" s="1"/>
  <c r="AH123" i="50"/>
  <c r="P49" i="51"/>
  <c r="P8" i="52" s="1"/>
  <c r="P14" i="52" s="1"/>
  <c r="P28" i="50"/>
  <c r="V132" i="50"/>
  <c r="W99" i="50" s="1"/>
  <c r="U351" i="50"/>
  <c r="U321" i="50"/>
  <c r="U324" i="50" s="1"/>
  <c r="U255" i="50"/>
  <c r="Q23" i="50"/>
  <c r="Q27" i="50"/>
  <c r="R99" i="50"/>
  <c r="S99" i="50"/>
  <c r="AI216" i="50"/>
  <c r="AI247" i="50" s="1"/>
  <c r="AJ122" i="50"/>
  <c r="AJ109" i="50"/>
  <c r="AI203" i="50"/>
  <c r="AI234" i="50" s="1"/>
  <c r="E28" i="50"/>
  <c r="E49" i="51"/>
  <c r="AF312" i="50"/>
  <c r="AF344" i="50"/>
  <c r="O49" i="51"/>
  <c r="O28" i="50"/>
  <c r="AF302" i="50"/>
  <c r="AF335" i="50"/>
  <c r="AF315" i="50"/>
  <c r="AF347" i="50"/>
  <c r="AG210" i="50"/>
  <c r="AG241" i="50" s="1"/>
  <c r="AG310" i="50" s="1"/>
  <c r="AH116" i="50"/>
  <c r="K92" i="51"/>
  <c r="K94" i="51" s="1"/>
  <c r="J95" i="51"/>
  <c r="M92" i="51"/>
  <c r="M94" i="51" s="1"/>
  <c r="J100" i="51"/>
  <c r="L92" i="51"/>
  <c r="L94" i="51" s="1"/>
  <c r="Y23" i="50"/>
  <c r="Y27" i="50"/>
  <c r="Y28" i="50" s="1"/>
  <c r="AF345" i="50"/>
  <c r="AF313" i="50"/>
  <c r="AD22" i="52"/>
  <c r="AH120" i="50"/>
  <c r="AG214" i="50"/>
  <c r="AG245" i="50" s="1"/>
  <c r="AH117" i="50"/>
  <c r="AG211" i="50"/>
  <c r="AG242" i="50" s="1"/>
  <c r="AE131" i="50"/>
  <c r="AE7" i="50" s="1"/>
  <c r="AG24" i="52"/>
  <c r="AH32" i="51"/>
  <c r="AH218" i="50"/>
  <c r="AH249" i="50" s="1"/>
  <c r="AH318" i="50" s="1"/>
  <c r="AI124" i="50"/>
  <c r="AH127" i="50"/>
  <c r="AG221" i="50"/>
  <c r="AG252" i="50" s="1"/>
  <c r="AG351" i="50" s="1"/>
  <c r="AG26" i="52"/>
  <c r="AH36" i="51"/>
  <c r="AG200" i="50"/>
  <c r="AG231" i="50" s="1"/>
  <c r="AH106" i="50"/>
  <c r="AC10" i="50"/>
  <c r="AC32" i="50"/>
  <c r="AG198" i="50"/>
  <c r="AH104" i="50"/>
  <c r="AB56" i="51"/>
  <c r="AB40" i="50"/>
  <c r="AB34" i="50"/>
  <c r="H49" i="51"/>
  <c r="H28" i="50"/>
  <c r="AG23" i="52"/>
  <c r="AH31" i="51"/>
  <c r="F22" i="50"/>
  <c r="F19" i="50"/>
  <c r="AD32" i="50"/>
  <c r="AD10" i="50"/>
  <c r="I86" i="51"/>
  <c r="J82" i="51"/>
  <c r="J85" i="51" s="1"/>
  <c r="AH18" i="52"/>
  <c r="AF208" i="50"/>
  <c r="AG114" i="50"/>
  <c r="AG215" i="50"/>
  <c r="AG246" i="50" s="1"/>
  <c r="I41" i="52"/>
  <c r="I44" i="52" s="1"/>
  <c r="I114" i="51"/>
  <c r="R10" i="51"/>
  <c r="R15" i="51"/>
  <c r="R20" i="52" s="1"/>
  <c r="R10" i="50"/>
  <c r="AF209" i="50"/>
  <c r="AF240" i="50" s="1"/>
  <c r="AF309" i="50" s="1"/>
  <c r="AG115" i="50"/>
  <c r="AI42" i="52"/>
  <c r="AJ50" i="51"/>
  <c r="AD13" i="51"/>
  <c r="AG204" i="50"/>
  <c r="AG235" i="50" s="1"/>
  <c r="AH110" i="50"/>
  <c r="AG84" i="51"/>
  <c r="AF30" i="50"/>
  <c r="AF130" i="50"/>
  <c r="AH34" i="52"/>
  <c r="AH35" i="52" s="1"/>
  <c r="AH24" i="51"/>
  <c r="B33" i="42"/>
  <c r="AG130" i="50" l="1"/>
  <c r="J99" i="51"/>
  <c r="M96" i="51"/>
  <c r="M98" i="51" s="1"/>
  <c r="M35" i="51" s="1"/>
  <c r="L96" i="51"/>
  <c r="L98" i="51" s="1"/>
  <c r="AE31" i="50"/>
  <c r="I29" i="41" s="1"/>
  <c r="AE14" i="50"/>
  <c r="AF224" i="50"/>
  <c r="AE324" i="50"/>
  <c r="AE36" i="52"/>
  <c r="I38" i="41" s="1"/>
  <c r="I14" i="41"/>
  <c r="AJ13" i="50"/>
  <c r="AF9" i="52"/>
  <c r="AD41" i="51"/>
  <c r="AG337" i="50"/>
  <c r="AG304" i="50"/>
  <c r="AG347" i="50"/>
  <c r="AG315" i="50"/>
  <c r="AE29" i="51"/>
  <c r="AE15" i="51"/>
  <c r="AE10" i="51"/>
  <c r="AE8" i="50"/>
  <c r="I9" i="41" s="1"/>
  <c r="AI336" i="50"/>
  <c r="AI303" i="50"/>
  <c r="AG338" i="50"/>
  <c r="AG305" i="50"/>
  <c r="AH334" i="50"/>
  <c r="AH301" i="50"/>
  <c r="AG300" i="50"/>
  <c r="AG333" i="50"/>
  <c r="AI348" i="50"/>
  <c r="AI316" i="50"/>
  <c r="AG317" i="50"/>
  <c r="AG349" i="50"/>
  <c r="AG343" i="50"/>
  <c r="AG26" i="50"/>
  <c r="AG13" i="52" s="1"/>
  <c r="AG311" i="50"/>
  <c r="AG312" i="50"/>
  <c r="AG344" i="50"/>
  <c r="AH339" i="50"/>
  <c r="AH204" i="50"/>
  <c r="AH235" i="50" s="1"/>
  <c r="AI110" i="50"/>
  <c r="AH200" i="50"/>
  <c r="AH231" i="50" s="1"/>
  <c r="AI106" i="50"/>
  <c r="AG346" i="50"/>
  <c r="AG314" i="50"/>
  <c r="AG350" i="50"/>
  <c r="AG320" i="50"/>
  <c r="AG321" i="50"/>
  <c r="AG335" i="50"/>
  <c r="AG302" i="50"/>
  <c r="AJ11" i="51"/>
  <c r="AJ18" i="52" s="1"/>
  <c r="AH332" i="50"/>
  <c r="AH299" i="50"/>
  <c r="AH213" i="50"/>
  <c r="AH244" i="50"/>
  <c r="AI119" i="50"/>
  <c r="AJ18" i="51"/>
  <c r="AD56" i="51"/>
  <c r="AF56" i="51"/>
  <c r="AD40" i="50"/>
  <c r="AD34" i="50"/>
  <c r="H24" i="41" s="1"/>
  <c r="H8" i="52"/>
  <c r="H14" i="52" s="1"/>
  <c r="H46" i="52" s="1"/>
  <c r="H52" i="51"/>
  <c r="H53" i="51" s="1"/>
  <c r="AH214" i="50"/>
  <c r="AH245" i="50"/>
  <c r="AI120" i="50"/>
  <c r="AK109" i="50"/>
  <c r="AJ203" i="50"/>
  <c r="AJ234" i="50"/>
  <c r="Q49" i="51"/>
  <c r="Q8" i="52" s="1"/>
  <c r="Q14" i="52" s="1"/>
  <c r="Q28" i="50"/>
  <c r="AJ105" i="50"/>
  <c r="AI199" i="50"/>
  <c r="AI230" i="50" s="1"/>
  <c r="AI21" i="52"/>
  <c r="L81" i="51"/>
  <c r="N77" i="51"/>
  <c r="N80" i="51" s="1"/>
  <c r="L87" i="51"/>
  <c r="L88" i="51" s="1"/>
  <c r="AF239" i="50"/>
  <c r="J86" i="51"/>
  <c r="M82" i="51"/>
  <c r="M85" i="51" s="1"/>
  <c r="M86" i="51" s="1"/>
  <c r="K82" i="51"/>
  <c r="K85" i="51" s="1"/>
  <c r="K86" i="51" s="1"/>
  <c r="L82" i="51"/>
  <c r="L85" i="51" s="1"/>
  <c r="AC56" i="51"/>
  <c r="AC34" i="50"/>
  <c r="G24" i="41" s="1"/>
  <c r="AC40" i="50"/>
  <c r="AH221" i="50"/>
  <c r="AH252" i="50" s="1"/>
  <c r="AH351" i="50" s="1"/>
  <c r="AI127" i="50"/>
  <c r="AE132" i="50"/>
  <c r="L100" i="51"/>
  <c r="N92" i="51"/>
  <c r="N94" i="51" s="1"/>
  <c r="L95" i="51"/>
  <c r="K95" i="51"/>
  <c r="K100" i="51"/>
  <c r="F46" i="51"/>
  <c r="E52" i="51"/>
  <c r="E53" i="51" s="1"/>
  <c r="AH220" i="50"/>
  <c r="AH251" i="50" s="1"/>
  <c r="AI126" i="50"/>
  <c r="AF22" i="51"/>
  <c r="AJ264" i="50"/>
  <c r="M21" i="51"/>
  <c r="AI201" i="50"/>
  <c r="AI232" i="50" s="1"/>
  <c r="AJ107" i="50"/>
  <c r="L110" i="51"/>
  <c r="L113" i="51" s="1"/>
  <c r="M110" i="51"/>
  <c r="M113" i="51" s="1"/>
  <c r="K45" i="51"/>
  <c r="V17" i="52"/>
  <c r="V13" i="51"/>
  <c r="R17" i="52"/>
  <c r="R13" i="51"/>
  <c r="F27" i="50"/>
  <c r="F23" i="50"/>
  <c r="AG131" i="50"/>
  <c r="AG132" i="50" s="1"/>
  <c r="AI218" i="50"/>
  <c r="AI249" i="50" s="1"/>
  <c r="AI318" i="50" s="1"/>
  <c r="AJ124" i="50"/>
  <c r="M100" i="51"/>
  <c r="M103" i="51" s="1"/>
  <c r="M105" i="51" s="1"/>
  <c r="M12" i="50" s="1"/>
  <c r="M30" i="51"/>
  <c r="AK122" i="50"/>
  <c r="AJ216" i="50"/>
  <c r="AJ247" i="50" s="1"/>
  <c r="AH212" i="50"/>
  <c r="AH243" i="50" s="1"/>
  <c r="AI118" i="50"/>
  <c r="V10" i="50"/>
  <c r="K81" i="51"/>
  <c r="AH219" i="50"/>
  <c r="AH250" i="50" s="1"/>
  <c r="AH319" i="50" s="1"/>
  <c r="AI125" i="50"/>
  <c r="S110" i="51"/>
  <c r="S113" i="51" s="1"/>
  <c r="O45" i="51"/>
  <c r="R110" i="51"/>
  <c r="R113" i="51" s="1"/>
  <c r="R45" i="51" s="1"/>
  <c r="Q110" i="51"/>
  <c r="Q113" i="51" s="1"/>
  <c r="Q45" i="51" s="1"/>
  <c r="AF131" i="50"/>
  <c r="AF7" i="50" s="1"/>
  <c r="AF14" i="50" s="1"/>
  <c r="AJ42" i="52"/>
  <c r="AK50" i="51"/>
  <c r="AH23" i="52"/>
  <c r="AI31" i="51"/>
  <c r="AH198" i="50"/>
  <c r="AI104" i="50"/>
  <c r="AH211" i="50"/>
  <c r="AH242" i="50" s="1"/>
  <c r="AI117" i="50"/>
  <c r="AI18" i="52"/>
  <c r="AG345" i="50"/>
  <c r="AG313" i="50"/>
  <c r="G8" i="52"/>
  <c r="G14" i="52" s="1"/>
  <c r="G46" i="52" s="1"/>
  <c r="G52" i="51"/>
  <c r="G53" i="51" s="1"/>
  <c r="AI24" i="51"/>
  <c r="AI34" i="52" s="1"/>
  <c r="AI35" i="52" s="1"/>
  <c r="AH84" i="51"/>
  <c r="AG30" i="50"/>
  <c r="AH115" i="50"/>
  <c r="AG209" i="50"/>
  <c r="AG240" i="50" s="1"/>
  <c r="AG309" i="50" s="1"/>
  <c r="AG208" i="50"/>
  <c r="AG239" i="50" s="1"/>
  <c r="AG308" i="50" s="1"/>
  <c r="AH114" i="50"/>
  <c r="AG229" i="50"/>
  <c r="AH26" i="52"/>
  <c r="AI36" i="51"/>
  <c r="AH24" i="52"/>
  <c r="AI32" i="51"/>
  <c r="J101" i="51"/>
  <c r="J103" i="51"/>
  <c r="J105" i="51" s="1"/>
  <c r="J12" i="50" s="1"/>
  <c r="AH210" i="50"/>
  <c r="AH241" i="50"/>
  <c r="AI116" i="50"/>
  <c r="O8" i="52"/>
  <c r="O14" i="52" s="1"/>
  <c r="P46" i="51"/>
  <c r="AH217" i="50"/>
  <c r="AH248" i="50" s="1"/>
  <c r="AI123" i="50"/>
  <c r="I106" i="51"/>
  <c r="I18" i="50"/>
  <c r="AH202" i="50"/>
  <c r="AH233" i="50" s="1"/>
  <c r="AI108" i="50"/>
  <c r="AG272" i="50"/>
  <c r="AF290" i="50"/>
  <c r="AF306" i="50"/>
  <c r="AH205" i="50"/>
  <c r="AH236" i="50" s="1"/>
  <c r="AI111" i="50"/>
  <c r="J87" i="51"/>
  <c r="J88" i="51" s="1"/>
  <c r="AJ112" i="50"/>
  <c r="AI206" i="50"/>
  <c r="AI237" i="50" s="1"/>
  <c r="J41" i="52"/>
  <c r="J114" i="51"/>
  <c r="J52" i="51"/>
  <c r="J53" i="51" s="1"/>
  <c r="V22" i="52"/>
  <c r="AE32" i="50"/>
  <c r="AE10" i="50"/>
  <c r="L99" i="51" l="1"/>
  <c r="N96" i="51"/>
  <c r="N98" i="51" s="1"/>
  <c r="M99" i="51"/>
  <c r="M39" i="52"/>
  <c r="AG7" i="50"/>
  <c r="AK13" i="50"/>
  <c r="AG36" i="52"/>
  <c r="K38" i="41" s="1"/>
  <c r="I13" i="41"/>
  <c r="L18" i="42" s="1"/>
  <c r="I16" i="41"/>
  <c r="I15" i="41"/>
  <c r="AF132" i="50"/>
  <c r="AF36" i="52"/>
  <c r="J38" i="41" s="1"/>
  <c r="J14" i="41"/>
  <c r="AF31" i="50"/>
  <c r="J29" i="41" s="1"/>
  <c r="AG9" i="52"/>
  <c r="G25" i="41"/>
  <c r="G23" i="41"/>
  <c r="J16" i="42" s="1"/>
  <c r="G26" i="41"/>
  <c r="H25" i="41"/>
  <c r="H26" i="41"/>
  <c r="H23" i="41"/>
  <c r="K16" i="42" s="1"/>
  <c r="AE39" i="51"/>
  <c r="AE40" i="51" s="1"/>
  <c r="I43" i="41" s="1"/>
  <c r="M87" i="51"/>
  <c r="K87" i="51"/>
  <c r="K88" i="51" s="1"/>
  <c r="AH335" i="50"/>
  <c r="AH302" i="50"/>
  <c r="AH349" i="50"/>
  <c r="AH317" i="50"/>
  <c r="AH343" i="50"/>
  <c r="AH26" i="50"/>
  <c r="AH13" i="52" s="1"/>
  <c r="AH311" i="50"/>
  <c r="AJ316" i="50"/>
  <c r="AJ348" i="50"/>
  <c r="AI334" i="50"/>
  <c r="AI301" i="50"/>
  <c r="AH333" i="50"/>
  <c r="AH300" i="50"/>
  <c r="AI339" i="50"/>
  <c r="AH338" i="50"/>
  <c r="AH305" i="50"/>
  <c r="AF15" i="51"/>
  <c r="AF20" i="52" s="1"/>
  <c r="AF29" i="51"/>
  <c r="AF10" i="51"/>
  <c r="AF8" i="50"/>
  <c r="J9" i="41" s="1"/>
  <c r="AK42" i="52"/>
  <c r="AL50" i="51"/>
  <c r="AL42" i="52" s="1"/>
  <c r="T110" i="51"/>
  <c r="T113" i="51" s="1"/>
  <c r="S114" i="51"/>
  <c r="U110" i="51"/>
  <c r="U113" i="51" s="1"/>
  <c r="V110" i="51"/>
  <c r="V113" i="51" s="1"/>
  <c r="V45" i="51" s="1"/>
  <c r="M106" i="51"/>
  <c r="M18" i="50"/>
  <c r="O92" i="51"/>
  <c r="O94" i="51" s="1"/>
  <c r="N95" i="51"/>
  <c r="AK105" i="50"/>
  <c r="AJ199" i="50"/>
  <c r="AJ230" i="50" s="1"/>
  <c r="AH346" i="50"/>
  <c r="AH314" i="50"/>
  <c r="AI213" i="50"/>
  <c r="AI244" i="50" s="1"/>
  <c r="AJ119" i="50"/>
  <c r="J8" i="51"/>
  <c r="AH272" i="50"/>
  <c r="AG290" i="50"/>
  <c r="AG306" i="50"/>
  <c r="AI24" i="52"/>
  <c r="AJ32" i="51"/>
  <c r="AJ125" i="50"/>
  <c r="AI219" i="50"/>
  <c r="AI250" i="50" s="1"/>
  <c r="AI319" i="50" s="1"/>
  <c r="AH344" i="50"/>
  <c r="AH312" i="50"/>
  <c r="AJ218" i="50"/>
  <c r="AJ249" i="50" s="1"/>
  <c r="AJ318" i="50" s="1"/>
  <c r="AK124" i="50"/>
  <c r="K41" i="52"/>
  <c r="K44" i="52" s="1"/>
  <c r="K46" i="52" s="1"/>
  <c r="K114" i="51"/>
  <c r="K52" i="51"/>
  <c r="K53" i="51" s="1"/>
  <c r="L101" i="51"/>
  <c r="L103" i="51"/>
  <c r="L105" i="51" s="1"/>
  <c r="L106" i="51" s="1"/>
  <c r="AG224" i="50"/>
  <c r="AH313" i="50"/>
  <c r="AH345" i="50"/>
  <c r="AH304" i="50"/>
  <c r="AH337" i="50"/>
  <c r="AE13" i="51"/>
  <c r="AE17" i="52"/>
  <c r="AE56" i="51"/>
  <c r="AG56" i="51"/>
  <c r="AE34" i="50"/>
  <c r="I24" i="41" s="1"/>
  <c r="AE40" i="50"/>
  <c r="AJ108" i="50"/>
  <c r="AI202" i="50"/>
  <c r="AI233" i="50" s="1"/>
  <c r="AH208" i="50"/>
  <c r="AI114" i="50"/>
  <c r="AI115" i="50"/>
  <c r="AH209" i="50"/>
  <c r="AH240" i="50" s="1"/>
  <c r="AH309" i="50" s="1"/>
  <c r="AI84" i="51"/>
  <c r="AH30" i="50"/>
  <c r="G8" i="51"/>
  <c r="AH130" i="50"/>
  <c r="AI23" i="52"/>
  <c r="AJ31" i="51"/>
  <c r="R41" i="52"/>
  <c r="R114" i="51"/>
  <c r="AJ118" i="50"/>
  <c r="AI212" i="50"/>
  <c r="AI243" i="50" s="1"/>
  <c r="P110" i="51"/>
  <c r="P113" i="51" s="1"/>
  <c r="P45" i="51" s="1"/>
  <c r="M45" i="51"/>
  <c r="L86" i="51"/>
  <c r="N82" i="51"/>
  <c r="N85" i="51" s="1"/>
  <c r="N87" i="51" s="1"/>
  <c r="N88" i="51" s="1"/>
  <c r="AF308" i="50"/>
  <c r="AF324" i="50" s="1"/>
  <c r="AF255" i="50"/>
  <c r="AF9" i="50" s="1"/>
  <c r="AK203" i="50"/>
  <c r="AK234" i="50" s="1"/>
  <c r="AL109" i="50"/>
  <c r="H8" i="51"/>
  <c r="AK18" i="51"/>
  <c r="AI204" i="50"/>
  <c r="AI235" i="50" s="1"/>
  <c r="AJ110" i="50"/>
  <c r="AE20" i="52"/>
  <c r="AI205" i="50"/>
  <c r="AI236" i="50" s="1"/>
  <c r="AJ111" i="50"/>
  <c r="AJ116" i="50"/>
  <c r="AI210" i="50"/>
  <c r="AI241" i="50" s="1"/>
  <c r="AI211" i="50"/>
  <c r="AI242" i="50" s="1"/>
  <c r="AJ117" i="50"/>
  <c r="AG15" i="51"/>
  <c r="AG10" i="51"/>
  <c r="F49" i="51"/>
  <c r="F8" i="52" s="1"/>
  <c r="F14" i="52" s="1"/>
  <c r="F46" i="52" s="1"/>
  <c r="F28" i="50"/>
  <c r="AJ201" i="50"/>
  <c r="AJ232" i="50" s="1"/>
  <c r="AK107" i="50"/>
  <c r="AH350" i="50"/>
  <c r="AH320" i="50"/>
  <c r="AH321" i="50"/>
  <c r="N81" i="51"/>
  <c r="O77" i="51"/>
  <c r="O80" i="51" s="1"/>
  <c r="AJ336" i="50"/>
  <c r="AJ303" i="50"/>
  <c r="AK112" i="50"/>
  <c r="AJ206" i="50"/>
  <c r="AJ237" i="50"/>
  <c r="I22" i="50"/>
  <c r="I19" i="50"/>
  <c r="AH342" i="50"/>
  <c r="AH310" i="50"/>
  <c r="AG255" i="50"/>
  <c r="AG9" i="50" s="1"/>
  <c r="AG298" i="50"/>
  <c r="AG324" i="50" s="1"/>
  <c r="AG331" i="50"/>
  <c r="AH229" i="50"/>
  <c r="Q114" i="51"/>
  <c r="Q41" i="52"/>
  <c r="Q52" i="51"/>
  <c r="AL122" i="50"/>
  <c r="AK216" i="50"/>
  <c r="AK247" i="50" s="1"/>
  <c r="AG22" i="51"/>
  <c r="K101" i="51"/>
  <c r="K103" i="51"/>
  <c r="K105" i="51" s="1"/>
  <c r="K12" i="50" s="1"/>
  <c r="AI332" i="50"/>
  <c r="AI299" i="50"/>
  <c r="AK11" i="51"/>
  <c r="AK18" i="52" s="1"/>
  <c r="AJ123" i="50"/>
  <c r="AI217" i="50"/>
  <c r="AI248" i="50" s="1"/>
  <c r="J106" i="51"/>
  <c r="J18" i="50"/>
  <c r="AI26" i="52"/>
  <c r="AJ36" i="51"/>
  <c r="AJ24" i="51"/>
  <c r="AJ34" i="52" s="1"/>
  <c r="AJ35" i="52" s="1"/>
  <c r="AI198" i="50"/>
  <c r="AJ104" i="50"/>
  <c r="S41" i="52"/>
  <c r="S44" i="52" s="1"/>
  <c r="S46" i="52" s="1"/>
  <c r="O114" i="51"/>
  <c r="O52" i="51"/>
  <c r="O53" i="51" s="1"/>
  <c r="M25" i="52"/>
  <c r="M27" i="52" s="1"/>
  <c r="M101" i="51"/>
  <c r="M95" i="51"/>
  <c r="M33" i="51"/>
  <c r="M38" i="51" s="1"/>
  <c r="L45" i="51"/>
  <c r="N110" i="51"/>
  <c r="N113" i="51" s="1"/>
  <c r="N45" i="51" s="1"/>
  <c r="M23" i="51"/>
  <c r="M81" i="51"/>
  <c r="AK264" i="50"/>
  <c r="AI220" i="50"/>
  <c r="AI251" i="50" s="1"/>
  <c r="AJ126" i="50"/>
  <c r="E8" i="51"/>
  <c r="AJ127" i="50"/>
  <c r="AI221" i="50"/>
  <c r="AI252" i="50" s="1"/>
  <c r="AI351" i="50" s="1"/>
  <c r="AJ120" i="50"/>
  <c r="AI214" i="50"/>
  <c r="AI245" i="50" s="1"/>
  <c r="AJ21" i="52"/>
  <c r="AI200" i="50"/>
  <c r="AI231" i="50" s="1"/>
  <c r="AJ106" i="50"/>
  <c r="AE22" i="52"/>
  <c r="B70" i="42"/>
  <c r="N99" i="51" l="1"/>
  <c r="O96" i="51"/>
  <c r="O98" i="51" s="1"/>
  <c r="AG29" i="51"/>
  <c r="AG39" i="51" s="1"/>
  <c r="AG40" i="51" s="1"/>
  <c r="K43" i="41" s="1"/>
  <c r="AG14" i="50"/>
  <c r="N100" i="51"/>
  <c r="AG31" i="50"/>
  <c r="K29" i="41" s="1"/>
  <c r="AG8" i="50"/>
  <c r="K9" i="41" s="1"/>
  <c r="K14" i="41"/>
  <c r="K16" i="41" s="1"/>
  <c r="AH224" i="50"/>
  <c r="AI130" i="50"/>
  <c r="AI131" i="50" s="1"/>
  <c r="AI132" i="50" s="1"/>
  <c r="J13" i="41"/>
  <c r="M18" i="42" s="1"/>
  <c r="J15" i="41"/>
  <c r="J16" i="41"/>
  <c r="AH239" i="50"/>
  <c r="AH341" i="50" s="1"/>
  <c r="AL13" i="50"/>
  <c r="AH9" i="52"/>
  <c r="I25" i="41"/>
  <c r="I23" i="41"/>
  <c r="L16" i="42" s="1"/>
  <c r="I26" i="41"/>
  <c r="AF39" i="51"/>
  <c r="AF40" i="51" s="1"/>
  <c r="J43" i="41" s="1"/>
  <c r="AE41" i="51"/>
  <c r="AF17" i="52"/>
  <c r="F52" i="51"/>
  <c r="F53" i="51" s="1"/>
  <c r="F8" i="51" s="1"/>
  <c r="AI300" i="50"/>
  <c r="AI333" i="50"/>
  <c r="AI321" i="50"/>
  <c r="AI350" i="50"/>
  <c r="AI320" i="50"/>
  <c r="AI343" i="50"/>
  <c r="AI311" i="50"/>
  <c r="AI26" i="50"/>
  <c r="AI13" i="52" s="1"/>
  <c r="AK348" i="50"/>
  <c r="AK316" i="50"/>
  <c r="AI337" i="50"/>
  <c r="AI304" i="50"/>
  <c r="AK303" i="50"/>
  <c r="AK336" i="50"/>
  <c r="AJ301" i="50"/>
  <c r="AJ334" i="50"/>
  <c r="AI344" i="50"/>
  <c r="AI312" i="50"/>
  <c r="AI335" i="50"/>
  <c r="AI302" i="50"/>
  <c r="AI314" i="50"/>
  <c r="AI346" i="50"/>
  <c r="AL264" i="50"/>
  <c r="AJ198" i="50"/>
  <c r="AJ229" i="50" s="1"/>
  <c r="AK104" i="50"/>
  <c r="J22" i="50"/>
  <c r="J19" i="50"/>
  <c r="AK206" i="50"/>
  <c r="AK237" i="50" s="1"/>
  <c r="AL112" i="50"/>
  <c r="AG13" i="51"/>
  <c r="AJ210" i="50"/>
  <c r="AJ241" i="50" s="1"/>
  <c r="AK116" i="50"/>
  <c r="H55" i="51"/>
  <c r="H57" i="51" s="1"/>
  <c r="H16" i="51"/>
  <c r="H25" i="51" s="1"/>
  <c r="H54" i="51" s="1"/>
  <c r="H59" i="51"/>
  <c r="H60" i="51" s="1"/>
  <c r="AJ84" i="51"/>
  <c r="AI30" i="50"/>
  <c r="K8" i="51"/>
  <c r="AI345" i="50"/>
  <c r="AI313" i="50"/>
  <c r="O95" i="51"/>
  <c r="S92" i="51"/>
  <c r="S94" i="51" s="1"/>
  <c r="R92" i="51"/>
  <c r="R94" i="51" s="1"/>
  <c r="Q92" i="51"/>
  <c r="Q94" i="51" s="1"/>
  <c r="P92" i="51"/>
  <c r="P94" i="51" s="1"/>
  <c r="O100" i="51"/>
  <c r="O101" i="51" s="1"/>
  <c r="AG17" i="52"/>
  <c r="AF13" i="51"/>
  <c r="AJ221" i="50"/>
  <c r="AJ252" i="50" s="1"/>
  <c r="AJ351" i="50" s="1"/>
  <c r="AK127" i="50"/>
  <c r="AI349" i="50"/>
  <c r="AI317" i="50"/>
  <c r="AG10" i="50"/>
  <c r="AG32" i="50"/>
  <c r="I23" i="50"/>
  <c r="I27" i="50"/>
  <c r="AF10" i="50"/>
  <c r="AF32" i="50"/>
  <c r="AJ212" i="50"/>
  <c r="AJ243" i="50"/>
  <c r="AK118" i="50"/>
  <c r="H49" i="52"/>
  <c r="H50" i="52" s="1"/>
  <c r="G55" i="51"/>
  <c r="G57" i="51" s="1"/>
  <c r="G16" i="51"/>
  <c r="G25" i="51" s="1"/>
  <c r="G54" i="51" s="1"/>
  <c r="AH298" i="50"/>
  <c r="AH331" i="50"/>
  <c r="AJ339" i="50"/>
  <c r="AJ213" i="50"/>
  <c r="AJ244" i="50" s="1"/>
  <c r="AK119" i="50"/>
  <c r="N103" i="51"/>
  <c r="N105" i="51" s="1"/>
  <c r="N106" i="51" s="1"/>
  <c r="N101" i="51"/>
  <c r="X110" i="51"/>
  <c r="X113" i="51" s="1"/>
  <c r="U45" i="51"/>
  <c r="AG20" i="52"/>
  <c r="AK106" i="50"/>
  <c r="AJ200" i="50"/>
  <c r="AJ231" i="50" s="1"/>
  <c r="N41" i="52"/>
  <c r="N44" i="52" s="1"/>
  <c r="N46" i="52" s="1"/>
  <c r="N114" i="51"/>
  <c r="N52" i="51"/>
  <c r="N53" i="51" s="1"/>
  <c r="AK24" i="51"/>
  <c r="AJ217" i="50"/>
  <c r="AJ248" i="50" s="1"/>
  <c r="AK123" i="50"/>
  <c r="AK117" i="50"/>
  <c r="AJ211" i="50"/>
  <c r="AJ242" i="50" s="1"/>
  <c r="AI305" i="50"/>
  <c r="AI338" i="50"/>
  <c r="AH131" i="50"/>
  <c r="AH132" i="50" s="1"/>
  <c r="AJ114" i="50"/>
  <c r="AI208" i="50"/>
  <c r="AL124" i="50"/>
  <c r="AK218" i="50"/>
  <c r="AK249" i="50" s="1"/>
  <c r="AK318" i="50" s="1"/>
  <c r="J59" i="51"/>
  <c r="J60" i="51" s="1"/>
  <c r="J16" i="51"/>
  <c r="J25" i="51" s="1"/>
  <c r="J54" i="51" s="1"/>
  <c r="J55" i="51"/>
  <c r="J57" i="51" s="1"/>
  <c r="AJ299" i="50"/>
  <c r="AJ332" i="50"/>
  <c r="W110" i="51"/>
  <c r="W113" i="51" s="1"/>
  <c r="W45" i="51" s="1"/>
  <c r="T114" i="51"/>
  <c r="AJ214" i="50"/>
  <c r="AJ245" i="50" s="1"/>
  <c r="AK120" i="50"/>
  <c r="AJ220" i="50"/>
  <c r="AJ251" i="50" s="1"/>
  <c r="AK126" i="50"/>
  <c r="L41" i="52"/>
  <c r="L44" i="52" s="1"/>
  <c r="L46" i="52" s="1"/>
  <c r="L114" i="51"/>
  <c r="L52" i="51"/>
  <c r="L53" i="51" s="1"/>
  <c r="AH22" i="51"/>
  <c r="AL247" i="50"/>
  <c r="AL216" i="50"/>
  <c r="S77" i="51"/>
  <c r="S80" i="51" s="1"/>
  <c r="P77" i="51"/>
  <c r="P80" i="51" s="1"/>
  <c r="Q77" i="51"/>
  <c r="Q80" i="51" s="1"/>
  <c r="O21" i="51"/>
  <c r="R77" i="51"/>
  <c r="R80" i="51" s="1"/>
  <c r="AG22" i="52"/>
  <c r="AI310" i="50"/>
  <c r="AI342" i="50"/>
  <c r="M41" i="52"/>
  <c r="M44" i="52" s="1"/>
  <c r="M114" i="51"/>
  <c r="AJ202" i="50"/>
  <c r="AJ233" i="50" s="1"/>
  <c r="AK108" i="50"/>
  <c r="AJ219" i="50"/>
  <c r="AJ250" i="50" s="1"/>
  <c r="AJ319" i="50" s="1"/>
  <c r="AK125" i="50"/>
  <c r="AK199" i="50"/>
  <c r="AK230" i="50" s="1"/>
  <c r="AL105" i="50"/>
  <c r="V41" i="52"/>
  <c r="V114" i="51"/>
  <c r="AF22" i="52"/>
  <c r="O41" i="52"/>
  <c r="O44" i="52" s="1"/>
  <c r="O46" i="52" s="1"/>
  <c r="AJ26" i="52"/>
  <c r="AK36" i="51"/>
  <c r="AL107" i="50"/>
  <c r="AK201" i="50"/>
  <c r="AK232" i="50" s="1"/>
  <c r="AK111" i="50"/>
  <c r="AJ205" i="50"/>
  <c r="AJ236" i="50" s="1"/>
  <c r="AL18" i="51"/>
  <c r="AL21" i="52" s="1"/>
  <c r="AL203" i="50"/>
  <c r="AL234" i="50" s="1"/>
  <c r="P41" i="52"/>
  <c r="P114" i="51"/>
  <c r="P52" i="51"/>
  <c r="AJ23" i="52"/>
  <c r="AK31" i="51"/>
  <c r="F49" i="52"/>
  <c r="F50" i="52" s="1"/>
  <c r="E16" i="51"/>
  <c r="E25" i="51" s="1"/>
  <c r="E54" i="51" s="1"/>
  <c r="E55" i="51"/>
  <c r="E57" i="51" s="1"/>
  <c r="M88" i="51"/>
  <c r="AI229" i="50"/>
  <c r="AL11" i="51"/>
  <c r="AL18" i="52" s="1"/>
  <c r="K106" i="51"/>
  <c r="K18" i="50"/>
  <c r="AK110" i="50"/>
  <c r="AJ204" i="50"/>
  <c r="AJ235" i="50" s="1"/>
  <c r="AK21" i="52"/>
  <c r="N86" i="51"/>
  <c r="O82" i="51"/>
  <c r="O85" i="51" s="1"/>
  <c r="AI209" i="50"/>
  <c r="AI240" i="50" s="1"/>
  <c r="AI309" i="50" s="1"/>
  <c r="AJ115" i="50"/>
  <c r="AJ24" i="52"/>
  <c r="AK32" i="51"/>
  <c r="AI272" i="50"/>
  <c r="AH290" i="50"/>
  <c r="AH306" i="50"/>
  <c r="M22" i="50"/>
  <c r="M19" i="50"/>
  <c r="R96" i="51" l="1"/>
  <c r="R98" i="51" s="1"/>
  <c r="R35" i="51" s="1"/>
  <c r="P96" i="51"/>
  <c r="P98" i="51" s="1"/>
  <c r="P35" i="51" s="1"/>
  <c r="Q96" i="51"/>
  <c r="Q98" i="51" s="1"/>
  <c r="Q35" i="51" s="1"/>
  <c r="O99" i="51"/>
  <c r="S96" i="51"/>
  <c r="S98" i="51" s="1"/>
  <c r="K15" i="41"/>
  <c r="K13" i="41"/>
  <c r="N18" i="42" s="1"/>
  <c r="AH308" i="50"/>
  <c r="AH7" i="50"/>
  <c r="AH14" i="50" s="1"/>
  <c r="L14" i="41" s="1"/>
  <c r="AI224" i="50"/>
  <c r="AH36" i="52"/>
  <c r="L38" i="41" s="1"/>
  <c r="AH31" i="50"/>
  <c r="L29" i="41" s="1"/>
  <c r="AH255" i="50"/>
  <c r="AH9" i="50" s="1"/>
  <c r="AH10" i="50" s="1"/>
  <c r="AI7" i="50"/>
  <c r="AI14" i="50" s="1"/>
  <c r="AF41" i="51"/>
  <c r="AI9" i="52"/>
  <c r="AG41" i="51"/>
  <c r="F51" i="52"/>
  <c r="AJ321" i="50"/>
  <c r="AJ320" i="50"/>
  <c r="AJ350" i="50"/>
  <c r="AJ317" i="50"/>
  <c r="AJ349" i="50"/>
  <c r="AJ342" i="50"/>
  <c r="AJ310" i="50"/>
  <c r="AJ333" i="50"/>
  <c r="AJ300" i="50"/>
  <c r="AL336" i="50"/>
  <c r="AL303" i="50"/>
  <c r="AJ345" i="50"/>
  <c r="AJ313" i="50"/>
  <c r="AJ311" i="50"/>
  <c r="AJ343" i="50"/>
  <c r="AJ26" i="50"/>
  <c r="AJ13" i="52" s="1"/>
  <c r="M23" i="50"/>
  <c r="M27" i="50"/>
  <c r="AK24" i="52"/>
  <c r="AL32" i="51"/>
  <c r="AL24" i="52" s="1"/>
  <c r="AJ338" i="50"/>
  <c r="AJ305" i="50"/>
  <c r="AK334" i="50"/>
  <c r="AK301" i="50"/>
  <c r="AL108" i="50"/>
  <c r="AK202" i="50"/>
  <c r="AK233" i="50" s="1"/>
  <c r="AL348" i="50"/>
  <c r="AL316" i="50"/>
  <c r="AK213" i="50"/>
  <c r="AK244" i="50" s="1"/>
  <c r="AL119" i="50"/>
  <c r="G49" i="52"/>
  <c r="G50" i="52" s="1"/>
  <c r="G51" i="52" s="1"/>
  <c r="F55" i="51"/>
  <c r="F57" i="51" s="1"/>
  <c r="F16" i="51"/>
  <c r="F25" i="51" s="1"/>
  <c r="F54" i="51" s="1"/>
  <c r="AJ344" i="50"/>
  <c r="AJ312" i="50"/>
  <c r="I49" i="51"/>
  <c r="I28" i="50"/>
  <c r="AL206" i="50"/>
  <c r="AL237" i="50" s="1"/>
  <c r="AJ331" i="50"/>
  <c r="AJ298" i="50"/>
  <c r="AJ304" i="50"/>
  <c r="AJ337" i="50"/>
  <c r="AI298" i="50"/>
  <c r="AI331" i="50"/>
  <c r="AL31" i="51"/>
  <c r="AL23" i="52" s="1"/>
  <c r="AK23" i="52"/>
  <c r="AJ302" i="50"/>
  <c r="AJ335" i="50"/>
  <c r="AK114" i="50"/>
  <c r="AJ208" i="50"/>
  <c r="AJ239" i="50" s="1"/>
  <c r="AL117" i="50"/>
  <c r="AK211" i="50"/>
  <c r="AK242" i="50" s="1"/>
  <c r="AL24" i="51"/>
  <c r="AK200" i="50"/>
  <c r="AK231" i="50" s="1"/>
  <c r="AL106" i="50"/>
  <c r="P30" i="51"/>
  <c r="AK198" i="50"/>
  <c r="AK229" i="50" s="1"/>
  <c r="AL104" i="50"/>
  <c r="AI8" i="50"/>
  <c r="M9" i="41" s="1"/>
  <c r="Q82" i="51"/>
  <c r="Q85" i="51" s="1"/>
  <c r="Q86" i="51" s="1"/>
  <c r="P82" i="51"/>
  <c r="P85" i="51" s="1"/>
  <c r="P86" i="51" s="1"/>
  <c r="S82" i="51"/>
  <c r="S85" i="51" s="1"/>
  <c r="S87" i="51" s="1"/>
  <c r="S88" i="51" s="1"/>
  <c r="R82" i="51"/>
  <c r="R85" i="51" s="1"/>
  <c r="R86" i="51" s="1"/>
  <c r="O86" i="51"/>
  <c r="AK26" i="52"/>
  <c r="AL36" i="51"/>
  <c r="AL26" i="52" s="1"/>
  <c r="AL199" i="50"/>
  <c r="AL230" i="50" s="1"/>
  <c r="R21" i="51"/>
  <c r="O87" i="51"/>
  <c r="AI22" i="51"/>
  <c r="AL120" i="50"/>
  <c r="AK214" i="50"/>
  <c r="AK245" i="50" s="1"/>
  <c r="W114" i="51"/>
  <c r="W41" i="52"/>
  <c r="W44" i="52" s="1"/>
  <c r="W46" i="52" s="1"/>
  <c r="W52" i="51"/>
  <c r="W53" i="51" s="1"/>
  <c r="AI239" i="50"/>
  <c r="AI255" i="50" s="1"/>
  <c r="AI9" i="50" s="1"/>
  <c r="AL123" i="50"/>
  <c r="AK217" i="50"/>
  <c r="AK248" i="50" s="1"/>
  <c r="AH32" i="50"/>
  <c r="I49" i="52"/>
  <c r="H51" i="52"/>
  <c r="AI56" i="51"/>
  <c r="AG34" i="50"/>
  <c r="K24" i="41" s="1"/>
  <c r="AG40" i="50"/>
  <c r="Q30" i="51"/>
  <c r="AK299" i="50"/>
  <c r="AK332" i="50"/>
  <c r="Q21" i="51"/>
  <c r="L8" i="51"/>
  <c r="AJ314" i="50"/>
  <c r="AJ346" i="50"/>
  <c r="AH10" i="51"/>
  <c r="AH15" i="51"/>
  <c r="AH8" i="50"/>
  <c r="L9" i="41" s="1"/>
  <c r="N8" i="51"/>
  <c r="Y110" i="51"/>
  <c r="Y113" i="51" s="1"/>
  <c r="X45" i="51"/>
  <c r="S95" i="51"/>
  <c r="W92" i="51"/>
  <c r="W94" i="51" s="1"/>
  <c r="V92" i="51"/>
  <c r="V94" i="51" s="1"/>
  <c r="T92" i="51"/>
  <c r="T94" i="51" s="1"/>
  <c r="U92" i="51"/>
  <c r="U94" i="51" s="1"/>
  <c r="K59" i="51"/>
  <c r="K60" i="51" s="1"/>
  <c r="K16" i="51"/>
  <c r="K25" i="51" s="1"/>
  <c r="K54" i="51" s="1"/>
  <c r="J27" i="50"/>
  <c r="J28" i="50" s="1"/>
  <c r="J23" i="50"/>
  <c r="K22" i="50"/>
  <c r="K19" i="50"/>
  <c r="AK219" i="50"/>
  <c r="AK250" i="50" s="1"/>
  <c r="AK319" i="50" s="1"/>
  <c r="AL125" i="50"/>
  <c r="P21" i="51"/>
  <c r="AL218" i="50"/>
  <c r="AL249" i="50" s="1"/>
  <c r="AL318" i="50" s="1"/>
  <c r="AK339" i="50"/>
  <c r="AJ272" i="50"/>
  <c r="AI290" i="50"/>
  <c r="AI306" i="50"/>
  <c r="AJ209" i="50"/>
  <c r="AJ240" i="50" s="1"/>
  <c r="AJ309" i="50" s="1"/>
  <c r="AK115" i="50"/>
  <c r="AK204" i="50"/>
  <c r="AK235" i="50" s="1"/>
  <c r="AL110" i="50"/>
  <c r="AK205" i="50"/>
  <c r="AK236" i="50" s="1"/>
  <c r="AL111" i="50"/>
  <c r="AL201" i="50"/>
  <c r="AL232" i="50" s="1"/>
  <c r="O81" i="51"/>
  <c r="O23" i="51"/>
  <c r="W77" i="51"/>
  <c r="W80" i="51" s="1"/>
  <c r="U77" i="51"/>
  <c r="U80" i="51" s="1"/>
  <c r="T77" i="51"/>
  <c r="T80" i="51" s="1"/>
  <c r="V77" i="51"/>
  <c r="V80" i="51" s="1"/>
  <c r="S81" i="51"/>
  <c r="AL126" i="50"/>
  <c r="AK220" i="50"/>
  <c r="AK251" i="50" s="1"/>
  <c r="AK34" i="52"/>
  <c r="AK35" i="52" s="1"/>
  <c r="U41" i="52"/>
  <c r="U114" i="51"/>
  <c r="U52" i="51"/>
  <c r="AH324" i="50"/>
  <c r="AL118" i="50"/>
  <c r="AK212" i="50"/>
  <c r="AK243" i="50" s="1"/>
  <c r="AH56" i="51"/>
  <c r="AF34" i="50"/>
  <c r="J24" i="41" s="1"/>
  <c r="AF40" i="50"/>
  <c r="AL127" i="50"/>
  <c r="AK221" i="50"/>
  <c r="AK252" i="50" s="1"/>
  <c r="AK351" i="50" s="1"/>
  <c r="R100" i="51"/>
  <c r="R103" i="51" s="1"/>
  <c r="R105" i="51" s="1"/>
  <c r="R30" i="51"/>
  <c r="AK84" i="51"/>
  <c r="AJ30" i="50"/>
  <c r="AL116" i="50"/>
  <c r="AK210" i="50"/>
  <c r="AK241" i="50" s="1"/>
  <c r="AJ130" i="50"/>
  <c r="Q99" i="51" l="1"/>
  <c r="Q39" i="52"/>
  <c r="Q44" i="52" s="1"/>
  <c r="AI10" i="51"/>
  <c r="AI31" i="50"/>
  <c r="M29" i="41" s="1"/>
  <c r="P39" i="52"/>
  <c r="P44" i="52" s="1"/>
  <c r="P99" i="51"/>
  <c r="AI15" i="51"/>
  <c r="V96" i="51"/>
  <c r="V98" i="51" s="1"/>
  <c r="V35" i="51" s="1"/>
  <c r="S99" i="51"/>
  <c r="U96" i="51"/>
  <c r="U98" i="51" s="1"/>
  <c r="U35" i="51" s="1"/>
  <c r="T96" i="51"/>
  <c r="T98" i="51" s="1"/>
  <c r="T99" i="51" s="1"/>
  <c r="W96" i="51"/>
  <c r="W98" i="51" s="1"/>
  <c r="R39" i="52"/>
  <c r="R44" i="52" s="1"/>
  <c r="R99" i="51"/>
  <c r="S100" i="51"/>
  <c r="AH29" i="51"/>
  <c r="AH39" i="51" s="1"/>
  <c r="AH40" i="51" s="1"/>
  <c r="L43" i="41" s="1"/>
  <c r="Q100" i="51"/>
  <c r="AI29" i="51"/>
  <c r="P100" i="51"/>
  <c r="AJ224" i="50"/>
  <c r="AI36" i="52"/>
  <c r="M38" i="41" s="1"/>
  <c r="M14" i="41"/>
  <c r="L13" i="41"/>
  <c r="O18" i="42" s="1"/>
  <c r="L16" i="41"/>
  <c r="L15" i="41"/>
  <c r="J25" i="41"/>
  <c r="J23" i="41"/>
  <c r="M16" i="42" s="1"/>
  <c r="J26" i="41"/>
  <c r="AJ9" i="52"/>
  <c r="K25" i="41"/>
  <c r="K23" i="41"/>
  <c r="N16" i="42" s="1"/>
  <c r="K26" i="41"/>
  <c r="AI39" i="51"/>
  <c r="AI40" i="51" s="1"/>
  <c r="M43" i="41" s="1"/>
  <c r="Q87" i="51"/>
  <c r="P87" i="51"/>
  <c r="AK349" i="50"/>
  <c r="AK317" i="50"/>
  <c r="AL334" i="50"/>
  <c r="AL301" i="50"/>
  <c r="AL332" i="50"/>
  <c r="AL299" i="50"/>
  <c r="AK337" i="50"/>
  <c r="AK304" i="50"/>
  <c r="AI32" i="50"/>
  <c r="AI10" i="50"/>
  <c r="AL339" i="50"/>
  <c r="AK335" i="50"/>
  <c r="AK302" i="50"/>
  <c r="AK311" i="50"/>
  <c r="AK343" i="50"/>
  <c r="AK26" i="50"/>
  <c r="AK13" i="52" s="1"/>
  <c r="AK345" i="50"/>
  <c r="AK313" i="50"/>
  <c r="AL84" i="51"/>
  <c r="AL30" i="50" s="1"/>
  <c r="AK30" i="50"/>
  <c r="AK312" i="50"/>
  <c r="AK344" i="50"/>
  <c r="AK350" i="50"/>
  <c r="AK321" i="50"/>
  <c r="AK320" i="50"/>
  <c r="S101" i="51"/>
  <c r="S103" i="51"/>
  <c r="S105" i="51" s="1"/>
  <c r="S106" i="51" s="1"/>
  <c r="W95" i="51"/>
  <c r="X92" i="51"/>
  <c r="X94" i="51" s="1"/>
  <c r="L59" i="51"/>
  <c r="L60" i="51" s="1"/>
  <c r="L16" i="51"/>
  <c r="L25" i="51" s="1"/>
  <c r="L54" i="51" s="1"/>
  <c r="L55" i="51"/>
  <c r="L57" i="51" s="1"/>
  <c r="AL214" i="50"/>
  <c r="AL245" i="50"/>
  <c r="P25" i="52"/>
  <c r="P27" i="52" s="1"/>
  <c r="P46" i="52" s="1"/>
  <c r="P101" i="51"/>
  <c r="P95" i="51"/>
  <c r="P33" i="51"/>
  <c r="P38" i="51" s="1"/>
  <c r="P53" i="51" s="1"/>
  <c r="R25" i="52"/>
  <c r="R27" i="52" s="1"/>
  <c r="R95" i="51"/>
  <c r="R101" i="51"/>
  <c r="R33" i="51"/>
  <c r="R38" i="51" s="1"/>
  <c r="U21" i="51"/>
  <c r="AK305" i="50"/>
  <c r="AK338" i="50"/>
  <c r="AL115" i="50"/>
  <c r="AK209" i="50"/>
  <c r="AK240" i="50" s="1"/>
  <c r="AK309" i="50" s="1"/>
  <c r="Q25" i="52"/>
  <c r="Q27" i="52" s="1"/>
  <c r="Q46" i="52" s="1"/>
  <c r="Q101" i="51"/>
  <c r="Q33" i="51"/>
  <c r="Q38" i="51" s="1"/>
  <c r="Q53" i="51" s="1"/>
  <c r="Q95" i="51"/>
  <c r="AL217" i="50"/>
  <c r="AL248" i="50" s="1"/>
  <c r="AK346" i="50"/>
  <c r="AK314" i="50"/>
  <c r="U82" i="51"/>
  <c r="U85" i="51" s="1"/>
  <c r="U86" i="51" s="1"/>
  <c r="V82" i="51"/>
  <c r="V85" i="51" s="1"/>
  <c r="V86" i="51" s="1"/>
  <c r="T82" i="51"/>
  <c r="T85" i="51" s="1"/>
  <c r="T86" i="51" s="1"/>
  <c r="W82" i="51"/>
  <c r="W85" i="51" s="1"/>
  <c r="W87" i="51" s="1"/>
  <c r="W88" i="51" s="1"/>
  <c r="S86" i="51"/>
  <c r="AL198" i="50"/>
  <c r="AL229" i="50" s="1"/>
  <c r="V21" i="51"/>
  <c r="W81" i="51"/>
  <c r="X77" i="51"/>
  <c r="X80" i="51" s="1"/>
  <c r="AL205" i="50"/>
  <c r="AL236" i="50" s="1"/>
  <c r="T100" i="51"/>
  <c r="T101" i="51" s="1"/>
  <c r="T95" i="51"/>
  <c r="Z41" i="52"/>
  <c r="Z44" i="52" s="1"/>
  <c r="Z46" i="52" s="1"/>
  <c r="X41" i="52"/>
  <c r="X44" i="52" s="1"/>
  <c r="X46" i="52" s="1"/>
  <c r="X114" i="51"/>
  <c r="X52" i="51"/>
  <c r="X53" i="51" s="1"/>
  <c r="Q81" i="51"/>
  <c r="Q23" i="51"/>
  <c r="AJ56" i="51"/>
  <c r="AH40" i="50"/>
  <c r="AH34" i="50"/>
  <c r="L24" i="41" s="1"/>
  <c r="AJ22" i="51"/>
  <c r="R87" i="51"/>
  <c r="AL200" i="50"/>
  <c r="AL231" i="50" s="1"/>
  <c r="AK310" i="50"/>
  <c r="AK342" i="50"/>
  <c r="AL219" i="50"/>
  <c r="AL250" i="50" s="1"/>
  <c r="AL319" i="50" s="1"/>
  <c r="N55" i="51"/>
  <c r="N57" i="51" s="1"/>
  <c r="N59" i="51"/>
  <c r="N60" i="51" s="1"/>
  <c r="N16" i="51"/>
  <c r="N25" i="51" s="1"/>
  <c r="N54" i="51" s="1"/>
  <c r="AI17" i="52"/>
  <c r="AH13" i="51"/>
  <c r="AH17" i="52"/>
  <c r="W8" i="51"/>
  <c r="AK331" i="50"/>
  <c r="AK298" i="50"/>
  <c r="AK300" i="50"/>
  <c r="AK333" i="50"/>
  <c r="AL114" i="50"/>
  <c r="AK208" i="50"/>
  <c r="AK239" i="50" s="1"/>
  <c r="AJ255" i="50"/>
  <c r="AJ9" i="50" s="1"/>
  <c r="AL221" i="50"/>
  <c r="AL252" i="50" s="1"/>
  <c r="AL351" i="50" s="1"/>
  <c r="AL204" i="50"/>
  <c r="AL235" i="50" s="1"/>
  <c r="AK272" i="50"/>
  <c r="AJ290" i="50"/>
  <c r="AJ306" i="50"/>
  <c r="U30" i="51"/>
  <c r="U100" i="51"/>
  <c r="U103" i="51" s="1"/>
  <c r="U105" i="51" s="1"/>
  <c r="U106" i="51" s="1"/>
  <c r="AH22" i="52"/>
  <c r="AI13" i="51"/>
  <c r="AL211" i="50"/>
  <c r="AL242" i="50" s="1"/>
  <c r="AJ341" i="50"/>
  <c r="AJ308" i="50"/>
  <c r="J43" i="52"/>
  <c r="J44" i="52" s="1"/>
  <c r="J46" i="52" s="1"/>
  <c r="I8" i="52"/>
  <c r="I14" i="52" s="1"/>
  <c r="I46" i="52" s="1"/>
  <c r="I50" i="52" s="1"/>
  <c r="I52" i="51"/>
  <c r="I53" i="51" s="1"/>
  <c r="AL202" i="50"/>
  <c r="AL233" i="50" s="1"/>
  <c r="M49" i="51"/>
  <c r="M28" i="50"/>
  <c r="AL210" i="50"/>
  <c r="AL241" i="50"/>
  <c r="AJ131" i="50"/>
  <c r="AJ132" i="50" s="1"/>
  <c r="AL212" i="50"/>
  <c r="AL243" i="50" s="1"/>
  <c r="AL220" i="50"/>
  <c r="AL251" i="50" s="1"/>
  <c r="T81" i="51"/>
  <c r="O88" i="51"/>
  <c r="O8" i="51"/>
  <c r="P81" i="51"/>
  <c r="P23" i="51"/>
  <c r="K27" i="50"/>
  <c r="K28" i="50" s="1"/>
  <c r="K23" i="50"/>
  <c r="V100" i="51"/>
  <c r="V103" i="51" s="1"/>
  <c r="V105" i="51" s="1"/>
  <c r="V12" i="50" s="1"/>
  <c r="V30" i="51"/>
  <c r="Z110" i="51"/>
  <c r="Z113" i="51" s="1"/>
  <c r="Y45" i="51"/>
  <c r="AI20" i="52"/>
  <c r="AH20" i="52"/>
  <c r="AI341" i="50"/>
  <c r="AI308" i="50"/>
  <c r="AI324" i="50" s="1"/>
  <c r="R81" i="51"/>
  <c r="R23" i="51"/>
  <c r="AI22" i="52"/>
  <c r="AK130" i="50"/>
  <c r="AL34" i="52"/>
  <c r="AL35" i="52" s="1"/>
  <c r="AJ324" i="50"/>
  <c r="AL213" i="50"/>
  <c r="AL244" i="50" s="1"/>
  <c r="W99" i="51" l="1"/>
  <c r="X96" i="51"/>
  <c r="X98" i="51" s="1"/>
  <c r="V39" i="52"/>
  <c r="V44" i="52" s="1"/>
  <c r="V99" i="51"/>
  <c r="U39" i="52"/>
  <c r="U44" i="52" s="1"/>
  <c r="U99" i="51"/>
  <c r="W100" i="51"/>
  <c r="M16" i="41"/>
  <c r="M15" i="41"/>
  <c r="M13" i="41"/>
  <c r="P18" i="42" s="1"/>
  <c r="AK224" i="50"/>
  <c r="AJ7" i="50"/>
  <c r="AJ14" i="50" s="1"/>
  <c r="AK9" i="52"/>
  <c r="AL9" i="52"/>
  <c r="L23" i="41"/>
  <c r="O16" i="42" s="1"/>
  <c r="L25" i="41"/>
  <c r="L26" i="41"/>
  <c r="Z13" i="42"/>
  <c r="AH41" i="51"/>
  <c r="AI41" i="51"/>
  <c r="T87" i="51"/>
  <c r="T88" i="51" s="1"/>
  <c r="V87" i="51"/>
  <c r="AL350" i="50"/>
  <c r="AL320" i="50"/>
  <c r="AL321" i="50"/>
  <c r="AL335" i="50"/>
  <c r="AL302" i="50"/>
  <c r="AL313" i="50"/>
  <c r="AL345" i="50"/>
  <c r="AL344" i="50"/>
  <c r="AL312" i="50"/>
  <c r="AL349" i="50"/>
  <c r="AL317" i="50"/>
  <c r="J49" i="52"/>
  <c r="J50" i="52" s="1"/>
  <c r="AL343" i="50"/>
  <c r="AL26" i="50"/>
  <c r="AL13" i="52" s="1"/>
  <c r="AL311" i="50"/>
  <c r="AL305" i="50"/>
  <c r="AL338" i="50"/>
  <c r="Y41" i="52"/>
  <c r="Y44" i="52" s="1"/>
  <c r="Y46" i="52" s="1"/>
  <c r="Y114" i="51"/>
  <c r="Y52" i="51"/>
  <c r="Y53" i="51" s="1"/>
  <c r="O59" i="51"/>
  <c r="O60" i="51" s="1"/>
  <c r="O55" i="51"/>
  <c r="O57" i="51" s="1"/>
  <c r="O16" i="51"/>
  <c r="O25" i="51" s="1"/>
  <c r="O54" i="51" s="1"/>
  <c r="AL310" i="50"/>
  <c r="AL342" i="50"/>
  <c r="AL208" i="50"/>
  <c r="AL239" i="50"/>
  <c r="V81" i="51"/>
  <c r="V23" i="51"/>
  <c r="AL298" i="50"/>
  <c r="AL331" i="50"/>
  <c r="Z114" i="51"/>
  <c r="AA110" i="51"/>
  <c r="AA113" i="51" s="1"/>
  <c r="AJ29" i="51"/>
  <c r="AJ10" i="51"/>
  <c r="AL272" i="50"/>
  <c r="AK290" i="50"/>
  <c r="AK306" i="50"/>
  <c r="AJ10" i="50"/>
  <c r="AJ32" i="50"/>
  <c r="AK341" i="50"/>
  <c r="AK308" i="50"/>
  <c r="AK324" i="50" s="1"/>
  <c r="AK255" i="50"/>
  <c r="AK9" i="50" s="1"/>
  <c r="AL333" i="50"/>
  <c r="AL300" i="50"/>
  <c r="X8" i="51"/>
  <c r="Z77" i="51"/>
  <c r="Z80" i="51" s="1"/>
  <c r="Y77" i="51"/>
  <c r="Y80" i="51" s="1"/>
  <c r="X81" i="51"/>
  <c r="AL209" i="50"/>
  <c r="AL240" i="50" s="1"/>
  <c r="U23" i="51"/>
  <c r="U81" i="51"/>
  <c r="AL346" i="50"/>
  <c r="AL314" i="50"/>
  <c r="W101" i="51"/>
  <c r="W103" i="51"/>
  <c r="W105" i="51" s="1"/>
  <c r="W12" i="50" s="1"/>
  <c r="R88" i="51"/>
  <c r="V25" i="52"/>
  <c r="V27" i="52" s="1"/>
  <c r="V101" i="51"/>
  <c r="V95" i="51"/>
  <c r="V33" i="51"/>
  <c r="V38" i="51" s="1"/>
  <c r="P88" i="51"/>
  <c r="P8" i="51"/>
  <c r="I8" i="51"/>
  <c r="I51" i="52" s="1"/>
  <c r="U25" i="52"/>
  <c r="U27" i="52" s="1"/>
  <c r="U46" i="52" s="1"/>
  <c r="U101" i="51"/>
  <c r="U95" i="51"/>
  <c r="U33" i="51"/>
  <c r="U38" i="51" s="1"/>
  <c r="U53" i="51" s="1"/>
  <c r="AL304" i="50"/>
  <c r="AL337" i="50"/>
  <c r="AK22" i="51"/>
  <c r="U87" i="51"/>
  <c r="AK131" i="50"/>
  <c r="AK7" i="50" s="1"/>
  <c r="AK14" i="50" s="1"/>
  <c r="V106" i="51"/>
  <c r="V18" i="50"/>
  <c r="M8" i="52"/>
  <c r="M14" i="52" s="1"/>
  <c r="M46" i="52" s="1"/>
  <c r="M52" i="51"/>
  <c r="M53" i="51" s="1"/>
  <c r="W59" i="51"/>
  <c r="W60" i="51" s="1"/>
  <c r="W55" i="51"/>
  <c r="W57" i="51" s="1"/>
  <c r="W16" i="51"/>
  <c r="W25" i="51" s="1"/>
  <c r="W54" i="51" s="1"/>
  <c r="Q8" i="51"/>
  <c r="Q88" i="51"/>
  <c r="AL130" i="50"/>
  <c r="W86" i="51"/>
  <c r="X82" i="51"/>
  <c r="X85" i="51" s="1"/>
  <c r="X87" i="51" s="1"/>
  <c r="X88" i="51" s="1"/>
  <c r="X100" i="51"/>
  <c r="X95" i="51"/>
  <c r="Z92" i="51"/>
  <c r="Z94" i="51" s="1"/>
  <c r="Y92" i="51"/>
  <c r="Y94" i="51" s="1"/>
  <c r="AI34" i="50"/>
  <c r="M24" i="41" s="1"/>
  <c r="AK56" i="51"/>
  <c r="AI40" i="50"/>
  <c r="Y13" i="42"/>
  <c r="AJ8" i="50" l="1"/>
  <c r="N9" i="41" s="1"/>
  <c r="Z96" i="51"/>
  <c r="Z98" i="51" s="1"/>
  <c r="Y96" i="51"/>
  <c r="Y98" i="51" s="1"/>
  <c r="Y99" i="51" s="1"/>
  <c r="X99" i="51"/>
  <c r="AJ15" i="51"/>
  <c r="AL224" i="50"/>
  <c r="AK36" i="52"/>
  <c r="O38" i="41" s="1"/>
  <c r="O14" i="41"/>
  <c r="AK31" i="50"/>
  <c r="O29" i="41" s="1"/>
  <c r="AK132" i="50"/>
  <c r="AJ36" i="52"/>
  <c r="N38" i="41" s="1"/>
  <c r="N14" i="41"/>
  <c r="AJ31" i="50"/>
  <c r="N29" i="41" s="1"/>
  <c r="M23" i="41"/>
  <c r="P16" i="42" s="1"/>
  <c r="M25" i="41"/>
  <c r="M26" i="41"/>
  <c r="AJ39" i="51"/>
  <c r="AJ40" i="51" s="1"/>
  <c r="N43" i="41" s="1"/>
  <c r="AL309" i="50"/>
  <c r="AL255" i="50"/>
  <c r="AL9" i="50" s="1"/>
  <c r="M8" i="51"/>
  <c r="AJ22" i="52"/>
  <c r="U88" i="51"/>
  <c r="U8" i="51"/>
  <c r="AA77" i="51"/>
  <c r="AA80" i="51" s="1"/>
  <c r="AB77" i="51"/>
  <c r="AB80" i="51" s="1"/>
  <c r="Z81" i="51"/>
  <c r="Y95" i="51"/>
  <c r="Y82" i="51"/>
  <c r="Y85" i="51" s="1"/>
  <c r="Y86" i="51" s="1"/>
  <c r="Z82" i="51"/>
  <c r="Z85" i="51" s="1"/>
  <c r="X86" i="51"/>
  <c r="V21" i="50"/>
  <c r="V19" i="50"/>
  <c r="I16" i="51"/>
  <c r="I25" i="51" s="1"/>
  <c r="I54" i="51" s="1"/>
  <c r="I59" i="51"/>
  <c r="I60" i="51" s="1"/>
  <c r="I55" i="51"/>
  <c r="I57" i="51" s="1"/>
  <c r="X59" i="51"/>
  <c r="X60" i="51" s="1"/>
  <c r="X55" i="51"/>
  <c r="X57" i="51" s="1"/>
  <c r="X16" i="51"/>
  <c r="X25" i="51" s="1"/>
  <c r="X54" i="51" s="1"/>
  <c r="AL56" i="51"/>
  <c r="AJ40" i="50"/>
  <c r="AJ34" i="50"/>
  <c r="N24" i="41" s="1"/>
  <c r="AJ20" i="52"/>
  <c r="V88" i="51"/>
  <c r="AL131" i="50"/>
  <c r="AL132" i="50" s="1"/>
  <c r="AL7" i="50"/>
  <c r="AL14" i="50" s="1"/>
  <c r="AL22" i="51"/>
  <c r="P59" i="51"/>
  <c r="P60" i="51" s="1"/>
  <c r="P16" i="51"/>
  <c r="P25" i="51" s="1"/>
  <c r="P54" i="51" s="1"/>
  <c r="P55" i="51"/>
  <c r="P57" i="51" s="1"/>
  <c r="X103" i="51"/>
  <c r="X105" i="51" s="1"/>
  <c r="X101" i="51"/>
  <c r="AK15" i="51"/>
  <c r="AK10" i="51"/>
  <c r="AK29" i="51"/>
  <c r="AK8" i="50"/>
  <c r="O9" i="41" s="1"/>
  <c r="AB110" i="51"/>
  <c r="AB113" i="51" s="1"/>
  <c r="AA114" i="51"/>
  <c r="AL308" i="50"/>
  <c r="AL341" i="50"/>
  <c r="AA92" i="51"/>
  <c r="AA94" i="51" s="1"/>
  <c r="Z95" i="51"/>
  <c r="AB92" i="51"/>
  <c r="AB94" i="51" s="1"/>
  <c r="Z100" i="51"/>
  <c r="Q16" i="51"/>
  <c r="Q25" i="51" s="1"/>
  <c r="Q54" i="51" s="1"/>
  <c r="Q59" i="51"/>
  <c r="Q60" i="51" s="1"/>
  <c r="Q55" i="51"/>
  <c r="Q57" i="51" s="1"/>
  <c r="W106" i="51"/>
  <c r="W18" i="50"/>
  <c r="W24" i="50" s="1"/>
  <c r="Y81" i="51"/>
  <c r="AK10" i="50"/>
  <c r="AK32" i="50"/>
  <c r="AL290" i="50"/>
  <c r="AL306" i="50"/>
  <c r="AL324" i="50" s="1"/>
  <c r="AJ13" i="51"/>
  <c r="AJ17" i="52"/>
  <c r="Y8" i="51"/>
  <c r="J51" i="52"/>
  <c r="M49" i="52"/>
  <c r="M50" i="52" s="1"/>
  <c r="L49" i="52"/>
  <c r="L50" i="52" s="1"/>
  <c r="K49" i="52"/>
  <c r="K50" i="52" s="1"/>
  <c r="K51" i="52" s="1"/>
  <c r="Z11" i="42"/>
  <c r="V22" i="50" l="1"/>
  <c r="V24" i="50"/>
  <c r="AA96" i="51"/>
  <c r="AA98" i="51" s="1"/>
  <c r="AA99" i="51" s="1"/>
  <c r="Z99" i="51"/>
  <c r="AB96" i="51"/>
  <c r="AB98" i="51" s="1"/>
  <c r="Y100" i="51"/>
  <c r="AL36" i="52"/>
  <c r="P38" i="41" s="1"/>
  <c r="P14" i="41"/>
  <c r="AL31" i="50"/>
  <c r="P29" i="41" s="1"/>
  <c r="N13" i="41"/>
  <c r="Q18" i="42" s="1"/>
  <c r="N16" i="41"/>
  <c r="N15" i="41"/>
  <c r="O16" i="41"/>
  <c r="O13" i="41"/>
  <c r="R18" i="42" s="1"/>
  <c r="O15" i="41"/>
  <c r="N25" i="41"/>
  <c r="N23" i="41"/>
  <c r="Q16" i="42" s="1"/>
  <c r="N26" i="41"/>
  <c r="AJ41" i="51"/>
  <c r="AK39" i="51"/>
  <c r="AK40" i="51" s="1"/>
  <c r="O43" i="41" s="1"/>
  <c r="Y87" i="51"/>
  <c r="Y88" i="51" s="1"/>
  <c r="AK13" i="51"/>
  <c r="AL15" i="51"/>
  <c r="AL20" i="52" s="1"/>
  <c r="AL29" i="51"/>
  <c r="AL10" i="51"/>
  <c r="AL8" i="50"/>
  <c r="P9" i="41" s="1"/>
  <c r="AC77" i="51"/>
  <c r="AC80" i="51" s="1"/>
  <c r="AB81" i="51"/>
  <c r="AK17" i="52"/>
  <c r="Z86" i="51"/>
  <c r="AA82" i="51"/>
  <c r="AA85" i="51" s="1"/>
  <c r="AA86" i="51" s="1"/>
  <c r="AB82" i="51"/>
  <c r="AB85" i="51" s="1"/>
  <c r="Z87" i="51"/>
  <c r="Z88" i="51" s="1"/>
  <c r="L51" i="52"/>
  <c r="O49" i="52"/>
  <c r="O50" i="52" s="1"/>
  <c r="N49" i="52"/>
  <c r="N50" i="52" s="1"/>
  <c r="N51" i="52" s="1"/>
  <c r="Z103" i="51"/>
  <c r="Z105" i="51" s="1"/>
  <c r="Z12" i="50" s="1"/>
  <c r="Z101" i="51"/>
  <c r="AK20" i="52"/>
  <c r="V23" i="50"/>
  <c r="AA87" i="51"/>
  <c r="AA88" i="51" s="1"/>
  <c r="AA81" i="51"/>
  <c r="AL32" i="50"/>
  <c r="AL10" i="50"/>
  <c r="AK34" i="50"/>
  <c r="O24" i="41" s="1"/>
  <c r="AK40" i="50"/>
  <c r="Y103" i="51"/>
  <c r="Y105" i="51" s="1"/>
  <c r="Y106" i="51" s="1"/>
  <c r="Y101" i="51"/>
  <c r="M16" i="51"/>
  <c r="M25" i="51" s="1"/>
  <c r="M54" i="51" s="1"/>
  <c r="M59" i="51"/>
  <c r="M60" i="51" s="1"/>
  <c r="Y55" i="51"/>
  <c r="Y57" i="51" s="1"/>
  <c r="Y16" i="51"/>
  <c r="Y25" i="51" s="1"/>
  <c r="Y54" i="51" s="1"/>
  <c r="Y59" i="51"/>
  <c r="Y60" i="51" s="1"/>
  <c r="W22" i="50"/>
  <c r="W19" i="50"/>
  <c r="AA95" i="51"/>
  <c r="AA100" i="51"/>
  <c r="AB45" i="51"/>
  <c r="AC110" i="51"/>
  <c r="AC113" i="51" s="1"/>
  <c r="M51" i="52"/>
  <c r="AB100" i="51"/>
  <c r="AB90" i="51" s="1"/>
  <c r="AC92" i="51"/>
  <c r="AC94" i="51" s="1"/>
  <c r="AB95" i="51"/>
  <c r="AK22" i="52"/>
  <c r="X106" i="51"/>
  <c r="R12" i="50"/>
  <c r="U59" i="51"/>
  <c r="U60" i="51" s="1"/>
  <c r="U16" i="51"/>
  <c r="U25" i="51" s="1"/>
  <c r="U54" i="51" s="1"/>
  <c r="U55" i="51"/>
  <c r="U57" i="51" s="1"/>
  <c r="F29" i="41"/>
  <c r="F38" i="41"/>
  <c r="Y11" i="42"/>
  <c r="K10" i="41"/>
  <c r="O10" i="41"/>
  <c r="M10" i="41"/>
  <c r="F9" i="41"/>
  <c r="F10" i="41" s="1"/>
  <c r="F11" i="41" s="1"/>
  <c r="P10" i="41"/>
  <c r="H10" i="41"/>
  <c r="L10" i="41"/>
  <c r="I10" i="41"/>
  <c r="N10" i="41"/>
  <c r="G10" i="41"/>
  <c r="J10" i="41"/>
  <c r="AC96" i="51" l="1"/>
  <c r="AC98" i="51" s="1"/>
  <c r="AB99" i="51"/>
  <c r="P13" i="41"/>
  <c r="S18" i="42" s="1"/>
  <c r="P15" i="41"/>
  <c r="P16" i="41"/>
  <c r="O25" i="41"/>
  <c r="O26" i="41"/>
  <c r="O23" i="41"/>
  <c r="R16" i="42" s="1"/>
  <c r="AL39" i="51"/>
  <c r="AL40" i="51" s="1"/>
  <c r="P43" i="41" s="1"/>
  <c r="AK41" i="51"/>
  <c r="AL13" i="51"/>
  <c r="AC100" i="51"/>
  <c r="AC103" i="51" s="1"/>
  <c r="AC105" i="51" s="1"/>
  <c r="AC12" i="50" s="1"/>
  <c r="AD92" i="51"/>
  <c r="AD94" i="51" s="1"/>
  <c r="AC30" i="51"/>
  <c r="AD110" i="51"/>
  <c r="AD113" i="51" s="1"/>
  <c r="AC45" i="51"/>
  <c r="AL40" i="50"/>
  <c r="AL34" i="50"/>
  <c r="P24" i="41" s="1"/>
  <c r="Q49" i="52"/>
  <c r="Q50" i="52" s="1"/>
  <c r="Q51" i="52" s="1"/>
  <c r="O51" i="52"/>
  <c r="R49" i="52"/>
  <c r="P49" i="52"/>
  <c r="P50" i="52" s="1"/>
  <c r="P51" i="52" s="1"/>
  <c r="S49" i="52"/>
  <c r="S50" i="52" s="1"/>
  <c r="AB103" i="51"/>
  <c r="AB105" i="51" s="1"/>
  <c r="AB12" i="50" s="1"/>
  <c r="AB101" i="51"/>
  <c r="AB41" i="52"/>
  <c r="AB44" i="52" s="1"/>
  <c r="AB46" i="52" s="1"/>
  <c r="AB114" i="51"/>
  <c r="AB52" i="51"/>
  <c r="AB53" i="51" s="1"/>
  <c r="W27" i="50"/>
  <c r="W28" i="50" s="1"/>
  <c r="W23" i="50"/>
  <c r="AL17" i="52"/>
  <c r="AA103" i="51"/>
  <c r="AA105" i="51" s="1"/>
  <c r="AA12" i="50" s="1"/>
  <c r="AA101" i="51"/>
  <c r="Z106" i="51"/>
  <c r="Z18" i="50"/>
  <c r="Z24" i="50" s="1"/>
  <c r="AD77" i="51"/>
  <c r="AD80" i="51" s="1"/>
  <c r="AC21" i="51"/>
  <c r="AL22" i="52"/>
  <c r="R106" i="51"/>
  <c r="R18" i="50"/>
  <c r="AC82" i="51"/>
  <c r="AC85" i="51" s="1"/>
  <c r="AB86" i="51"/>
  <c r="AB87" i="51"/>
  <c r="AB88" i="51" s="1"/>
  <c r="AD96" i="51" l="1"/>
  <c r="AD98" i="51" s="1"/>
  <c r="AC35" i="51"/>
  <c r="P25" i="41"/>
  <c r="P23" i="41"/>
  <c r="S16" i="42" s="1"/>
  <c r="P26" i="41"/>
  <c r="AL41" i="51"/>
  <c r="R19" i="50"/>
  <c r="R21" i="50"/>
  <c r="R22" i="50" s="1"/>
  <c r="AC25" i="52"/>
  <c r="AC27" i="52" s="1"/>
  <c r="AC95" i="51"/>
  <c r="AC101" i="51"/>
  <c r="AC33" i="51"/>
  <c r="AC38" i="51" s="1"/>
  <c r="AE77" i="51"/>
  <c r="AE80" i="51" s="1"/>
  <c r="AD21" i="51"/>
  <c r="AB8" i="51"/>
  <c r="AB106" i="51"/>
  <c r="AB18" i="50"/>
  <c r="AB24" i="50" s="1"/>
  <c r="AE92" i="51"/>
  <c r="AE94" i="51" s="1"/>
  <c r="AD100" i="51"/>
  <c r="AD103" i="51" s="1"/>
  <c r="AD105" i="51" s="1"/>
  <c r="AD12" i="50" s="1"/>
  <c r="AD30" i="51"/>
  <c r="AD82" i="51"/>
  <c r="AD85" i="51" s="1"/>
  <c r="AC86" i="51"/>
  <c r="Z22" i="50"/>
  <c r="Z19" i="50"/>
  <c r="AE110" i="51"/>
  <c r="AE113" i="51" s="1"/>
  <c r="AD45" i="51"/>
  <c r="AC23" i="51"/>
  <c r="AC81" i="51"/>
  <c r="U49" i="52"/>
  <c r="U50" i="52" s="1"/>
  <c r="U51" i="52" s="1"/>
  <c r="W49" i="52"/>
  <c r="W50" i="52" s="1"/>
  <c r="S51" i="52"/>
  <c r="V49" i="52"/>
  <c r="T49" i="52"/>
  <c r="T50" i="52" s="1"/>
  <c r="T51" i="52" s="1"/>
  <c r="AC87" i="51"/>
  <c r="AA106" i="51"/>
  <c r="AA18" i="50"/>
  <c r="AA24" i="50" s="1"/>
  <c r="AC41" i="52"/>
  <c r="AC114" i="51"/>
  <c r="AC106" i="51"/>
  <c r="AC18" i="50"/>
  <c r="AC39" i="52" l="1"/>
  <c r="AC99" i="51"/>
  <c r="AC44" i="52"/>
  <c r="AB7" i="51"/>
  <c r="J63" i="42"/>
  <c r="AE96" i="51"/>
  <c r="AE98" i="51" s="1"/>
  <c r="AD35" i="51"/>
  <c r="R27" i="50"/>
  <c r="R23" i="50"/>
  <c r="W51" i="52"/>
  <c r="X49" i="52"/>
  <c r="X50" i="52" s="1"/>
  <c r="AD41" i="52"/>
  <c r="AD114" i="51"/>
  <c r="Z27" i="50"/>
  <c r="Z28" i="50" s="1"/>
  <c r="Z23" i="50"/>
  <c r="AD106" i="51"/>
  <c r="AD18" i="50"/>
  <c r="AF77" i="51"/>
  <c r="AF80" i="51" s="1"/>
  <c r="AE21" i="51"/>
  <c r="AC21" i="50"/>
  <c r="AC24" i="50" s="1"/>
  <c r="G19" i="41" s="1"/>
  <c r="AC19" i="50"/>
  <c r="AF110" i="51"/>
  <c r="AF113" i="51" s="1"/>
  <c r="AE45" i="51"/>
  <c r="AE30" i="51"/>
  <c r="AF92" i="51"/>
  <c r="AF94" i="51" s="1"/>
  <c r="AB59" i="51"/>
  <c r="AB60" i="51" s="1"/>
  <c r="AB55" i="51"/>
  <c r="AB57" i="51" s="1"/>
  <c r="AB16" i="51"/>
  <c r="AB25" i="51" s="1"/>
  <c r="AB54" i="51" s="1"/>
  <c r="AA22" i="50"/>
  <c r="AA19" i="50"/>
  <c r="AE82" i="51"/>
  <c r="AE85" i="51" s="1"/>
  <c r="AD86" i="51"/>
  <c r="AD81" i="51"/>
  <c r="AD23" i="51"/>
  <c r="AC88" i="51"/>
  <c r="AD25" i="52"/>
  <c r="AD27" i="52" s="1"/>
  <c r="AD95" i="51"/>
  <c r="AD101" i="51"/>
  <c r="AD33" i="51"/>
  <c r="AD38" i="51" s="1"/>
  <c r="AB19" i="50"/>
  <c r="AB22" i="50"/>
  <c r="AD87" i="51"/>
  <c r="F19" i="41"/>
  <c r="AD39" i="52" l="1"/>
  <c r="AD99" i="51"/>
  <c r="AD44" i="52"/>
  <c r="AE35" i="51"/>
  <c r="AF96" i="51"/>
  <c r="AF98" i="51" s="1"/>
  <c r="AE100" i="51"/>
  <c r="AE103" i="51" s="1"/>
  <c r="AE105" i="51" s="1"/>
  <c r="AE12" i="50" s="1"/>
  <c r="AC22" i="50"/>
  <c r="AC27" i="50" s="1"/>
  <c r="AA27" i="50"/>
  <c r="AA28" i="50" s="1"/>
  <c r="AA23" i="50"/>
  <c r="AE41" i="52"/>
  <c r="AE114" i="51"/>
  <c r="AF21" i="51"/>
  <c r="AG77" i="51"/>
  <c r="AG80" i="51" s="1"/>
  <c r="AB27" i="50"/>
  <c r="AB28" i="50" s="1"/>
  <c r="AB23" i="50"/>
  <c r="AF82" i="51"/>
  <c r="AF85" i="51" s="1"/>
  <c r="AE86" i="51"/>
  <c r="AF100" i="51"/>
  <c r="AF103" i="51" s="1"/>
  <c r="AF105" i="51" s="1"/>
  <c r="AF12" i="50" s="1"/>
  <c r="AG92" i="51"/>
  <c r="AG94" i="51" s="1"/>
  <c r="AF30" i="51"/>
  <c r="AF45" i="51"/>
  <c r="AG110" i="51"/>
  <c r="AG113" i="51" s="1"/>
  <c r="AC23" i="50"/>
  <c r="AE87" i="51"/>
  <c r="Y49" i="52"/>
  <c r="Y50" i="52" s="1"/>
  <c r="Y51" i="52" s="1"/>
  <c r="X51" i="52"/>
  <c r="Z49" i="52"/>
  <c r="Z50" i="52" s="1"/>
  <c r="AD88" i="51"/>
  <c r="AE106" i="51"/>
  <c r="AE18" i="50"/>
  <c r="AD19" i="50"/>
  <c r="AD21" i="50"/>
  <c r="AE101" i="51"/>
  <c r="AE95" i="51"/>
  <c r="AE25" i="52"/>
  <c r="AE27" i="52" s="1"/>
  <c r="AE33" i="51"/>
  <c r="AE38" i="51" s="1"/>
  <c r="AE23" i="51"/>
  <c r="AE81" i="51"/>
  <c r="R49" i="51"/>
  <c r="R28" i="50"/>
  <c r="AE39" i="52" l="1"/>
  <c r="AE99" i="51"/>
  <c r="AE44" i="52"/>
  <c r="AF35" i="51"/>
  <c r="AG96" i="51"/>
  <c r="AG98" i="51" s="1"/>
  <c r="AD22" i="50"/>
  <c r="AD27" i="50" s="1"/>
  <c r="AD24" i="50"/>
  <c r="H19" i="41" s="1"/>
  <c r="R8" i="52"/>
  <c r="R14" i="52" s="1"/>
  <c r="R46" i="52" s="1"/>
  <c r="R50" i="52" s="1"/>
  <c r="R52" i="51"/>
  <c r="R53" i="51" s="1"/>
  <c r="AF41" i="52"/>
  <c r="AF114" i="51"/>
  <c r="AG21" i="51"/>
  <c r="AH77" i="51"/>
  <c r="AH80" i="51" s="1"/>
  <c r="Z51" i="52"/>
  <c r="AB49" i="52"/>
  <c r="AB50" i="52" s="1"/>
  <c r="AA49" i="52"/>
  <c r="AA50" i="52" s="1"/>
  <c r="AA51" i="52" s="1"/>
  <c r="AC49" i="51"/>
  <c r="AC28" i="50"/>
  <c r="AF25" i="52"/>
  <c r="AF27" i="52" s="1"/>
  <c r="AF95" i="51"/>
  <c r="AF33" i="51"/>
  <c r="AF38" i="51" s="1"/>
  <c r="AG82" i="51"/>
  <c r="AG85" i="51" s="1"/>
  <c r="AF86" i="51"/>
  <c r="AF87" i="51"/>
  <c r="AE88" i="51"/>
  <c r="AG100" i="51"/>
  <c r="AG103" i="51" s="1"/>
  <c r="AG105" i="51" s="1"/>
  <c r="AG12" i="50" s="1"/>
  <c r="AH92" i="51"/>
  <c r="AH94" i="51" s="1"/>
  <c r="AG30" i="51"/>
  <c r="AF81" i="51"/>
  <c r="AF23" i="51"/>
  <c r="AE21" i="50"/>
  <c r="AE19" i="50"/>
  <c r="AH110" i="51"/>
  <c r="AH113" i="51" s="1"/>
  <c r="AG45" i="51"/>
  <c r="AF106" i="51"/>
  <c r="AF18" i="50"/>
  <c r="H94" i="45"/>
  <c r="G94" i="45"/>
  <c r="I94" i="45"/>
  <c r="J94" i="45"/>
  <c r="K94" i="45"/>
  <c r="AF39" i="52" l="1"/>
  <c r="AF44" i="52" s="1"/>
  <c r="AF99" i="51"/>
  <c r="AF101" i="51"/>
  <c r="AH96" i="51"/>
  <c r="AH98" i="51" s="1"/>
  <c r="AG35" i="51"/>
  <c r="AD23" i="50"/>
  <c r="AE22" i="50"/>
  <c r="AE23" i="50" s="1"/>
  <c r="AE24" i="50"/>
  <c r="I19" i="41" s="1"/>
  <c r="I20" i="41" s="1"/>
  <c r="AD46" i="51"/>
  <c r="AC8" i="52"/>
  <c r="AC14" i="52" s="1"/>
  <c r="AC46" i="52" s="1"/>
  <c r="AC52" i="51"/>
  <c r="AC53" i="51" s="1"/>
  <c r="R8" i="51"/>
  <c r="R51" i="52" s="1"/>
  <c r="AH100" i="51"/>
  <c r="AH103" i="51" s="1"/>
  <c r="AH105" i="51" s="1"/>
  <c r="AH12" i="50" s="1"/>
  <c r="AI92" i="51"/>
  <c r="AI94" i="51" s="1"/>
  <c r="AH30" i="51"/>
  <c r="AH82" i="51"/>
  <c r="AH85" i="51" s="1"/>
  <c r="AH87" i="51" s="1"/>
  <c r="AG86" i="51"/>
  <c r="AC49" i="52"/>
  <c r="AB51" i="52"/>
  <c r="AG87" i="51"/>
  <c r="AI110" i="51"/>
  <c r="AI113" i="51" s="1"/>
  <c r="AH45" i="51"/>
  <c r="AI77" i="51"/>
  <c r="AI80" i="51" s="1"/>
  <c r="AH21" i="51"/>
  <c r="AF19" i="50"/>
  <c r="AF21" i="50"/>
  <c r="AG25" i="52"/>
  <c r="AG27" i="52" s="1"/>
  <c r="AG101" i="51"/>
  <c r="AG95" i="51"/>
  <c r="AG33" i="51"/>
  <c r="AG38" i="51" s="1"/>
  <c r="AG81" i="51"/>
  <c r="AG23" i="51"/>
  <c r="AG41" i="52"/>
  <c r="AG114" i="51"/>
  <c r="AF88" i="51"/>
  <c r="AG106" i="51"/>
  <c r="AG18" i="50"/>
  <c r="AD49" i="51"/>
  <c r="AD8" i="52" s="1"/>
  <c r="AD14" i="52" s="1"/>
  <c r="AD46" i="52" s="1"/>
  <c r="AD28" i="50"/>
  <c r="S101" i="42"/>
  <c r="R101" i="42"/>
  <c r="Q101" i="42"/>
  <c r="P101" i="42"/>
  <c r="O101" i="42"/>
  <c r="K101" i="42"/>
  <c r="L101" i="42"/>
  <c r="M101" i="42"/>
  <c r="N101" i="42"/>
  <c r="J101" i="42"/>
  <c r="O40" i="41"/>
  <c r="N39" i="41"/>
  <c r="M40" i="41"/>
  <c r="L39" i="41"/>
  <c r="K40" i="41"/>
  <c r="J39" i="41"/>
  <c r="I40" i="41"/>
  <c r="G39" i="41"/>
  <c r="F40" i="41"/>
  <c r="O42" i="41"/>
  <c r="R25" i="42" s="1"/>
  <c r="N44" i="41"/>
  <c r="M45" i="41"/>
  <c r="K44" i="41"/>
  <c r="J44" i="41"/>
  <c r="I44" i="41"/>
  <c r="G45" i="41"/>
  <c r="F45" i="41"/>
  <c r="A30" i="45"/>
  <c r="A29" i="45"/>
  <c r="P31" i="41"/>
  <c r="O31" i="41"/>
  <c r="N28" i="41"/>
  <c r="Q14" i="42" s="1"/>
  <c r="M31" i="41"/>
  <c r="L31" i="41"/>
  <c r="K31" i="41"/>
  <c r="J30" i="41"/>
  <c r="I31" i="41"/>
  <c r="H31" i="41"/>
  <c r="G30" i="41"/>
  <c r="F30" i="41"/>
  <c r="P45" i="41"/>
  <c r="O45" i="41"/>
  <c r="L45" i="41"/>
  <c r="K45" i="41"/>
  <c r="H45" i="41"/>
  <c r="P44" i="41"/>
  <c r="O44" i="41"/>
  <c r="L44" i="41"/>
  <c r="H44" i="41"/>
  <c r="G44" i="41"/>
  <c r="P40" i="41"/>
  <c r="L40" i="41"/>
  <c r="H40" i="41"/>
  <c r="G40" i="41"/>
  <c r="P39" i="41"/>
  <c r="H39" i="41"/>
  <c r="F39" i="41"/>
  <c r="G31" i="41"/>
  <c r="M30" i="41"/>
  <c r="K30" i="41"/>
  <c r="I30" i="41"/>
  <c r="H21" i="41"/>
  <c r="G21" i="41"/>
  <c r="F21" i="41"/>
  <c r="H20" i="41"/>
  <c r="G20" i="41"/>
  <c r="F20" i="41"/>
  <c r="P8" i="41"/>
  <c r="S12" i="42" s="1"/>
  <c r="O8" i="41"/>
  <c r="R12" i="42" s="1"/>
  <c r="O28" i="41"/>
  <c r="R14" i="42" s="1"/>
  <c r="P37" i="41"/>
  <c r="S27" i="42" s="1"/>
  <c r="P42" i="41"/>
  <c r="S25" i="42" s="1"/>
  <c r="AG39" i="52" l="1"/>
  <c r="AG44" i="52" s="1"/>
  <c r="AG99" i="51"/>
  <c r="AI96" i="51"/>
  <c r="AI98" i="51" s="1"/>
  <c r="AH35" i="51"/>
  <c r="AE27" i="50"/>
  <c r="AE49" i="51" s="1"/>
  <c r="AE8" i="52" s="1"/>
  <c r="AE14" i="52" s="1"/>
  <c r="AE46" i="52" s="1"/>
  <c r="AF22" i="50"/>
  <c r="AF23" i="50" s="1"/>
  <c r="AF24" i="50"/>
  <c r="J19" i="41" s="1"/>
  <c r="J20" i="41" s="1"/>
  <c r="AF27" i="50"/>
  <c r="AJ77" i="51"/>
  <c r="AJ80" i="51" s="1"/>
  <c r="AI21" i="51"/>
  <c r="R16" i="51"/>
  <c r="R25" i="51" s="1"/>
  <c r="R54" i="51" s="1"/>
  <c r="R59" i="51"/>
  <c r="R60" i="51" s="1"/>
  <c r="R55" i="51"/>
  <c r="R57" i="51" s="1"/>
  <c r="AH41" i="52"/>
  <c r="AH114" i="51"/>
  <c r="AH106" i="51"/>
  <c r="AH18" i="50"/>
  <c r="AH25" i="52"/>
  <c r="AH27" i="52" s="1"/>
  <c r="AH95" i="51"/>
  <c r="AH101" i="51"/>
  <c r="AH33" i="51"/>
  <c r="AH38" i="51" s="1"/>
  <c r="AG21" i="50"/>
  <c r="AG19" i="50"/>
  <c r="AG88" i="51"/>
  <c r="AC50" i="52"/>
  <c r="AI30" i="51"/>
  <c r="AJ92" i="51"/>
  <c r="AJ94" i="51" s="1"/>
  <c r="AE46" i="51"/>
  <c r="AD52" i="51"/>
  <c r="AD53" i="51" s="1"/>
  <c r="AH81" i="51"/>
  <c r="AH23" i="51"/>
  <c r="AJ110" i="51"/>
  <c r="AJ113" i="51" s="1"/>
  <c r="AI45" i="51"/>
  <c r="AI82" i="51"/>
  <c r="AI85" i="51" s="1"/>
  <c r="AI87" i="51" s="1"/>
  <c r="AH86" i="51"/>
  <c r="AC8" i="51"/>
  <c r="AC7" i="51" s="1"/>
  <c r="I21" i="41"/>
  <c r="J31" i="41"/>
  <c r="N40" i="41"/>
  <c r="I45" i="41"/>
  <c r="O37" i="41"/>
  <c r="R27" i="42" s="1"/>
  <c r="O30" i="41"/>
  <c r="N31" i="41"/>
  <c r="K39" i="41"/>
  <c r="N37" i="41"/>
  <c r="Q27" i="42" s="1"/>
  <c r="F31" i="41"/>
  <c r="F44" i="41"/>
  <c r="N8" i="41"/>
  <c r="Q12" i="42" s="1"/>
  <c r="N30" i="41"/>
  <c r="P28" i="41"/>
  <c r="S14" i="42" s="1"/>
  <c r="H30" i="41"/>
  <c r="L30" i="41"/>
  <c r="P30" i="41"/>
  <c r="O39" i="41"/>
  <c r="J40" i="41"/>
  <c r="M44" i="41"/>
  <c r="G14" i="42"/>
  <c r="H14" i="42"/>
  <c r="I39" i="41"/>
  <c r="M39" i="41"/>
  <c r="N42" i="41"/>
  <c r="Q25" i="42" s="1"/>
  <c r="J45" i="41"/>
  <c r="N45" i="41"/>
  <c r="AI35" i="51" l="1"/>
  <c r="AJ96" i="51"/>
  <c r="AJ98" i="51" s="1"/>
  <c r="AI100" i="51"/>
  <c r="AI103" i="51" s="1"/>
  <c r="AI105" i="51" s="1"/>
  <c r="AI12" i="50" s="1"/>
  <c r="AI106" i="51" s="1"/>
  <c r="AH44" i="52"/>
  <c r="AH99" i="51"/>
  <c r="AH39" i="52"/>
  <c r="AE28" i="50"/>
  <c r="V26" i="50" s="1"/>
  <c r="J21" i="41"/>
  <c r="AG22" i="50"/>
  <c r="AG23" i="50" s="1"/>
  <c r="AG24" i="50"/>
  <c r="K19" i="41" s="1"/>
  <c r="AK110" i="51"/>
  <c r="AK113" i="51" s="1"/>
  <c r="AJ45" i="51"/>
  <c r="AI95" i="51"/>
  <c r="AI25" i="52"/>
  <c r="AI27" i="52" s="1"/>
  <c r="AI33" i="51"/>
  <c r="AI38" i="51" s="1"/>
  <c r="AH88" i="51"/>
  <c r="AI18" i="50"/>
  <c r="AH19" i="50"/>
  <c r="AH21" i="50"/>
  <c r="AJ82" i="51"/>
  <c r="AJ85" i="51" s="1"/>
  <c r="AI86" i="51"/>
  <c r="AF46" i="51"/>
  <c r="AE52" i="51"/>
  <c r="AE53" i="51" s="1"/>
  <c r="AC51" i="52"/>
  <c r="AD49" i="52"/>
  <c r="AD50" i="52" s="1"/>
  <c r="AI81" i="51"/>
  <c r="AI23" i="51"/>
  <c r="AF49" i="51"/>
  <c r="AF8" i="52" s="1"/>
  <c r="AF14" i="52" s="1"/>
  <c r="AF46" i="52" s="1"/>
  <c r="AF28" i="50"/>
  <c r="AD8" i="51"/>
  <c r="AD7" i="51" s="1"/>
  <c r="AC16" i="51"/>
  <c r="AC25" i="51" s="1"/>
  <c r="AC54" i="51" s="1"/>
  <c r="AC59" i="51"/>
  <c r="AC60" i="51" s="1"/>
  <c r="AC55" i="51"/>
  <c r="AC57" i="51" s="1"/>
  <c r="AI41" i="52"/>
  <c r="AI114" i="51"/>
  <c r="AJ100" i="51"/>
  <c r="AJ103" i="51" s="1"/>
  <c r="AJ105" i="51" s="1"/>
  <c r="AJ12" i="50" s="1"/>
  <c r="AK92" i="51"/>
  <c r="AK94" i="51" s="1"/>
  <c r="AJ30" i="51"/>
  <c r="AK77" i="51"/>
  <c r="AK80" i="51" s="1"/>
  <c r="AJ21" i="51"/>
  <c r="V32" i="50" l="1"/>
  <c r="AK96" i="51"/>
  <c r="AK98" i="51" s="1"/>
  <c r="AJ35" i="51"/>
  <c r="AI101" i="51"/>
  <c r="AI39" i="52"/>
  <c r="AI44" i="52" s="1"/>
  <c r="AI99" i="51"/>
  <c r="AG27" i="50"/>
  <c r="AG28" i="50" s="1"/>
  <c r="K21" i="41"/>
  <c r="K20" i="41"/>
  <c r="AH22" i="50"/>
  <c r="AH27" i="50" s="1"/>
  <c r="AH24" i="50"/>
  <c r="L19" i="41" s="1"/>
  <c r="AJ81" i="51"/>
  <c r="AJ23" i="51"/>
  <c r="AK82" i="51"/>
  <c r="AK85" i="51" s="1"/>
  <c r="AK87" i="51" s="1"/>
  <c r="AJ86" i="51"/>
  <c r="AJ106" i="51"/>
  <c r="AJ18" i="50"/>
  <c r="AE8" i="51"/>
  <c r="AE7" i="51" s="1"/>
  <c r="AJ87" i="51"/>
  <c r="AG46" i="51"/>
  <c r="AF52" i="51"/>
  <c r="AF53" i="51" s="1"/>
  <c r="V51" i="51"/>
  <c r="V13" i="52"/>
  <c r="V27" i="50"/>
  <c r="AL92" i="51"/>
  <c r="AL94" i="51" s="1"/>
  <c r="AK100" i="51"/>
  <c r="AK103" i="51" s="1"/>
  <c r="AK105" i="51" s="1"/>
  <c r="AK12" i="50" s="1"/>
  <c r="AK30" i="51"/>
  <c r="AJ41" i="52"/>
  <c r="AJ114" i="51"/>
  <c r="AL77" i="51"/>
  <c r="AL80" i="51" s="1"/>
  <c r="AK21" i="51"/>
  <c r="AI88" i="51"/>
  <c r="V40" i="50"/>
  <c r="V34" i="50"/>
  <c r="AK45" i="51"/>
  <c r="AL110" i="51"/>
  <c r="AL113" i="51" s="1"/>
  <c r="AL45" i="51" s="1"/>
  <c r="AJ25" i="52"/>
  <c r="AJ27" i="52" s="1"/>
  <c r="AJ101" i="51"/>
  <c r="AJ95" i="51"/>
  <c r="AJ33" i="51"/>
  <c r="AD59" i="51"/>
  <c r="AD60" i="51" s="1"/>
  <c r="AD16" i="51"/>
  <c r="AD25" i="51" s="1"/>
  <c r="AD54" i="51" s="1"/>
  <c r="AD55" i="51"/>
  <c r="AD57" i="51" s="1"/>
  <c r="AD51" i="52"/>
  <c r="AE49" i="52"/>
  <c r="AE50" i="52" s="1"/>
  <c r="AI19" i="50"/>
  <c r="AI21" i="50"/>
  <c r="AI24" i="50" s="1"/>
  <c r="M19" i="41" s="1"/>
  <c r="AJ99" i="51" l="1"/>
  <c r="AJ39" i="52"/>
  <c r="AL96" i="51"/>
  <c r="AL98" i="51" s="1"/>
  <c r="AL35" i="51" s="1"/>
  <c r="AK35" i="51"/>
  <c r="AJ38" i="51"/>
  <c r="AJ44" i="52"/>
  <c r="AG49" i="51"/>
  <c r="AG8" i="52" s="1"/>
  <c r="AG14" i="52" s="1"/>
  <c r="AG46" i="52" s="1"/>
  <c r="M21" i="41"/>
  <c r="M20" i="41"/>
  <c r="L20" i="41"/>
  <c r="L21" i="41"/>
  <c r="AH23" i="50"/>
  <c r="AI22" i="50"/>
  <c r="AI27" i="50" s="1"/>
  <c r="AL41" i="52"/>
  <c r="AL114" i="51"/>
  <c r="AL21" i="51"/>
  <c r="AJ88" i="51"/>
  <c r="AE51" i="52"/>
  <c r="AF49" i="52"/>
  <c r="AF50" i="52" s="1"/>
  <c r="AK41" i="52"/>
  <c r="AK114" i="51"/>
  <c r="AK25" i="52"/>
  <c r="AK27" i="52" s="1"/>
  <c r="AK95" i="51"/>
  <c r="AK33" i="51"/>
  <c r="AF8" i="51"/>
  <c r="AF7" i="51" s="1"/>
  <c r="AK106" i="51"/>
  <c r="AK18" i="50"/>
  <c r="V49" i="51"/>
  <c r="V28" i="50"/>
  <c r="AH46" i="51"/>
  <c r="AG52" i="51"/>
  <c r="AG53" i="51" s="1"/>
  <c r="AJ19" i="50"/>
  <c r="AJ21" i="50"/>
  <c r="AK23" i="51"/>
  <c r="AK81" i="51"/>
  <c r="AL30" i="51"/>
  <c r="AE59" i="51"/>
  <c r="AE60" i="51" s="1"/>
  <c r="AE16" i="51"/>
  <c r="AE25" i="51" s="1"/>
  <c r="AE54" i="51" s="1"/>
  <c r="AE55" i="51"/>
  <c r="AE57" i="51" s="1"/>
  <c r="AL82" i="51"/>
  <c r="AL85" i="51" s="1"/>
  <c r="AL86" i="51" s="1"/>
  <c r="AK86" i="51"/>
  <c r="AH49" i="51"/>
  <c r="AH8" i="52" s="1"/>
  <c r="AH14" i="52" s="1"/>
  <c r="AH46" i="52" s="1"/>
  <c r="AH28" i="50"/>
  <c r="AK39" i="52" l="1"/>
  <c r="AK99" i="51"/>
  <c r="AK101" i="51"/>
  <c r="AL99" i="51"/>
  <c r="AL39" i="52"/>
  <c r="AL44" i="52"/>
  <c r="AK44" i="52"/>
  <c r="AL100" i="51"/>
  <c r="AL103" i="51" s="1"/>
  <c r="AL105" i="51" s="1"/>
  <c r="AL12" i="50" s="1"/>
  <c r="AL106" i="51" s="1"/>
  <c r="AK38" i="51"/>
  <c r="AI23" i="50"/>
  <c r="AJ22" i="50"/>
  <c r="AJ23" i="50" s="1"/>
  <c r="AJ24" i="50"/>
  <c r="N19" i="41" s="1"/>
  <c r="AL87" i="51"/>
  <c r="AG8" i="51"/>
  <c r="AG7" i="51" s="1"/>
  <c r="AG49" i="52"/>
  <c r="AG50" i="52" s="1"/>
  <c r="AF51" i="52"/>
  <c r="AI46" i="51"/>
  <c r="AH52" i="51"/>
  <c r="AH53" i="51" s="1"/>
  <c r="AL81" i="51"/>
  <c r="AL23" i="51"/>
  <c r="AL25" i="52"/>
  <c r="AL27" i="52" s="1"/>
  <c r="AL101" i="51"/>
  <c r="AL95" i="51"/>
  <c r="AL33" i="51"/>
  <c r="AL38" i="51" s="1"/>
  <c r="AK21" i="50"/>
  <c r="AK24" i="50" s="1"/>
  <c r="O19" i="41" s="1"/>
  <c r="AK19" i="50"/>
  <c r="AK88" i="51"/>
  <c r="V8" i="52"/>
  <c r="V14" i="52" s="1"/>
  <c r="V46" i="52" s="1"/>
  <c r="V50" i="52" s="1"/>
  <c r="V52" i="51"/>
  <c r="V53" i="51" s="1"/>
  <c r="AF59" i="51"/>
  <c r="AF60" i="51" s="1"/>
  <c r="AF16" i="51"/>
  <c r="AF25" i="51" s="1"/>
  <c r="AF54" i="51" s="1"/>
  <c r="AF55" i="51"/>
  <c r="AF57" i="51" s="1"/>
  <c r="AI49" i="51"/>
  <c r="AI8" i="52" s="1"/>
  <c r="AI14" i="52" s="1"/>
  <c r="AI46" i="52" s="1"/>
  <c r="AI28" i="50"/>
  <c r="AL18" i="50" l="1"/>
  <c r="AJ27" i="50"/>
  <c r="AJ28" i="50" s="1"/>
  <c r="N20" i="41"/>
  <c r="N18" i="41"/>
  <c r="Q20" i="42" s="1"/>
  <c r="N21" i="41"/>
  <c r="O21" i="41"/>
  <c r="O18" i="41"/>
  <c r="R20" i="42" s="1"/>
  <c r="O20" i="41"/>
  <c r="AK22" i="50"/>
  <c r="AK23" i="50" s="1"/>
  <c r="V8" i="51"/>
  <c r="AH8" i="51"/>
  <c r="AH7" i="51" s="1"/>
  <c r="AJ46" i="51"/>
  <c r="AI52" i="51"/>
  <c r="AI53" i="51" s="1"/>
  <c r="AH49" i="52"/>
  <c r="AH50" i="52" s="1"/>
  <c r="AG51" i="52"/>
  <c r="AL88" i="51"/>
  <c r="AL19" i="50"/>
  <c r="AL21" i="50"/>
  <c r="AG16" i="51"/>
  <c r="AG25" i="51" s="1"/>
  <c r="AG54" i="51" s="1"/>
  <c r="AG59" i="51"/>
  <c r="AG60" i="51" s="1"/>
  <c r="AG55" i="51"/>
  <c r="AG57" i="51" s="1"/>
  <c r="AJ49" i="51" l="1"/>
  <c r="AJ8" i="52" s="1"/>
  <c r="AJ14" i="52" s="1"/>
  <c r="AJ46" i="52" s="1"/>
  <c r="AK27" i="50"/>
  <c r="AK28" i="50" s="1"/>
  <c r="AL22" i="50"/>
  <c r="AL27" i="50" s="1"/>
  <c r="AL24" i="50"/>
  <c r="P19" i="41" s="1"/>
  <c r="AH51" i="52"/>
  <c r="AI49" i="52"/>
  <c r="AI50" i="52" s="1"/>
  <c r="AI8" i="51"/>
  <c r="AI7" i="51" s="1"/>
  <c r="AH59" i="51"/>
  <c r="AH60" i="51" s="1"/>
  <c r="AH16" i="51"/>
  <c r="AH25" i="51" s="1"/>
  <c r="AH54" i="51" s="1"/>
  <c r="AH55" i="51"/>
  <c r="AH57" i="51" s="1"/>
  <c r="AK46" i="51"/>
  <c r="V59" i="51"/>
  <c r="V60" i="51" s="1"/>
  <c r="V16" i="51"/>
  <c r="V25" i="51" s="1"/>
  <c r="V54" i="51" s="1"/>
  <c r="V55" i="51"/>
  <c r="V57" i="51" s="1"/>
  <c r="V51" i="52"/>
  <c r="D51" i="52" s="1"/>
  <c r="AJ52" i="51" l="1"/>
  <c r="AJ53" i="51" s="1"/>
  <c r="AK49" i="51"/>
  <c r="AK8" i="52" s="1"/>
  <c r="AK14" i="52" s="1"/>
  <c r="AK46" i="52" s="1"/>
  <c r="AL23" i="50"/>
  <c r="P21" i="41"/>
  <c r="P18" i="41"/>
  <c r="S20" i="42" s="1"/>
  <c r="P20" i="41"/>
  <c r="AI59" i="51"/>
  <c r="AI60" i="51" s="1"/>
  <c r="AI16" i="51"/>
  <c r="AI25" i="51" s="1"/>
  <c r="AI54" i="51" s="1"/>
  <c r="AI55" i="51"/>
  <c r="AI57" i="51" s="1"/>
  <c r="AI51" i="52"/>
  <c r="AJ49" i="52"/>
  <c r="AJ50" i="52" s="1"/>
  <c r="AJ8" i="51"/>
  <c r="AJ7" i="51" s="1"/>
  <c r="AL49" i="51"/>
  <c r="AL8" i="52" s="1"/>
  <c r="AL14" i="52" s="1"/>
  <c r="AL46" i="52" s="1"/>
  <c r="AL28" i="50"/>
  <c r="AK52" i="51" l="1"/>
  <c r="AK53" i="51" s="1"/>
  <c r="AL46" i="51"/>
  <c r="AL52" i="51" s="1"/>
  <c r="AL53" i="51" s="1"/>
  <c r="AK8" i="51"/>
  <c r="AK7" i="51" s="1"/>
  <c r="AK49" i="52"/>
  <c r="AK50" i="52" s="1"/>
  <c r="AJ51" i="52"/>
  <c r="AJ59" i="51"/>
  <c r="AJ60" i="51" s="1"/>
  <c r="AJ16" i="51"/>
  <c r="AJ25" i="51" s="1"/>
  <c r="AJ54" i="51" s="1"/>
  <c r="AJ55" i="51"/>
  <c r="AJ57" i="51" s="1"/>
  <c r="AL8" i="51" l="1"/>
  <c r="AL7" i="51" s="1"/>
  <c r="AK51" i="52"/>
  <c r="AL49" i="52"/>
  <c r="AL50" i="52" s="1"/>
  <c r="AK59" i="51"/>
  <c r="AK60" i="51" s="1"/>
  <c r="AK16" i="51"/>
  <c r="AK25" i="51" s="1"/>
  <c r="AK54" i="51" s="1"/>
  <c r="AK55" i="51"/>
  <c r="AK57" i="51" s="1"/>
  <c r="AL51" i="52" l="1"/>
  <c r="AL59" i="51"/>
  <c r="AL60" i="51" s="1"/>
  <c r="AL16" i="51"/>
  <c r="AL25" i="51" s="1"/>
  <c r="AL54" i="51" s="1"/>
  <c r="AL55" i="51"/>
  <c r="AL57" i="51" s="1"/>
  <c r="P67" i="45" l="1"/>
  <c r="O67" i="45"/>
  <c r="N67" i="45"/>
  <c r="M67" i="45"/>
  <c r="L67" i="45"/>
  <c r="K67" i="45"/>
  <c r="J67" i="45"/>
  <c r="I67" i="45"/>
  <c r="H67" i="45"/>
  <c r="G67" i="45"/>
  <c r="F67" i="45"/>
  <c r="P74" i="45"/>
  <c r="O74" i="45"/>
  <c r="N74" i="45"/>
  <c r="M74" i="45"/>
  <c r="L74" i="45"/>
  <c r="K74" i="45"/>
  <c r="J74" i="45"/>
  <c r="I74" i="45"/>
  <c r="H74" i="45"/>
  <c r="G74" i="45"/>
  <c r="F74" i="45"/>
  <c r="F45" i="45"/>
  <c r="P45" i="45"/>
  <c r="O45" i="45"/>
  <c r="N45" i="45"/>
  <c r="M45" i="45"/>
  <c r="L45" i="45"/>
  <c r="K45" i="45"/>
  <c r="J45" i="45"/>
  <c r="I45" i="45"/>
  <c r="H45" i="45"/>
  <c r="G45" i="45"/>
  <c r="E45" i="45"/>
  <c r="D45" i="45"/>
  <c r="C45" i="45"/>
  <c r="P35" i="45"/>
  <c r="O35" i="45"/>
  <c r="N35" i="45"/>
  <c r="M35" i="45"/>
  <c r="L35" i="45"/>
  <c r="K35" i="45"/>
  <c r="J35" i="45"/>
  <c r="I35" i="45"/>
  <c r="H35" i="45"/>
  <c r="G35" i="45"/>
  <c r="F35" i="45"/>
  <c r="E35" i="45"/>
  <c r="D35" i="45"/>
  <c r="C35" i="45"/>
  <c r="P31" i="45"/>
  <c r="O31" i="45"/>
  <c r="N31" i="45"/>
  <c r="M31" i="45"/>
  <c r="L31" i="45"/>
  <c r="K31" i="45"/>
  <c r="J31" i="45"/>
  <c r="I31" i="45"/>
  <c r="H31" i="45"/>
  <c r="G31" i="45"/>
  <c r="F31" i="45"/>
  <c r="E31" i="45"/>
  <c r="D31" i="45"/>
  <c r="C31" i="45"/>
  <c r="P22" i="45"/>
  <c r="O22" i="45"/>
  <c r="N22" i="45"/>
  <c r="M22" i="45"/>
  <c r="L22" i="45"/>
  <c r="K22" i="45"/>
  <c r="J22" i="45"/>
  <c r="I22" i="45"/>
  <c r="H22" i="45"/>
  <c r="G22" i="45"/>
  <c r="F22" i="45"/>
  <c r="E22" i="45"/>
  <c r="D22" i="45"/>
  <c r="C22" i="45"/>
  <c r="P13" i="45"/>
  <c r="O13" i="45"/>
  <c r="N13" i="45"/>
  <c r="M13" i="45"/>
  <c r="L13" i="45"/>
  <c r="K13" i="45"/>
  <c r="J13" i="45"/>
  <c r="I13" i="45"/>
  <c r="H13" i="45"/>
  <c r="G13" i="45"/>
  <c r="F13" i="45"/>
  <c r="E13" i="45"/>
  <c r="D13" i="45"/>
  <c r="C13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B32" i="42" l="1"/>
  <c r="B31" i="42"/>
  <c r="B34" i="42"/>
  <c r="B71" i="42"/>
  <c r="J102" i="42" l="1"/>
  <c r="J96" i="42"/>
  <c r="M18" i="41"/>
  <c r="P20" i="42" s="1"/>
  <c r="L18" i="41"/>
  <c r="O20" i="42" s="1"/>
  <c r="K18" i="41"/>
  <c r="N20" i="42" s="1"/>
  <c r="J18" i="41"/>
  <c r="M20" i="42" s="1"/>
  <c r="I18" i="41"/>
  <c r="L20" i="42" s="1"/>
  <c r="H18" i="41"/>
  <c r="K20" i="42" s="1"/>
  <c r="G18" i="41"/>
  <c r="J20" i="42" s="1"/>
  <c r="F18" i="41"/>
  <c r="J52" i="42" l="1"/>
  <c r="J45" i="42"/>
  <c r="J104" i="42"/>
  <c r="F37" i="41" l="1"/>
  <c r="Y15" i="42"/>
  <c r="H12" i="42"/>
  <c r="F8" i="41"/>
  <c r="T11" i="42" l="1"/>
  <c r="J65" i="42"/>
  <c r="J41" i="42" s="1"/>
  <c r="F28" i="41"/>
  <c r="Z15" i="42" l="1"/>
  <c r="I26" i="42"/>
  <c r="AA26" i="42" s="1"/>
  <c r="AA11" i="42"/>
  <c r="H16" i="42"/>
  <c r="AA17" i="42" l="1"/>
  <c r="F42" i="41"/>
  <c r="AA13" i="42" l="1"/>
  <c r="I25" i="42"/>
  <c r="I24" i="42" s="1"/>
  <c r="AA24" i="42" s="1"/>
  <c r="H37" i="41" l="1"/>
  <c r="K27" i="42" s="1"/>
  <c r="I37" i="41" l="1"/>
  <c r="L27" i="42" s="1"/>
  <c r="J38" i="42"/>
  <c r="H28" i="41"/>
  <c r="K14" i="42" s="1"/>
  <c r="I28" i="41"/>
  <c r="L14" i="42" s="1"/>
  <c r="I8" i="41"/>
  <c r="L12" i="42" s="1"/>
  <c r="G37" i="41"/>
  <c r="J27" i="42" s="1"/>
  <c r="G8" i="41" l="1"/>
  <c r="J12" i="42" s="1"/>
  <c r="H8" i="41"/>
  <c r="K12" i="42" s="1"/>
  <c r="J37" i="41"/>
  <c r="M27" i="42" s="1"/>
  <c r="J11" i="42" l="1"/>
  <c r="AB11" i="42" s="1"/>
  <c r="G28" i="41"/>
  <c r="J14" i="42" s="1"/>
  <c r="H42" i="41"/>
  <c r="K25" i="42" s="1"/>
  <c r="J8" i="41"/>
  <c r="M12" i="42" s="1"/>
  <c r="K65" i="42" l="1"/>
  <c r="K41" i="42" s="1"/>
  <c r="J15" i="42"/>
  <c r="J26" i="42"/>
  <c r="AB26" i="42" s="1"/>
  <c r="K11" i="42"/>
  <c r="AC11" i="42" s="1"/>
  <c r="J13" i="42"/>
  <c r="AB13" i="42" s="1"/>
  <c r="J17" i="42"/>
  <c r="AB17" i="42" s="1"/>
  <c r="J28" i="41"/>
  <c r="M14" i="42" s="1"/>
  <c r="AB15" i="42" l="1"/>
  <c r="J47" i="42"/>
  <c r="K15" i="42"/>
  <c r="K26" i="42"/>
  <c r="AC26" i="42" s="1"/>
  <c r="L11" i="42"/>
  <c r="AD11" i="42" s="1"/>
  <c r="L65" i="42"/>
  <c r="L41" i="42" s="1"/>
  <c r="K24" i="42"/>
  <c r="K17" i="42"/>
  <c r="AC17" i="42" s="1"/>
  <c r="K13" i="42"/>
  <c r="AC13" i="42" s="1"/>
  <c r="K8" i="41"/>
  <c r="N12" i="42" s="1"/>
  <c r="K37" i="41"/>
  <c r="N27" i="42" s="1"/>
  <c r="I42" i="41"/>
  <c r="K28" i="41"/>
  <c r="N14" i="42" s="1"/>
  <c r="AC15" i="42" l="1"/>
  <c r="L13" i="42"/>
  <c r="AD13" i="42" s="1"/>
  <c r="L15" i="42"/>
  <c r="L26" i="42"/>
  <c r="AD26" i="42" s="1"/>
  <c r="AC24" i="42"/>
  <c r="L17" i="42"/>
  <c r="AD17" i="42" s="1"/>
  <c r="M11" i="42"/>
  <c r="AE11" i="42" s="1"/>
  <c r="M65" i="42"/>
  <c r="M41" i="42" s="1"/>
  <c r="L25" i="42"/>
  <c r="G42" i="41"/>
  <c r="J42" i="41"/>
  <c r="AD15" i="42" l="1"/>
  <c r="M13" i="42"/>
  <c r="AE13" i="42" s="1"/>
  <c r="M15" i="42"/>
  <c r="N65" i="42"/>
  <c r="N41" i="42" s="1"/>
  <c r="M26" i="42"/>
  <c r="AE26" i="42" s="1"/>
  <c r="M17" i="42"/>
  <c r="AE17" i="42" s="1"/>
  <c r="N11" i="42"/>
  <c r="AF11" i="42" s="1"/>
  <c r="L24" i="42"/>
  <c r="M25" i="42"/>
  <c r="J25" i="42"/>
  <c r="L37" i="41"/>
  <c r="O27" i="42" s="1"/>
  <c r="AE15" i="42" l="1"/>
  <c r="N15" i="42"/>
  <c r="O65" i="42"/>
  <c r="O41" i="42" s="1"/>
  <c r="N13" i="42"/>
  <c r="AF13" i="42" s="1"/>
  <c r="N17" i="42"/>
  <c r="AF17" i="42" s="1"/>
  <c r="N26" i="42"/>
  <c r="AF26" i="42" s="1"/>
  <c r="J24" i="42"/>
  <c r="L22" i="42"/>
  <c r="M24" i="42"/>
  <c r="AE24" i="42" s="1"/>
  <c r="AD24" i="42"/>
  <c r="M37" i="41"/>
  <c r="P27" i="42" s="1"/>
  <c r="K42" i="41"/>
  <c r="L28" i="41"/>
  <c r="O14" i="42" s="1"/>
  <c r="L8" i="41"/>
  <c r="O12" i="42" s="1"/>
  <c r="AF15" i="42" l="1"/>
  <c r="AB24" i="42"/>
  <c r="K22" i="42"/>
  <c r="J22" i="42"/>
  <c r="AA22" i="42" s="1"/>
  <c r="O11" i="42"/>
  <c r="AG11" i="42" s="1"/>
  <c r="AC22" i="42"/>
  <c r="M22" i="42"/>
  <c r="N25" i="42"/>
  <c r="M8" i="41"/>
  <c r="P12" i="42" s="1"/>
  <c r="M28" i="41"/>
  <c r="P14" i="42" s="1"/>
  <c r="O26" i="42" l="1"/>
  <c r="AG26" i="42" s="1"/>
  <c r="O15" i="42"/>
  <c r="AB22" i="42"/>
  <c r="P11" i="42"/>
  <c r="AH11" i="42" s="1"/>
  <c r="N24" i="42"/>
  <c r="O17" i="42"/>
  <c r="AG17" i="42" s="1"/>
  <c r="O13" i="42"/>
  <c r="AG13" i="42" s="1"/>
  <c r="P65" i="42"/>
  <c r="P41" i="42" s="1"/>
  <c r="AD22" i="42"/>
  <c r="AG15" i="42" l="1"/>
  <c r="P15" i="42"/>
  <c r="AH15" i="42" s="1"/>
  <c r="P13" i="42"/>
  <c r="AH13" i="42" s="1"/>
  <c r="Q65" i="42"/>
  <c r="Q41" i="42" s="1"/>
  <c r="Q11" i="42"/>
  <c r="U11" i="42"/>
  <c r="P26" i="42"/>
  <c r="AH26" i="42" s="1"/>
  <c r="N22" i="42"/>
  <c r="AF24" i="42"/>
  <c r="P17" i="42"/>
  <c r="AH17" i="42" s="1"/>
  <c r="M42" i="41"/>
  <c r="L42" i="41"/>
  <c r="R11" i="42" l="1"/>
  <c r="AI11" i="42"/>
  <c r="Q17" i="42"/>
  <c r="AI17" i="42" s="1"/>
  <c r="Q24" i="42"/>
  <c r="AI24" i="42" s="1"/>
  <c r="Q15" i="42"/>
  <c r="AI15" i="42" s="1"/>
  <c r="V11" i="42"/>
  <c r="R65" i="42"/>
  <c r="R41" i="42" s="1"/>
  <c r="Q26" i="42"/>
  <c r="AI26" i="42" s="1"/>
  <c r="Q13" i="42"/>
  <c r="AI13" i="42" s="1"/>
  <c r="R17" i="42"/>
  <c r="AJ17" i="42" s="1"/>
  <c r="AE22" i="42"/>
  <c r="R24" i="42"/>
  <c r="O25" i="42"/>
  <c r="P25" i="42"/>
  <c r="R13" i="42"/>
  <c r="AJ13" i="42" s="1"/>
  <c r="S65" i="42"/>
  <c r="S41" i="42" s="1"/>
  <c r="R26" i="42"/>
  <c r="AJ26" i="42" s="1"/>
  <c r="S11" i="42"/>
  <c r="S15" i="42" l="1"/>
  <c r="AK15" i="42" s="1"/>
  <c r="AK11" i="42"/>
  <c r="R15" i="42"/>
  <c r="AJ15" i="42" s="1"/>
  <c r="AJ11" i="42"/>
  <c r="S17" i="42"/>
  <c r="AK17" i="42" s="1"/>
  <c r="P24" i="42"/>
  <c r="AH24" i="42" s="1"/>
  <c r="O24" i="42"/>
  <c r="AG24" i="42" s="1"/>
  <c r="R22" i="42"/>
  <c r="AJ24" i="42"/>
  <c r="S24" i="42"/>
  <c r="S13" i="42"/>
  <c r="AK13" i="42" s="1"/>
  <c r="S26" i="42"/>
  <c r="AK26" i="42" s="1"/>
  <c r="Q22" i="42" l="1"/>
  <c r="S22" i="42"/>
  <c r="P22" i="42"/>
  <c r="AI22" i="42"/>
  <c r="O22" i="42"/>
  <c r="AK24" i="42"/>
  <c r="AJ22" i="42" l="1"/>
  <c r="AF22" i="42"/>
  <c r="AG22" i="42"/>
  <c r="AH22" i="42"/>
  <c r="AA15" i="42"/>
  <c r="T15" i="42"/>
  <c r="I16" i="42"/>
  <c r="J82" i="42"/>
  <c r="J56" i="42" l="1"/>
  <c r="V15" i="42"/>
  <c r="U15" i="42"/>
  <c r="K100" i="42" l="1"/>
  <c r="K102" i="42" l="1"/>
  <c r="K52" i="42" l="1"/>
  <c r="K56" i="42" s="1"/>
  <c r="K45" i="42"/>
  <c r="K104" i="42"/>
  <c r="L100" i="42"/>
  <c r="K47" i="42" l="1"/>
  <c r="L102" i="42"/>
  <c r="L52" i="42" l="1"/>
  <c r="L56" i="42" s="1"/>
  <c r="L45" i="42"/>
  <c r="L104" i="42"/>
  <c r="M100" i="42"/>
  <c r="M102" i="42" s="1"/>
  <c r="L47" i="42" l="1"/>
  <c r="M52" i="42"/>
  <c r="M56" i="42" s="1"/>
  <c r="M45" i="42"/>
  <c r="M104" i="42"/>
  <c r="N100" i="42"/>
  <c r="M47" i="42" l="1"/>
  <c r="N102" i="42"/>
  <c r="N52" i="42" l="1"/>
  <c r="N56" i="42" s="1"/>
  <c r="N45" i="42"/>
  <c r="N104" i="42"/>
  <c r="O100" i="42"/>
  <c r="N47" i="42" l="1"/>
  <c r="O102" i="42"/>
  <c r="O52" i="42" l="1"/>
  <c r="O56" i="42" s="1"/>
  <c r="O45" i="42"/>
  <c r="O104" i="42"/>
  <c r="P100" i="42"/>
  <c r="O47" i="42" l="1"/>
  <c r="P102" i="42"/>
  <c r="P52" i="42" s="1"/>
  <c r="P104" i="42" l="1"/>
  <c r="P56" i="42"/>
  <c r="Q100" i="42"/>
  <c r="Q102" i="42" l="1"/>
  <c r="Q52" i="42" s="1"/>
  <c r="Q104" i="42" l="1"/>
  <c r="Q56" i="42"/>
  <c r="R100" i="42"/>
  <c r="R102" i="42" l="1"/>
  <c r="R52" i="42" s="1"/>
  <c r="R104" i="42" l="1"/>
  <c r="R56" i="42"/>
  <c r="S100" i="42"/>
  <c r="S102" i="42" l="1"/>
  <c r="S52" i="42" s="1"/>
  <c r="S56" i="42" l="1"/>
  <c r="S104" i="42"/>
  <c r="F104" i="42" s="1"/>
  <c r="J32" i="42" l="1"/>
  <c r="K32" i="42"/>
  <c r="L32" i="42"/>
  <c r="M32" i="42"/>
  <c r="N32" i="42"/>
  <c r="J88" i="42"/>
  <c r="J70" i="42" s="1"/>
  <c r="J33" i="42" l="1"/>
  <c r="J89" i="42"/>
  <c r="J91" i="42" s="1"/>
  <c r="K86" i="42"/>
  <c r="J92" i="42" l="1"/>
  <c r="J55" i="42" s="1"/>
  <c r="K88" i="42"/>
  <c r="J48" i="42"/>
  <c r="J68" i="42" l="1"/>
  <c r="K33" i="42"/>
  <c r="K70" i="42"/>
  <c r="K89" i="42"/>
  <c r="L86" i="42" l="1"/>
  <c r="K91" i="42"/>
  <c r="K92" i="42"/>
  <c r="K55" i="42" l="1"/>
  <c r="K68" i="42"/>
  <c r="K48" i="42"/>
  <c r="L88" i="42"/>
  <c r="L89" i="42" s="1"/>
  <c r="L33" i="42" l="1"/>
  <c r="L70" i="42"/>
  <c r="M86" i="42"/>
  <c r="L91" i="42"/>
  <c r="L92" i="42"/>
  <c r="L55" i="42" l="1"/>
  <c r="M88" i="42"/>
  <c r="M89" i="42" s="1"/>
  <c r="L68" i="42"/>
  <c r="L48" i="42"/>
  <c r="M91" i="42" l="1"/>
  <c r="N86" i="42"/>
  <c r="M92" i="42"/>
  <c r="M55" i="42" s="1"/>
  <c r="M70" i="42"/>
  <c r="M33" i="42"/>
  <c r="M48" i="42" l="1"/>
  <c r="N88" i="42"/>
  <c r="N89" i="42" s="1"/>
  <c r="M68" i="42"/>
  <c r="O86" i="42" l="1"/>
  <c r="N91" i="42"/>
  <c r="N70" i="42"/>
  <c r="N33" i="42"/>
  <c r="N92" i="42"/>
  <c r="N55" i="42" l="1"/>
  <c r="O88" i="42"/>
  <c r="N68" i="42"/>
  <c r="N48" i="42"/>
  <c r="O33" i="42" l="1"/>
  <c r="O48" i="42"/>
  <c r="O32" i="42"/>
  <c r="O70" i="42"/>
  <c r="O89" i="42"/>
  <c r="P86" i="42" s="1"/>
  <c r="O91" i="42"/>
  <c r="O92" i="42"/>
  <c r="O55" i="42" s="1"/>
  <c r="O68" i="42" l="1"/>
  <c r="P88" i="42"/>
  <c r="P33" i="42" l="1"/>
  <c r="J19" i="42"/>
  <c r="K19" i="42"/>
  <c r="L19" i="42"/>
  <c r="M19" i="42"/>
  <c r="N19" i="42"/>
  <c r="O19" i="42"/>
  <c r="P19" i="42"/>
  <c r="Q19" i="42"/>
  <c r="R19" i="42"/>
  <c r="S19" i="42"/>
  <c r="J21" i="42"/>
  <c r="K21" i="42"/>
  <c r="L21" i="42"/>
  <c r="M21" i="42"/>
  <c r="N21" i="42"/>
  <c r="O21" i="42"/>
  <c r="P21" i="42"/>
  <c r="Q21" i="42"/>
  <c r="R21" i="42"/>
  <c r="S21" i="42"/>
  <c r="J28" i="42"/>
  <c r="K28" i="42"/>
  <c r="L28" i="42"/>
  <c r="M28" i="42"/>
  <c r="N28" i="42"/>
  <c r="O28" i="42"/>
  <c r="P28" i="42"/>
  <c r="Q28" i="42"/>
  <c r="R28" i="42"/>
  <c r="S28" i="42"/>
  <c r="U28" i="42"/>
  <c r="V28" i="42"/>
  <c r="J31" i="42"/>
  <c r="K31" i="42"/>
  <c r="L31" i="42"/>
  <c r="M31" i="42"/>
  <c r="N31" i="42"/>
  <c r="O31" i="42"/>
  <c r="P31" i="42"/>
  <c r="Q31" i="42"/>
  <c r="R31" i="42"/>
  <c r="S31" i="42"/>
  <c r="P32" i="42"/>
  <c r="Q32" i="42"/>
  <c r="R32" i="42"/>
  <c r="S32" i="42"/>
  <c r="Q33" i="42"/>
  <c r="R33" i="42"/>
  <c r="S33" i="42"/>
  <c r="J35" i="42"/>
  <c r="K35" i="42"/>
  <c r="L35" i="42"/>
  <c r="M35" i="42"/>
  <c r="N35" i="42"/>
  <c r="O35" i="42"/>
  <c r="P35" i="42"/>
  <c r="Q35" i="42"/>
  <c r="R35" i="42"/>
  <c r="S35" i="42"/>
  <c r="J37" i="42"/>
  <c r="K37" i="42"/>
  <c r="L37" i="42"/>
  <c r="M37" i="42"/>
  <c r="N37" i="42"/>
  <c r="O37" i="42"/>
  <c r="P37" i="42"/>
  <c r="Q37" i="42"/>
  <c r="R37" i="42"/>
  <c r="S37" i="42"/>
  <c r="K38" i="42"/>
  <c r="L38" i="42"/>
  <c r="M38" i="42"/>
  <c r="N38" i="42"/>
  <c r="O38" i="42"/>
  <c r="P38" i="42"/>
  <c r="Q38" i="42"/>
  <c r="R38" i="42"/>
  <c r="S38" i="42"/>
  <c r="J39" i="42"/>
  <c r="K39" i="42"/>
  <c r="L39" i="42"/>
  <c r="M39" i="42"/>
  <c r="N39" i="42"/>
  <c r="O39" i="42"/>
  <c r="P39" i="42"/>
  <c r="Q39" i="42"/>
  <c r="R39" i="42"/>
  <c r="S39" i="42"/>
  <c r="J40" i="42"/>
  <c r="K40" i="42"/>
  <c r="L40" i="42"/>
  <c r="M40" i="42"/>
  <c r="N40" i="42"/>
  <c r="O40" i="42"/>
  <c r="P40" i="42"/>
  <c r="Q40" i="42"/>
  <c r="R40" i="42"/>
  <c r="S40" i="42"/>
  <c r="J42" i="42"/>
  <c r="K42" i="42"/>
  <c r="L42" i="42"/>
  <c r="M42" i="42"/>
  <c r="N42" i="42"/>
  <c r="O42" i="42"/>
  <c r="P42" i="42"/>
  <c r="Q42" i="42"/>
  <c r="R42" i="42"/>
  <c r="S42" i="42"/>
  <c r="P45" i="42"/>
  <c r="Q45" i="42"/>
  <c r="R45" i="42"/>
  <c r="S45" i="42"/>
  <c r="J46" i="42"/>
  <c r="K46" i="42"/>
  <c r="L46" i="42"/>
  <c r="M46" i="42"/>
  <c r="N46" i="42"/>
  <c r="O46" i="42"/>
  <c r="P46" i="42"/>
  <c r="Q46" i="42"/>
  <c r="R46" i="42"/>
  <c r="S46" i="42"/>
  <c r="P47" i="42"/>
  <c r="Q47" i="42"/>
  <c r="R47" i="42"/>
  <c r="S47" i="42"/>
  <c r="P48" i="42"/>
  <c r="Q48" i="42"/>
  <c r="R48" i="42"/>
  <c r="S48" i="42"/>
  <c r="J49" i="42"/>
  <c r="K49" i="42"/>
  <c r="L49" i="42"/>
  <c r="M49" i="42"/>
  <c r="N49" i="42"/>
  <c r="O49" i="42"/>
  <c r="P49" i="42"/>
  <c r="Q49" i="42"/>
  <c r="R49" i="42"/>
  <c r="S49" i="42"/>
  <c r="J53" i="42"/>
  <c r="K53" i="42"/>
  <c r="L53" i="42"/>
  <c r="M53" i="42"/>
  <c r="N53" i="42"/>
  <c r="O53" i="42"/>
  <c r="P53" i="42"/>
  <c r="Q53" i="42"/>
  <c r="R53" i="42"/>
  <c r="S53" i="42"/>
  <c r="J54" i="42"/>
  <c r="K54" i="42"/>
  <c r="L54" i="42"/>
  <c r="M54" i="42"/>
  <c r="N54" i="42"/>
  <c r="O54" i="42"/>
  <c r="J57" i="42"/>
  <c r="K57" i="42"/>
  <c r="L57" i="42"/>
  <c r="M57" i="42"/>
  <c r="N57" i="42"/>
  <c r="O57" i="42"/>
  <c r="P57" i="42"/>
  <c r="Q57" i="42"/>
  <c r="R57" i="42"/>
  <c r="S57" i="42"/>
  <c r="K63" i="42"/>
  <c r="L63" i="42"/>
  <c r="M63" i="42"/>
  <c r="N63" i="42"/>
  <c r="O63" i="42"/>
  <c r="P63" i="42"/>
  <c r="Q63" i="42"/>
  <c r="R63" i="42"/>
  <c r="S63" i="42"/>
  <c r="J64" i="42"/>
  <c r="K64" i="42"/>
  <c r="L64" i="42"/>
  <c r="M64" i="42"/>
  <c r="N64" i="42"/>
  <c r="O64" i="42"/>
  <c r="P64" i="42"/>
  <c r="Q64" i="42"/>
  <c r="R64" i="42"/>
  <c r="S64" i="42"/>
  <c r="J66" i="42"/>
  <c r="K66" i="42"/>
  <c r="L66" i="42"/>
  <c r="M66" i="42"/>
  <c r="N66" i="42"/>
  <c r="O66" i="42"/>
  <c r="P66" i="42"/>
  <c r="Q66" i="42"/>
  <c r="R66" i="42"/>
  <c r="S66" i="42"/>
  <c r="J67" i="42"/>
  <c r="K67" i="42"/>
  <c r="L67" i="42"/>
  <c r="M67" i="42"/>
  <c r="N67" i="42"/>
  <c r="O67" i="42"/>
  <c r="P67" i="42"/>
  <c r="Q67" i="42"/>
  <c r="R67" i="42"/>
  <c r="S67" i="42"/>
  <c r="P68" i="42"/>
  <c r="Q68" i="42"/>
  <c r="R68" i="42"/>
  <c r="S68" i="42"/>
  <c r="J69" i="42"/>
  <c r="K69" i="42"/>
  <c r="L69" i="42"/>
  <c r="M69" i="42"/>
  <c r="N69" i="42"/>
  <c r="O69" i="42"/>
  <c r="P69" i="42"/>
  <c r="Q69" i="42"/>
  <c r="R69" i="42"/>
  <c r="S69" i="42"/>
  <c r="P70" i="42"/>
  <c r="Q70" i="42"/>
  <c r="R70" i="42"/>
  <c r="S70" i="42"/>
  <c r="J72" i="42"/>
  <c r="K72" i="42"/>
  <c r="L72" i="42"/>
  <c r="M72" i="42"/>
  <c r="N72" i="42"/>
  <c r="O72" i="42"/>
  <c r="P72" i="42"/>
  <c r="Q72" i="42"/>
  <c r="R72" i="42"/>
  <c r="S72" i="42"/>
  <c r="J73" i="42"/>
  <c r="K73" i="42"/>
  <c r="L73" i="42"/>
  <c r="M73" i="42"/>
  <c r="N73" i="42"/>
  <c r="O73" i="42"/>
  <c r="P73" i="42"/>
  <c r="Q73" i="42"/>
  <c r="R73" i="42"/>
  <c r="S73" i="42"/>
  <c r="Q86" i="42"/>
  <c r="R86" i="42"/>
  <c r="S86" i="42"/>
  <c r="P87" i="42"/>
  <c r="Q87" i="42"/>
  <c r="R87" i="42"/>
  <c r="S87" i="42"/>
  <c r="Q88" i="42"/>
  <c r="R88" i="42"/>
  <c r="S88" i="42"/>
  <c r="P89" i="42"/>
  <c r="Q89" i="42"/>
  <c r="R89" i="42"/>
  <c r="S89" i="42"/>
  <c r="P91" i="42"/>
  <c r="Q91" i="42"/>
  <c r="R91" i="42"/>
  <c r="S91" i="42"/>
  <c r="P92" i="42"/>
  <c r="Q92" i="42"/>
  <c r="R92" i="42"/>
  <c r="S92" i="42"/>
  <c r="J109" i="42"/>
  <c r="K109" i="42"/>
  <c r="L109" i="42"/>
  <c r="M109" i="42"/>
  <c r="N109" i="42"/>
  <c r="O109" i="42"/>
  <c r="P109" i="42"/>
  <c r="Q109" i="42"/>
  <c r="R109" i="42"/>
  <c r="S109" i="42"/>
</calcChain>
</file>

<file path=xl/sharedStrings.xml><?xml version="1.0" encoding="utf-8"?>
<sst xmlns="http://schemas.openxmlformats.org/spreadsheetml/2006/main" count="869" uniqueCount="406">
  <si>
    <t>Marketing</t>
  </si>
  <si>
    <t>EBITDA</t>
  </si>
  <si>
    <t>CAGR</t>
  </si>
  <si>
    <t>D&amp;A</t>
  </si>
  <si>
    <t>Sales</t>
  </si>
  <si>
    <t>Check</t>
  </si>
  <si>
    <t>Amortization</t>
  </si>
  <si>
    <t>Total Debt</t>
  </si>
  <si>
    <t>Assumptions Page 1 - Income Statement and Cash Flow Statement</t>
  </si>
  <si>
    <t>Projection Period</t>
  </si>
  <si>
    <t>Income Statement Assumptions</t>
  </si>
  <si>
    <t>Sales (% growth)</t>
  </si>
  <si>
    <t xml:space="preserve">   Base</t>
  </si>
  <si>
    <t>Brakeven EBITDA</t>
  </si>
  <si>
    <t>Brakeven Sales</t>
  </si>
  <si>
    <t>Taxes (% EBT)</t>
  </si>
  <si>
    <t>Cash Flow Statement Assumptions</t>
  </si>
  <si>
    <t>Capital Expenditures (% sales)</t>
  </si>
  <si>
    <t>Debt Sizing</t>
  </si>
  <si>
    <t>General Assumptions</t>
  </si>
  <si>
    <t>Historic Period</t>
  </si>
  <si>
    <t>('15 - '17)</t>
  </si>
  <si>
    <t>('18 - '24)</t>
  </si>
  <si>
    <t xml:space="preserve"> YoY growth (%)</t>
  </si>
  <si>
    <t>=EBITDA</t>
  </si>
  <si>
    <t xml:space="preserve">   % margin</t>
  </si>
  <si>
    <t>-Cash Taxes</t>
  </si>
  <si>
    <t>% taxes</t>
  </si>
  <si>
    <t xml:space="preserve"> % sales</t>
  </si>
  <si>
    <t>Interests</t>
  </si>
  <si>
    <t>-Change in WC</t>
  </si>
  <si>
    <t>% sales</t>
  </si>
  <si>
    <t>CAPEX</t>
  </si>
  <si>
    <t>=FCF for DS</t>
  </si>
  <si>
    <t>=Financing CF</t>
  </si>
  <si>
    <t>CF  Generation</t>
  </si>
  <si>
    <t>+BoP Cash</t>
  </si>
  <si>
    <t>=EoP Cash</t>
  </si>
  <si>
    <t>Min cash</t>
  </si>
  <si>
    <t>Cash Avalable for Discretionary Payments</t>
  </si>
  <si>
    <t>Net Debt</t>
  </si>
  <si>
    <t>Interest Coverage (EBITDA / Interest)</t>
  </si>
  <si>
    <t>Leverage (Debt / EBITDA)</t>
  </si>
  <si>
    <t>Net Leverage (Net Debt / EBITDA)</t>
  </si>
  <si>
    <t>Fully Loaded Credit Statistics (RFC Fully Drawn)</t>
  </si>
  <si>
    <t>Debt Schedule (MXN$ MM )</t>
  </si>
  <si>
    <t>BoP Cash</t>
  </si>
  <si>
    <t>+CF Generation Before DS</t>
  </si>
  <si>
    <t>-Min Cash (% Sales)</t>
  </si>
  <si>
    <t>+ Interest Revenue</t>
  </si>
  <si>
    <t>= Cash Available for Debt Service</t>
  </si>
  <si>
    <t>-Mandatory Debt Service (I+C)</t>
  </si>
  <si>
    <t>=Exess Cash / Shorfall</t>
  </si>
  <si>
    <t>EoP Cash (Min Cash + Exess Cash)</t>
  </si>
  <si>
    <t>Interest on Cash</t>
  </si>
  <si>
    <t>Interest Rates</t>
  </si>
  <si>
    <t>Fees</t>
  </si>
  <si>
    <t>Revolver Limit</t>
  </si>
  <si>
    <t>BoY</t>
  </si>
  <si>
    <t>EoY</t>
  </si>
  <si>
    <t>Commitment Fee</t>
  </si>
  <si>
    <t>Interest Payment</t>
  </si>
  <si>
    <t xml:space="preserve">Annual Amortization </t>
  </si>
  <si>
    <t>Toatal Cash Interest</t>
  </si>
  <si>
    <t>Escenarios</t>
  </si>
  <si>
    <t>Dividend</t>
  </si>
  <si>
    <t>Invekra | Resumen (cifras en mdp)</t>
  </si>
  <si>
    <t>Estado de Resultados Proyectado (mdp)</t>
  </si>
  <si>
    <t>Ventas</t>
  </si>
  <si>
    <t>Farmacéutico México</t>
  </si>
  <si>
    <t>Farmacéutico Latam</t>
  </si>
  <si>
    <t>Salud Animal</t>
  </si>
  <si>
    <t>Otras Subsidiarias y Nuevos Productos</t>
  </si>
  <si>
    <t>Costo de Ventas</t>
  </si>
  <si>
    <t>Utilidad Bruta</t>
  </si>
  <si>
    <t>Gastos de Operación</t>
  </si>
  <si>
    <t>Administrativos</t>
  </si>
  <si>
    <t>Fuerza de Ventas</t>
  </si>
  <si>
    <t>Otros Gastos (Ingresos)</t>
  </si>
  <si>
    <t>Eficiencias Sinergias M&amp;A</t>
  </si>
  <si>
    <t>UAFIRDA</t>
  </si>
  <si>
    <t>Margen UAFIRDA</t>
  </si>
  <si>
    <t>Utilidad de Operación</t>
  </si>
  <si>
    <t>Depreciación y Amortización</t>
  </si>
  <si>
    <t>Resultado Integral de Financiamiento Neto</t>
  </si>
  <si>
    <t>Gasto por Intereses</t>
  </si>
  <si>
    <t>Ingreso por Intereses</t>
  </si>
  <si>
    <t>Utilidad No Operativa (pérdida)</t>
  </si>
  <si>
    <t>Utilidad antes de Impuestos</t>
  </si>
  <si>
    <t>Impuestos</t>
  </si>
  <si>
    <t>Interés Minoritario</t>
  </si>
  <si>
    <t>Utilidad Neta</t>
  </si>
  <si>
    <t>Resumen Crecimiento</t>
  </si>
  <si>
    <t>Crecimiento Ventas</t>
  </si>
  <si>
    <t/>
  </si>
  <si>
    <t>% Costo de Ventas</t>
  </si>
  <si>
    <t>Margen Bruto</t>
  </si>
  <si>
    <t>% Gastos de Operación</t>
  </si>
  <si>
    <t>Crecimiento UAFIRDA</t>
  </si>
  <si>
    <t>Margen de Operación</t>
  </si>
  <si>
    <t>Margen Neto</t>
  </si>
  <si>
    <t>Crecimiento Utilidad Neta</t>
  </si>
  <si>
    <t>Flujo de Efectivo Proyectado (mdp)</t>
  </si>
  <si>
    <t>Utilidad Neta Ajustada</t>
  </si>
  <si>
    <t>Δ Capital de Trabajo</t>
  </si>
  <si>
    <t>Δ Otros Activos y Pasivos</t>
  </si>
  <si>
    <t>Actividades de Operación</t>
  </si>
  <si>
    <t>Adquisición Grupo Portugal</t>
  </si>
  <si>
    <t>Compra de Marcas y Licencias</t>
  </si>
  <si>
    <t>Flujo después de Actividades de Inversión</t>
  </si>
  <si>
    <t>Aportaciones de Capital</t>
  </si>
  <si>
    <t>Dividendos</t>
  </si>
  <si>
    <t>Vencimiento Circulante de la Deuda a Largo Plazo</t>
  </si>
  <si>
    <t>Variación Crédito Revolvente</t>
  </si>
  <si>
    <t>Cambio en Caja</t>
  </si>
  <si>
    <t>Efectivo Inicial</t>
  </si>
  <si>
    <t>Efectivo Final</t>
  </si>
  <si>
    <t>Índice de Cobertura del Servicio de la Deuda (UAFIRDA/Servicio de Deuda)</t>
  </si>
  <si>
    <t>Resumen Covenants</t>
  </si>
  <si>
    <t>Índice de Cobertura del Servicio de la Deuda</t>
  </si>
  <si>
    <t>Índice de Cobertura de Deuda</t>
  </si>
  <si>
    <t>Índice de Cobertura de Intereses</t>
  </si>
  <si>
    <t>% UAFIRDA Obligados Solidarios</t>
  </si>
  <si>
    <t xml:space="preserve">UAFIRDA Consolidado </t>
  </si>
  <si>
    <t>UAFIRDA Sociedades No Garantes</t>
  </si>
  <si>
    <t>UAFIRDA Laboratorios Portugal</t>
  </si>
  <si>
    <t>UAFIRDA Hersil</t>
  </si>
  <si>
    <t>UAFIRDA Excluyendo Sociedades No Garantes</t>
  </si>
  <si>
    <t>UAFIRDA Latam</t>
  </si>
  <si>
    <t>UAFIR MSD y otros productos nuevos Latam</t>
  </si>
  <si>
    <t>UAFIRDA Obligados Solidarios México</t>
  </si>
  <si>
    <t>% UAFIRDA Obligados Solidarios México</t>
  </si>
  <si>
    <t>% UAFIRDA Sociedades No Garantes</t>
  </si>
  <si>
    <t>Covenants Contractuales</t>
  </si>
  <si>
    <t>Índice de Cobertura del SD Mínimo</t>
  </si>
  <si>
    <t>Índice de Cobertura de Deuda Máximo</t>
  </si>
  <si>
    <t>Índice de Cobertura de Intereses Mínimo</t>
  </si>
  <si>
    <t>Año</t>
  </si>
  <si>
    <t>Costo de Ventas (% Ventas)</t>
  </si>
  <si>
    <t>Gastos de Operación (% Ventas)</t>
  </si>
  <si>
    <t>Crecimiento en ventas</t>
  </si>
  <si>
    <t>% Ventas</t>
  </si>
  <si>
    <t>('18 - '27)</t>
  </si>
  <si>
    <t>Change in WC</t>
  </si>
  <si>
    <t>Margin Tranche A (Revolver)</t>
  </si>
  <si>
    <t>Tranche A (RFC)</t>
  </si>
  <si>
    <t>Margin Tranche B (Revolver)</t>
  </si>
  <si>
    <t xml:space="preserve">Tranche B (TL) </t>
  </si>
  <si>
    <t>Credit Statistics</t>
  </si>
  <si>
    <t>EBIT</t>
  </si>
  <si>
    <t>Current Assets</t>
  </si>
  <si>
    <t>PP&amp;E</t>
  </si>
  <si>
    <t>Total Liabilities</t>
  </si>
  <si>
    <t>Working Capital</t>
  </si>
  <si>
    <t>Total Depreciation</t>
  </si>
  <si>
    <t>Interest expense</t>
  </si>
  <si>
    <t>Net Income</t>
  </si>
  <si>
    <t>Interest Expense</t>
  </si>
  <si>
    <t>x</t>
  </si>
  <si>
    <t>Long Term Debt</t>
  </si>
  <si>
    <t>Yearly revolver needs</t>
  </si>
  <si>
    <t>Drawdown</t>
  </si>
  <si>
    <t>Capex</t>
  </si>
  <si>
    <t>%sales</t>
  </si>
  <si>
    <t>Net WC (%sales)</t>
  </si>
  <si>
    <t>Net WC</t>
  </si>
  <si>
    <t xml:space="preserve"> </t>
  </si>
  <si>
    <t>Other Income</t>
  </si>
  <si>
    <t xml:space="preserve">Consolidated Income Statement (US$) </t>
  </si>
  <si>
    <t>PROJECTED</t>
  </si>
  <si>
    <t>Actual
2005</t>
  </si>
  <si>
    <t>Actual
2006</t>
  </si>
  <si>
    <t>Actual
2007</t>
  </si>
  <si>
    <r>
      <rPr>
        <b/>
        <sz val="8.5"/>
        <rFont val="Arial"/>
        <family val="2"/>
      </rPr>
      <t>Actual</t>
    </r>
    <r>
      <rPr>
        <b/>
        <sz val="10"/>
        <rFont val="Arial"/>
        <family val="2"/>
      </rPr>
      <t xml:space="preserve">
2008</t>
    </r>
  </si>
  <si>
    <r>
      <rPr>
        <b/>
        <sz val="8.5"/>
        <rFont val="Arial"/>
        <family val="2"/>
      </rPr>
      <t>Actual</t>
    </r>
    <r>
      <rPr>
        <b/>
        <sz val="10"/>
        <rFont val="Arial"/>
        <family val="2"/>
      </rPr>
      <t xml:space="preserve">
2009</t>
    </r>
  </si>
  <si>
    <r>
      <rPr>
        <b/>
        <sz val="8.5"/>
        <rFont val="Arial"/>
        <family val="2"/>
      </rPr>
      <t>Actual</t>
    </r>
    <r>
      <rPr>
        <b/>
        <sz val="10"/>
        <rFont val="Arial"/>
        <family val="2"/>
      </rPr>
      <t xml:space="preserve">
2010</t>
    </r>
  </si>
  <si>
    <t>At Sep 
2011</t>
  </si>
  <si>
    <t>Actual
2011</t>
  </si>
  <si>
    <t>Forecast
2011</t>
  </si>
  <si>
    <t>At March
2012</t>
  </si>
  <si>
    <t>Actual
2012</t>
  </si>
  <si>
    <t>At June
2013</t>
  </si>
  <si>
    <t>At Sep
2013</t>
  </si>
  <si>
    <t>Forecast
2013</t>
  </si>
  <si>
    <t>Actual
2013</t>
  </si>
  <si>
    <t>At June
2014</t>
  </si>
  <si>
    <t>Forecast
2014</t>
  </si>
  <si>
    <t>Budget
2014</t>
  </si>
  <si>
    <t>Actual
2014</t>
  </si>
  <si>
    <t>Actual
2015</t>
  </si>
  <si>
    <t>Budget 2016</t>
  </si>
  <si>
    <t>Actual 2016</t>
  </si>
  <si>
    <t>Budget 2017</t>
  </si>
  <si>
    <t>Actual 
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</si>
  <si>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</si>
  <si>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</si>
  <si>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</si>
  <si>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</si>
  <si>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</si>
  <si>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</si>
  <si>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</si>
  <si>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</si>
  <si>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</si>
  <si>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</si>
  <si>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Revenue</t>
  </si>
  <si>
    <t>% EBIT</t>
  </si>
  <si>
    <t>Other Income &amp; expense</t>
  </si>
  <si>
    <t>Currency Adjustment</t>
  </si>
  <si>
    <t>Repomo</t>
  </si>
  <si>
    <t>FMV Amortization</t>
  </si>
  <si>
    <t>Earnings Before Taxes</t>
  </si>
  <si>
    <t>Taxes</t>
  </si>
  <si>
    <t>Earnings before minority interest</t>
  </si>
  <si>
    <t>Minority Interest</t>
  </si>
  <si>
    <t>%  Net income</t>
  </si>
  <si>
    <t>Depreciation</t>
  </si>
  <si>
    <t>Safety</t>
  </si>
  <si>
    <t>EBITDA (Out one time expenses)</t>
  </si>
  <si>
    <t>ONE TIME</t>
    <phoneticPr fontId="0" type="noConversion"/>
  </si>
  <si>
    <t>Growth EBITDA one time</t>
    <phoneticPr fontId="0" type="noConversion"/>
  </si>
  <si>
    <t xml:space="preserve">Rp Inc (Orland Plant) </t>
  </si>
  <si>
    <t>Rp Inc (Hampton Service Center)</t>
  </si>
  <si>
    <t xml:space="preserve">Rp Inc (Chicago Service Center) </t>
  </si>
  <si>
    <t>Ruhrpumpen India</t>
  </si>
  <si>
    <t>Ruhrpumpen Brazil</t>
  </si>
  <si>
    <t>Ruhrpumpen China</t>
  </si>
  <si>
    <t>Ruhrpumpen Saudi</t>
  </si>
  <si>
    <t>Ruhrpumpen Russia</t>
  </si>
  <si>
    <t>Ruhrpumpen UK</t>
  </si>
  <si>
    <t>Nuclear service center</t>
  </si>
  <si>
    <t>Ruhrpumpen Metals</t>
  </si>
  <si>
    <t xml:space="preserve">RP GMBH (R&amp;D) </t>
  </si>
  <si>
    <t xml:space="preserve">RP SA (R&amp;D) </t>
  </si>
  <si>
    <t>BREAKDOWN BY CATEGORY &amp; COMPANY</t>
  </si>
  <si>
    <r>
      <rPr>
        <b/>
        <sz val="8.5"/>
        <rFont val="Arial"/>
        <family val="2"/>
      </rPr>
      <t>Actual</t>
    </r>
    <r>
      <rPr>
        <b/>
        <sz val="10"/>
        <rFont val="Arial"/>
        <family val="2"/>
      </rPr>
      <t xml:space="preserve">
2011</t>
    </r>
  </si>
  <si>
    <r>
      <rPr>
        <b/>
        <sz val="8.5"/>
        <rFont val="Arial"/>
        <family val="2"/>
      </rPr>
      <t>Actual</t>
    </r>
    <r>
      <rPr>
        <b/>
        <sz val="10"/>
        <rFont val="Arial"/>
        <family val="2"/>
      </rPr>
      <t xml:space="preserve">
2012</t>
    </r>
  </si>
  <si>
    <t>Revenue by Category &amp; Company</t>
  </si>
  <si>
    <t>Ruhrpumpen GmbH</t>
  </si>
  <si>
    <t>Ruhrpumpen Inc.</t>
  </si>
  <si>
    <t>Ruhrpumpen S.A.</t>
  </si>
  <si>
    <t>Ruhrpumpen Egypt</t>
  </si>
  <si>
    <t>Ruhrpumpen Argentina</t>
  </si>
  <si>
    <t>Ruhrpumpen Canada</t>
  </si>
  <si>
    <t>Tigerflow</t>
  </si>
  <si>
    <t>US Service Centers</t>
  </si>
  <si>
    <t>Nuclear Service Centers</t>
  </si>
  <si>
    <t>Barnes de Colombia</t>
  </si>
  <si>
    <t>Ruhrpumpen Industrial</t>
    <phoneticPr fontId="0" type="noConversion"/>
  </si>
  <si>
    <t>Ruhrpumpen Fire Systems</t>
  </si>
  <si>
    <t>Ruhrpumpen Chile</t>
  </si>
  <si>
    <t>Servicios Administrativos EG</t>
  </si>
  <si>
    <t>Ruhrpumpen Irlanda</t>
  </si>
  <si>
    <t>Ruhrpumpen Peru</t>
  </si>
  <si>
    <t>Corporacion EG (Ind)</t>
  </si>
  <si>
    <t>Corporacion EG (interest)</t>
  </si>
  <si>
    <t xml:space="preserve">Northam </t>
  </si>
  <si>
    <t>Total Revenue</t>
  </si>
  <si>
    <t>(-) Interco Sales</t>
  </si>
  <si>
    <t>Net Sales</t>
  </si>
  <si>
    <t xml:space="preserve">Corporacion EG (Ind) </t>
  </si>
  <si>
    <t>% Intercompany Sales</t>
  </si>
  <si>
    <t>Gross Margin</t>
  </si>
  <si>
    <t>New Service Center</t>
  </si>
  <si>
    <t>Northam Engineering</t>
  </si>
  <si>
    <t>SG&amp;A by Company</t>
  </si>
  <si>
    <t>New Service center</t>
  </si>
  <si>
    <t>Total SG&amp;A</t>
  </si>
  <si>
    <t>EBIT by Company</t>
  </si>
  <si>
    <t>New service center</t>
  </si>
  <si>
    <t>Total EBIT</t>
  </si>
  <si>
    <t>Others Co</t>
  </si>
  <si>
    <t>Depreciation &amp; Amort by Company</t>
  </si>
  <si>
    <t>EBITDA BY COMPANY</t>
  </si>
  <si>
    <t>Nueclar Service Centers</t>
  </si>
  <si>
    <t>EBIT by Company %</t>
  </si>
  <si>
    <t>Consolidated Balance Sheet (US$)</t>
  </si>
  <si>
    <t>P R O J E C T E D</t>
  </si>
  <si>
    <t>Actual
2008</t>
  </si>
  <si>
    <t>Actual 
2009</t>
  </si>
  <si>
    <t>Actual
2010</t>
  </si>
  <si>
    <t>Actual 2017</t>
  </si>
  <si>
    <t>ASSETS</t>
  </si>
  <si>
    <t xml:space="preserve">  Cash</t>
  </si>
  <si>
    <t xml:space="preserve">  Trade Receivables</t>
  </si>
  <si>
    <t xml:space="preserve">  Other Receivables</t>
  </si>
  <si>
    <t xml:space="preserve">  Prepaid Taxes</t>
  </si>
  <si>
    <t xml:space="preserve">    Total Accounts receivable</t>
  </si>
  <si>
    <t xml:space="preserve">  Inventories</t>
  </si>
  <si>
    <t xml:space="preserve">      Total Current Assets</t>
  </si>
  <si>
    <t>Prepaid expenses</t>
  </si>
  <si>
    <t>Property, Plant and Equipment</t>
  </si>
  <si>
    <t xml:space="preserve">  Machinery, Land &amp; Buildings</t>
  </si>
  <si>
    <t xml:space="preserve">  Less allowances for Depreciation</t>
  </si>
  <si>
    <t xml:space="preserve">   Property, Plant and Equipment - Net</t>
  </si>
  <si>
    <t>Other Assets</t>
  </si>
  <si>
    <t>LIABILITIES AND SHAREHOLDERS' EQUITY</t>
  </si>
  <si>
    <t>Current Liabilities</t>
  </si>
  <si>
    <t xml:space="preserve">  Accounts Payable</t>
  </si>
  <si>
    <t xml:space="preserve">  Bank Indebtdness</t>
  </si>
  <si>
    <t xml:space="preserve">  Accruals</t>
  </si>
  <si>
    <t xml:space="preserve">  Income Tax Payable</t>
  </si>
  <si>
    <t xml:space="preserve">    Total Current Liabilities</t>
  </si>
  <si>
    <t>Variacion</t>
  </si>
  <si>
    <t>Long-Term Debt</t>
  </si>
  <si>
    <t>Other Liabilities</t>
  </si>
  <si>
    <t>Shareholders' Equity</t>
  </si>
  <si>
    <t xml:space="preserve">  Share Capital</t>
  </si>
  <si>
    <t xml:space="preserve">  Retained Earnings</t>
  </si>
  <si>
    <t xml:space="preserve">  Dividends paid to Ind EG</t>
  </si>
  <si>
    <t xml:space="preserve">  Contribution for future capital increase</t>
  </si>
  <si>
    <t xml:space="preserve">  Net earnings for the year</t>
  </si>
  <si>
    <t xml:space="preserve">  Currency Translation Adj</t>
  </si>
  <si>
    <t xml:space="preserve">  Minority Interest</t>
  </si>
  <si>
    <t>Total Shareholders' Equity</t>
  </si>
  <si>
    <t>Out Balance</t>
  </si>
  <si>
    <t>Net Debt</t>
    <phoneticPr fontId="0" type="noConversion"/>
  </si>
  <si>
    <t>EBITDA</t>
    <phoneticPr fontId="0" type="noConversion"/>
  </si>
  <si>
    <t>Net Debt / EBITDA</t>
    <phoneticPr fontId="0" type="noConversion"/>
  </si>
  <si>
    <t>Net debt</t>
  </si>
  <si>
    <t>Debt/ebidta</t>
  </si>
  <si>
    <t>KEY INDICATORS</t>
  </si>
  <si>
    <t>2005
Actual</t>
  </si>
  <si>
    <t>2006
Actual</t>
  </si>
  <si>
    <t>Average Days:</t>
  </si>
  <si>
    <t>Trade A/R Days Outstanding</t>
  </si>
  <si>
    <t>Trade A/P Days Outstanding</t>
  </si>
  <si>
    <t>Days Gross Inventory O/S (1)</t>
  </si>
  <si>
    <t>Beginning of year</t>
  </si>
  <si>
    <t>Capital Exp. ( Building)</t>
  </si>
  <si>
    <t>Capital Exp (M &amp; E.)</t>
  </si>
  <si>
    <t>Machinery, Land &amp; Buildings</t>
  </si>
  <si>
    <t xml:space="preserve"> Beginning of year</t>
  </si>
  <si>
    <t>Depreciation - Building  25 Years</t>
  </si>
  <si>
    <t xml:space="preserve">Depreciation - M &amp; Eq.   10 Years </t>
  </si>
  <si>
    <t>Cummulative Depreciation</t>
  </si>
  <si>
    <t>Property, Plant and Equipment - Net</t>
  </si>
  <si>
    <t>Total Borrowed Funds</t>
  </si>
  <si>
    <t xml:space="preserve">Repay/Reclass Of Bank Indebt. </t>
  </si>
  <si>
    <t>Bank Indebtedness</t>
  </si>
  <si>
    <t>Repay/Reclass Of Third Party LTD</t>
  </si>
  <si>
    <t>Other Interest</t>
  </si>
  <si>
    <t>Total Interest</t>
  </si>
  <si>
    <t>Share Capital</t>
  </si>
  <si>
    <t>Exchange rate</t>
  </si>
  <si>
    <t>Net Proceeds From Share Capital Issued</t>
  </si>
  <si>
    <t xml:space="preserve">Corporacion EG  - Forecasted CAPEX Schedule
</t>
  </si>
  <si>
    <t>USD   000s</t>
  </si>
  <si>
    <t>Ruhrpumpen China</t>
    <phoneticPr fontId="0" type="noConversion"/>
  </si>
  <si>
    <t>Ruhrpumpen Saudi</t>
    <phoneticPr fontId="0" type="noConversion"/>
  </si>
  <si>
    <t>Ruhrpumpen Canada</t>
    <phoneticPr fontId="0" type="noConversion"/>
  </si>
  <si>
    <t>Tigerflow</t>
    <phoneticPr fontId="0" type="noConversion"/>
  </si>
  <si>
    <t>Neuclar Service Centers</t>
  </si>
  <si>
    <t>Ruhrpumpen Industrial</t>
  </si>
  <si>
    <t>NorthAm Engineering</t>
  </si>
  <si>
    <t>Corp Eg ( Indiv )  Others</t>
  </si>
  <si>
    <t>Total Capex</t>
  </si>
  <si>
    <t>BdeC</t>
    <phoneticPr fontId="0" type="noConversion"/>
  </si>
  <si>
    <t>2012 Net investment is 0, since we will sell the actual plant in $1.6M</t>
    <phoneticPr fontId="0" type="noConversion"/>
  </si>
  <si>
    <t xml:space="preserve">Consolidated Cash Flow (US$) </t>
  </si>
  <si>
    <t>Cash Provided By (Used In) Operating Activities</t>
  </si>
  <si>
    <t>Net Income for the Year</t>
  </si>
  <si>
    <t>Add: Deprn &amp; Amort - COGS</t>
  </si>
  <si>
    <t>Add: Deprn &amp; Amort - SG&amp;A</t>
  </si>
  <si>
    <t>Add: Amort - Below Operating Profit</t>
  </si>
  <si>
    <t>Add: Deferred Tax Provision</t>
  </si>
  <si>
    <t>Add: Minority Interest Expense</t>
  </si>
  <si>
    <t xml:space="preserve">  Total Cash Provided From Operations</t>
  </si>
  <si>
    <t>Non-Cash Working Capital Changes</t>
  </si>
  <si>
    <t>Trade Receivables</t>
  </si>
  <si>
    <t>Other Receivables</t>
  </si>
  <si>
    <t>Prepaid Taxes</t>
  </si>
  <si>
    <t>Net Inventory</t>
  </si>
  <si>
    <t>Prepaids And Other Current Assets</t>
  </si>
  <si>
    <t xml:space="preserve">Trade Payables </t>
  </si>
  <si>
    <t>Accruals</t>
  </si>
  <si>
    <t>Income Taxes Payable</t>
  </si>
  <si>
    <t>Bank Indebtdness</t>
  </si>
  <si>
    <t>Other Current Liabilities</t>
  </si>
  <si>
    <t xml:space="preserve">  Net Change  Non-Cash Working Cap</t>
  </si>
  <si>
    <t>Cash Flows from Investing Activities</t>
  </si>
  <si>
    <t>Capital Expenditures</t>
  </si>
  <si>
    <t>Fixed Asset Disposals</t>
  </si>
  <si>
    <t>(Inc) / Dec In Goodwill</t>
  </si>
  <si>
    <t xml:space="preserve">  Net Change In Investing Activities</t>
  </si>
  <si>
    <t>Third Party Financing Activities</t>
  </si>
  <si>
    <t>Repay / Reclass Of Third Party LTD</t>
  </si>
  <si>
    <t>Proceeds Of Third Party LTD</t>
  </si>
  <si>
    <t>Proceeds From Share Capital Issued</t>
  </si>
  <si>
    <t>Excess or Insufficiency</t>
  </si>
  <si>
    <t>Other (Decrease capital Ret Earnings)</t>
  </si>
  <si>
    <t xml:space="preserve">  Net Change In Financing Activities</t>
  </si>
  <si>
    <t>Net increase (decrease) in cash and cash equiv.</t>
  </si>
  <si>
    <t>Cash and cash equivalents</t>
  </si>
  <si>
    <t xml:space="preserve">  Beginning of year</t>
  </si>
  <si>
    <t xml:space="preserve">  End of year</t>
  </si>
  <si>
    <t>growth</t>
  </si>
  <si>
    <t>% revenues</t>
  </si>
  <si>
    <t>% EBT</t>
  </si>
  <si>
    <t>Capex as % sales</t>
  </si>
  <si>
    <t>USD$ 000's unless otherwise stated</t>
  </si>
  <si>
    <t>% revenue</t>
  </si>
  <si>
    <t>Base rate Libor</t>
  </si>
  <si>
    <t>Leverage (Total Debt / EBITDA)</t>
  </si>
  <si>
    <t>USD$ MM unless otherwise stated</t>
  </si>
  <si>
    <t>RCSD</t>
  </si>
  <si>
    <t>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</si>
</sst>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5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_);\(#,##0\);_(&quot;-&quot;_);@_)"/>
    <numFmt numFmtId="165" formatCode="yyyy"/>
    <numFmt numFmtId="166" formatCode="#,##0_);\(#,##0\);\-\-_)"/>
    <numFmt numFmtId="167" formatCode="0.00\x;&quot;nm&quot;_x;&quot;nm&quot;_x;* @_x"/>
    <numFmt numFmtId="168" formatCode="#,##0.0_);[Red]\(#,##0.0\)"/>
    <numFmt numFmtId="169" formatCode="0.0%"/>
    <numFmt numFmtId="170" formatCode="[$-1540A]dd\-mmm\-yy;@"/>
    <numFmt numFmtId="171" formatCode="* _(&quot;$&quot;##,##0.0_);[Red]* \(&quot;$&quot;##,##0.0\);* _(&quot;-&quot;?_);_(@_)"/>
    <numFmt numFmtId="172" formatCode="0.0\x"/>
    <numFmt numFmtId="173" formatCode="_(* #,##0.0_);_(* \(#,##0.0\);_(* &quot;-&quot;?_);_(@_)"/>
    <numFmt numFmtId="174" formatCode="&quot;$&quot;#,##0.0"/>
    <numFmt numFmtId="175" formatCode="_(* #,##0.00_);_(* \(#,##0.00\);_(* &quot;-&quot;??_);_(@_)"/>
    <numFmt numFmtId="176" formatCode="_-* #,##0.0_-;\-* #,##0.0_-;_-* &quot;-&quot;?_-;_-@_-"/>
    <numFmt numFmtId="177" formatCode="0.0"/>
    <numFmt numFmtId="178" formatCode="0.00\x"/>
    <numFmt numFmtId="179" formatCode="0.0000000000000000%"/>
    <numFmt numFmtId="180" formatCode="_(* #,##0.0_);_(* \(#,##0.0\);_(* &quot;-&quot;??_);_(@_)"/>
    <numFmt numFmtId="181" formatCode="_(* #,##0_);_(* \(#,##0\);_(* &quot;-&quot;?_);_(@_)"/>
    <numFmt numFmtId="182" formatCode="_(* #,##0.00_);_(* \(#,##0.00\);_(* &quot;-&quot;?_);_(@_)"/>
    <numFmt numFmtId="183" formatCode="0\R"/>
    <numFmt numFmtId="184" formatCode="General\E"/>
    <numFmt numFmtId="185" formatCode="_-* #,##0.0_-;\-* #,##0.0_-;_-* &quot;-&quot;??_-;_-@_-"/>
    <numFmt numFmtId="186" formatCode="_-* #,##0_-;\-* #,##0_-;_-* &quot;-&quot;??_-;_-@_-"/>
    <numFmt numFmtId="187" formatCode="0.00&quot;x&quot;"/>
    <numFmt numFmtId="188" formatCode="0.0&quot;x&quot;"/>
    <numFmt numFmtId="189" formatCode="_(* #,##0_);_(* \(#,##0\);_(* &quot;-&quot;??_);_(@_)"/>
    <numFmt numFmtId="190" formatCode="0.0000%"/>
    <numFmt numFmtId="191" formatCode="#,##0.0"/>
    <numFmt numFmtId="192" formatCode="#,##0_ ;\-#,##0\ "/>
    <numFmt numFmtId="193" formatCode="#,##0.000;[Red]\-#,##0.000"/>
    <numFmt numFmtId="194" formatCode="#,##0.00_ ;\-#,##0.00\ "/>
    <numFmt numFmtId="195" formatCode="_-&quot;$&quot;* #,##0_-;\-&quot;$&quot;* #,##0_-;_-&quot;$&quot;* &quot;-&quot;??_-;_-@_-"/>
  </numFmts>
  <fonts count="149">
    <font>
      <sz val="10"/>
      <color theme="1"/>
      <name val="Garamond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 val="singleAccounting"/>
      <sz val="10"/>
      <color theme="0"/>
      <name val="Garamond"/>
      <family val="1"/>
    </font>
    <font>
      <b/>
      <sz val="10"/>
      <color theme="0"/>
      <name val="Garamond"/>
      <family val="1"/>
    </font>
    <font>
      <sz val="11"/>
      <color theme="1"/>
      <name val="Garamond"/>
      <family val="1"/>
    </font>
    <font>
      <b/>
      <u val="singleAccounting"/>
      <sz val="10"/>
      <color rgb="FF0582BE"/>
      <name val="Garamond"/>
      <family val="1"/>
    </font>
    <font>
      <b/>
      <u val="singleAccounting"/>
      <sz val="11"/>
      <color rgb="FF0582BE"/>
      <name val="Garamond"/>
      <family val="1"/>
    </font>
    <font>
      <b/>
      <u/>
      <sz val="10"/>
      <color rgb="FF0582BE"/>
      <name val="Garamond"/>
      <family val="1"/>
    </font>
    <font>
      <b/>
      <sz val="8"/>
      <name val="Arial"/>
      <family val="2"/>
    </font>
    <font>
      <sz val="8"/>
      <name val="Arial"/>
      <family val="2"/>
    </font>
    <font>
      <b/>
      <sz val="10"/>
      <color indexed="10"/>
      <name val="Garamond"/>
      <family val="1"/>
    </font>
    <font>
      <sz val="10"/>
      <name val="Garamond"/>
      <family val="1"/>
    </font>
    <font>
      <sz val="12"/>
      <color theme="1"/>
      <name val="Calibri"/>
      <family val="2"/>
      <scheme val="minor"/>
    </font>
    <font>
      <sz val="11"/>
      <color theme="1"/>
      <name val="Garamond"/>
      <family val="2"/>
    </font>
    <font>
      <sz val="10"/>
      <color theme="1"/>
      <name val="Calibri"/>
      <family val="2"/>
      <scheme val="minor"/>
    </font>
    <font>
      <sz val="10"/>
      <color indexed="8"/>
      <name val="MS Sans Serif"/>
    </font>
    <font>
      <sz val="8"/>
      <color theme="1"/>
      <name val="Garamond"/>
      <family val="2"/>
    </font>
    <font>
      <sz val="10"/>
      <color theme="1"/>
      <name val="Garamond"/>
      <family val="2"/>
    </font>
    <font>
      <b/>
      <sz val="10"/>
      <color rgb="FF0582BE"/>
      <name val="Garamond"/>
      <family val="1"/>
    </font>
    <font>
      <b/>
      <u val="singleAccounting"/>
      <sz val="11"/>
      <color theme="3"/>
      <name val="Garamond"/>
      <family val="1"/>
    </font>
    <font>
      <sz val="9"/>
      <name val="Book Antiqua"/>
      <family val="1"/>
    </font>
    <font>
      <b/>
      <sz val="10"/>
      <name val="Arial"/>
      <family val="2"/>
    </font>
    <font>
      <sz val="10"/>
      <color theme="1"/>
      <name val="Book Antiqua"/>
      <family val="1"/>
    </font>
    <font>
      <b/>
      <u val="singleAccounting"/>
      <sz val="10"/>
      <color rgb="FF44697D"/>
      <name val="Book Antiqua"/>
      <family val="1"/>
    </font>
    <font>
      <b/>
      <sz val="10"/>
      <color rgb="FF44697D"/>
      <name val="Garamond"/>
      <family val="1"/>
    </font>
    <font>
      <sz val="10"/>
      <color rgb="FF000000"/>
      <name val="Arial"/>
      <family val="2"/>
    </font>
    <font>
      <u/>
      <sz val="10"/>
      <color theme="11"/>
      <name val="Garamond"/>
      <family val="1"/>
    </font>
    <font>
      <sz val="10"/>
      <color theme="1"/>
      <name val="Garamond"/>
      <family val="1"/>
    </font>
    <font>
      <sz val="11"/>
      <color rgb="FF000000"/>
      <name val="Calibri"/>
      <family val="2"/>
      <scheme val="minor"/>
    </font>
    <font>
      <sz val="11"/>
      <color rgb="FF000000"/>
      <name val="Credit Suisse Type Light"/>
      <family val="2"/>
    </font>
    <font>
      <sz val="11"/>
      <name val="Credit Suisse Type Light"/>
      <family val="2"/>
    </font>
    <font>
      <b/>
      <u val="singleAccounting"/>
      <sz val="11"/>
      <color rgb="FFFFFFFF"/>
      <name val="Credit Suisse Type Light"/>
      <family val="2"/>
    </font>
    <font>
      <b/>
      <u val="singleAccounting"/>
      <sz val="11"/>
      <color rgb="FF0000FF"/>
      <name val="Credit Suisse Type Light"/>
      <family val="2"/>
    </font>
    <font>
      <b/>
      <u val="singleAccounting"/>
      <sz val="11"/>
      <name val="Credit Suisse Type Light"/>
      <family val="2"/>
    </font>
    <font>
      <u val="singleAccounting"/>
      <sz val="11"/>
      <name val="Credit Suisse Type Light"/>
      <family val="2"/>
    </font>
    <font>
      <b/>
      <sz val="11"/>
      <name val="Credit Suisse Type Light"/>
      <family val="2"/>
    </font>
    <font>
      <i/>
      <sz val="11"/>
      <name val="Credit Suisse Type Light"/>
      <family val="2"/>
    </font>
    <font>
      <sz val="11"/>
      <color rgb="FF00B050"/>
      <name val="Credit Suisse Type Light"/>
      <family val="2"/>
    </font>
    <font>
      <sz val="11"/>
      <color rgb="FF0000FF"/>
      <name val="Credit Suisse Type Light"/>
      <family val="2"/>
    </font>
    <font>
      <sz val="11"/>
      <color rgb="FFF49C3E"/>
      <name val="Credit Suisse Type Light"/>
      <family val="2"/>
    </font>
    <font>
      <b/>
      <sz val="20"/>
      <color rgb="FFFFFFFF"/>
      <name val="Credit Suisse Type Light"/>
      <family val="2"/>
    </font>
    <font>
      <sz val="8"/>
      <name val="Times"/>
      <family val="1"/>
    </font>
    <font>
      <sz val="20"/>
      <color rgb="FF0000FF"/>
      <name val="Credit Suisse Type Light"/>
      <family val="2"/>
    </font>
    <font>
      <sz val="9"/>
      <color rgb="FF0000FF"/>
      <name val="Credit Suisse Type Light"/>
      <family val="2"/>
    </font>
    <font>
      <b/>
      <sz val="14"/>
      <color rgb="FFFFFFFF"/>
      <name val="Credit Suisse Type Light"/>
      <family val="2"/>
    </font>
    <font>
      <i/>
      <sz val="12"/>
      <color rgb="FFFFFFFF"/>
      <name val="Credit Suisse Type Light"/>
      <family val="2"/>
    </font>
    <font>
      <b/>
      <sz val="10"/>
      <name val="MS Sans Serif"/>
      <family val="2"/>
    </font>
    <font>
      <b/>
      <sz val="10"/>
      <color rgb="FF0000FF"/>
      <name val="Credit Suisse Type Light"/>
      <family val="2"/>
    </font>
    <font>
      <i/>
      <sz val="10"/>
      <color rgb="FF0000FF"/>
      <name val="Credit Suisse Type Light"/>
      <family val="2"/>
    </font>
    <font>
      <b/>
      <sz val="11"/>
      <color rgb="FFFFFFFF"/>
      <name val="Credit Suisse Type Light"/>
      <family val="2"/>
    </font>
    <font>
      <sz val="9"/>
      <color rgb="FFFFFFFF"/>
      <name val="Credit Suisse Type Light"/>
      <family val="2"/>
    </font>
    <font>
      <sz val="11"/>
      <name val="Credit Suisse Type Light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20"/>
      <color theme="1"/>
      <name val="Arial"/>
      <family val="2"/>
    </font>
    <font>
      <b/>
      <sz val="11"/>
      <color theme="1"/>
      <name val="Arial"/>
      <family val="2"/>
    </font>
    <font>
      <sz val="10"/>
      <name val="Courier"/>
      <family val="3"/>
    </font>
    <font>
      <b/>
      <sz val="11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59595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1"/>
      <color rgb="FF000000"/>
      <name val="Arial"/>
      <family val="2"/>
    </font>
    <font>
      <b/>
      <i/>
      <sz val="11"/>
      <name val="Arial"/>
      <family val="2"/>
    </font>
    <font>
      <b/>
      <sz val="11"/>
      <color rgb="FFFF0000"/>
      <name val="Arial"/>
      <family val="2"/>
    </font>
    <font>
      <i/>
      <sz val="11"/>
      <color rgb="FF000000"/>
      <name val="Arial"/>
      <family val="2"/>
    </font>
    <font>
      <i/>
      <sz val="11"/>
      <color theme="1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1"/>
      <color rgb="FF003764"/>
      <name val="Credit Suisse Type Light"/>
      <family val="2"/>
    </font>
    <font>
      <sz val="12"/>
      <color rgb="FF000000"/>
      <name val="Credit Suisse Type Light"/>
      <family val="2"/>
    </font>
    <font>
      <b/>
      <sz val="12"/>
      <name val="Credit Suisse Type Light"/>
      <family val="2"/>
    </font>
    <font>
      <sz val="12"/>
      <color rgb="FF0000FF"/>
      <name val="Credit Suisse Type Light"/>
      <family val="2"/>
    </font>
    <font>
      <b/>
      <sz val="12"/>
      <color rgb="FF000000"/>
      <name val="Credit Suisse Type Light"/>
      <family val="2"/>
    </font>
    <font>
      <i/>
      <sz val="12"/>
      <name val="Credit Suisse Type Light"/>
      <family val="2"/>
    </font>
    <font>
      <sz val="12"/>
      <name val="Credit Suisse Type Light"/>
      <family val="2"/>
    </font>
    <font>
      <b/>
      <u val="singleAccounting"/>
      <sz val="12"/>
      <color rgb="FFFFFFFF"/>
      <name val="Credit Suisse Type Light"/>
      <family val="2"/>
    </font>
    <font>
      <u val="singleAccounting"/>
      <sz val="12"/>
      <color rgb="FF0000FF"/>
      <name val="Credit Suisse Type Light"/>
      <family val="2"/>
    </font>
    <font>
      <b/>
      <u val="singleAccounting"/>
      <sz val="12"/>
      <color rgb="FF0000FF"/>
      <name val="Credit Suisse Type Light"/>
      <family val="2"/>
    </font>
    <font>
      <b/>
      <sz val="12"/>
      <color rgb="FF003868"/>
      <name val="Credit Suisse Type Light"/>
      <family val="2"/>
    </font>
    <font>
      <b/>
      <i/>
      <sz val="12"/>
      <name val="Credit Suisse Type Light"/>
      <family val="2"/>
    </font>
    <font>
      <b/>
      <u val="singleAccounting"/>
      <sz val="12"/>
      <name val="Credit Suisse Type Light"/>
      <family val="2"/>
    </font>
    <font>
      <b/>
      <sz val="12"/>
      <color rgb="FF00B050"/>
      <name val="Credit Suisse Type Light"/>
      <family val="2"/>
    </font>
    <font>
      <i/>
      <sz val="12"/>
      <color rgb="FF00B050"/>
      <name val="Credit Suisse Type Light"/>
      <family val="2"/>
    </font>
    <font>
      <sz val="12"/>
      <color rgb="FF00B050"/>
      <name val="Credit Suisse Type Light"/>
    </font>
    <font>
      <sz val="12"/>
      <name val="Credit Suisse Type Light"/>
    </font>
    <font>
      <b/>
      <sz val="12"/>
      <color rgb="FF000000"/>
      <name val="Credit Suisse Type Light"/>
    </font>
    <font>
      <i/>
      <sz val="12"/>
      <color rgb="FF00B050"/>
      <name val="Credit Suisse Type Light"/>
    </font>
    <font>
      <i/>
      <sz val="12"/>
      <color rgb="FF000000"/>
      <name val="Credit Suisse Type Light"/>
    </font>
    <font>
      <i/>
      <sz val="12"/>
      <color rgb="FF000000"/>
      <name val="Credit Suisse Type Light"/>
      <family val="2"/>
    </font>
    <font>
      <b/>
      <u/>
      <sz val="12"/>
      <color rgb="FFFF0000"/>
      <name val="Credit Suisse Type Light"/>
      <family val="2"/>
    </font>
    <font>
      <sz val="12"/>
      <color rgb="FF000000"/>
      <name val="Credit Suisse Type Light"/>
    </font>
    <font>
      <b/>
      <sz val="12"/>
      <name val="Credit Suisse Type Light"/>
    </font>
    <font>
      <sz val="12"/>
      <color rgb="FF008000"/>
      <name val="Credit Suisse Type Light"/>
      <family val="2"/>
    </font>
    <font>
      <sz val="10"/>
      <name val="Arial"/>
      <family val="2"/>
    </font>
    <font>
      <sz val="9"/>
      <name val="Arial"/>
      <family val="2"/>
    </font>
    <font>
      <b/>
      <sz val="12"/>
      <name val="Verdana"/>
      <family val="2"/>
    </font>
    <font>
      <b/>
      <sz val="14"/>
      <name val="Arial"/>
      <family val="2"/>
    </font>
    <font>
      <b/>
      <sz val="9"/>
      <name val="Arial"/>
      <family val="2"/>
    </font>
    <font>
      <b/>
      <sz val="11"/>
      <name val="Verdana"/>
      <family val="2"/>
    </font>
    <font>
      <b/>
      <sz val="13"/>
      <color indexed="9"/>
      <name val="Arial"/>
      <family val="2"/>
    </font>
    <font>
      <b/>
      <sz val="14"/>
      <color indexed="9"/>
      <name val="Arial"/>
      <family val="2"/>
    </font>
    <font>
      <b/>
      <sz val="8"/>
      <name val="Verdana"/>
      <family val="2"/>
    </font>
    <font>
      <b/>
      <sz val="9"/>
      <name val="Verdana"/>
      <family val="2"/>
    </font>
    <font>
      <b/>
      <sz val="9"/>
      <color indexed="9"/>
      <name val="Arial"/>
      <family val="2"/>
    </font>
    <font>
      <b/>
      <sz val="8.5"/>
      <name val="Arial"/>
      <family val="2"/>
    </font>
    <font>
      <b/>
      <sz val="8"/>
      <color indexed="9"/>
      <name val="Arial"/>
      <family val="2"/>
    </font>
    <font>
      <sz val="8"/>
      <name val="Verdana"/>
      <family val="2"/>
    </font>
    <font>
      <sz val="7"/>
      <name val="Arial"/>
      <family val="2"/>
    </font>
    <font>
      <sz val="7"/>
      <name val="Verdana"/>
      <family val="2"/>
    </font>
    <font>
      <b/>
      <sz val="7"/>
      <name val="Arial"/>
      <family val="2"/>
    </font>
    <font>
      <sz val="6"/>
      <name val="Arial"/>
      <family val="2"/>
    </font>
    <font>
      <b/>
      <sz val="7"/>
      <name val="Verdana"/>
      <family val="2"/>
    </font>
    <font>
      <b/>
      <u/>
      <sz val="8"/>
      <name val="Verdana"/>
      <family val="2"/>
    </font>
    <font>
      <b/>
      <u/>
      <sz val="9"/>
      <name val="Arial"/>
      <family val="2"/>
    </font>
    <font>
      <b/>
      <sz val="12"/>
      <name val="Arial"/>
      <family val="2"/>
    </font>
    <font>
      <sz val="9"/>
      <name val="Verdana"/>
      <family val="2"/>
    </font>
    <font>
      <b/>
      <sz val="9"/>
      <color indexed="12"/>
      <name val="Arial"/>
      <family val="2"/>
    </font>
    <font>
      <sz val="9"/>
      <color rgb="FF0066FF"/>
      <name val="Arial"/>
      <family val="2"/>
    </font>
    <font>
      <b/>
      <sz val="8"/>
      <color indexed="12"/>
      <name val="Arial"/>
      <family val="2"/>
    </font>
    <font>
      <sz val="9"/>
      <color indexed="12"/>
      <name val="Arial"/>
      <family val="2"/>
    </font>
    <font>
      <b/>
      <sz val="10.5"/>
      <name val="Arial"/>
      <family val="2"/>
    </font>
    <font>
      <b/>
      <sz val="10.5"/>
      <name val="Times New Roman"/>
      <family val="1"/>
    </font>
    <font>
      <sz val="10.5"/>
      <name val="Times New Roman"/>
      <family val="1"/>
    </font>
    <font>
      <b/>
      <sz val="9"/>
      <name val="Times New Roman"/>
      <family val="1"/>
    </font>
    <font>
      <u/>
      <sz val="9"/>
      <name val="Arial"/>
      <family val="2"/>
    </font>
    <font>
      <sz val="9"/>
      <color indexed="9"/>
      <name val="Arial"/>
      <family val="2"/>
    </font>
    <font>
      <sz val="9"/>
      <color indexed="26"/>
      <name val="Arial"/>
      <family val="2"/>
    </font>
    <font>
      <sz val="10"/>
      <color indexed="26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i/>
      <sz val="9"/>
      <name val="Arial"/>
      <family val="2"/>
    </font>
    <font>
      <b/>
      <sz val="10"/>
      <color indexed="9"/>
      <name val="Arial"/>
      <family val="2"/>
    </font>
    <font>
      <sz val="8"/>
      <color indexed="22"/>
      <name val="Arial"/>
      <family val="2"/>
    </font>
    <font>
      <sz val="7"/>
      <color indexed="12"/>
      <name val="Arial"/>
      <family val="2"/>
    </font>
    <font>
      <b/>
      <sz val="12"/>
      <color indexed="9"/>
      <name val="Arial"/>
      <family val="2"/>
    </font>
    <font>
      <i/>
      <sz val="11"/>
      <name val="Arial"/>
      <family val="2"/>
    </font>
    <font>
      <sz val="14"/>
      <name val="Arial"/>
      <family val="2"/>
    </font>
    <font>
      <sz val="8.5"/>
      <name val="Arial"/>
      <family val="2"/>
    </font>
    <font>
      <sz val="9"/>
      <color indexed="22"/>
      <name val="Arial"/>
      <family val="2"/>
    </font>
    <font>
      <i/>
      <sz val="8"/>
      <name val="Verdana"/>
      <family val="2"/>
    </font>
    <font>
      <i/>
      <sz val="8"/>
      <name val="Arial"/>
      <family val="2"/>
    </font>
    <font>
      <sz val="12"/>
      <color rgb="FFFF0000"/>
      <name val="Credit Suisse Type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0582BE"/>
        <bgColor indexed="64"/>
      </patternFill>
    </fill>
    <fill>
      <patternFill patternType="solid">
        <fgColor rgb="FF003764"/>
        <bgColor indexed="64"/>
      </patternFill>
    </fill>
    <fill>
      <patternFill patternType="solid">
        <fgColor rgb="FFCDDCE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7C8D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rgb="FF000000"/>
      </patternFill>
    </fill>
  </fills>
  <borders count="8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582BE"/>
      </left>
      <right style="thin">
        <color rgb="FF0582BE"/>
      </right>
      <top style="thin">
        <color rgb="FF0582BE"/>
      </top>
      <bottom style="thin">
        <color rgb="FF0582BE"/>
      </bottom>
      <diagonal/>
    </border>
    <border>
      <left/>
      <right/>
      <top/>
      <bottom style="thin">
        <color auto="1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ashed">
        <color auto="1"/>
      </left>
      <right/>
      <top/>
      <bottom/>
      <diagonal/>
    </border>
    <border>
      <left/>
      <right style="dashed">
        <color rgb="FFFFFFFF"/>
      </right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/>
      <right style="dashed">
        <color indexed="64"/>
      </right>
      <top/>
      <bottom style="double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auto="1"/>
      </left>
      <right/>
      <top/>
      <bottom style="double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ashed">
        <color auto="1"/>
      </right>
      <top style="dotted">
        <color auto="1"/>
      </top>
      <bottom/>
      <diagonal/>
    </border>
    <border>
      <left/>
      <right style="dashed">
        <color indexed="64"/>
      </right>
      <top style="thin">
        <color auto="1"/>
      </top>
      <bottom/>
      <diagonal/>
    </border>
    <border>
      <left style="dotted">
        <color indexed="64"/>
      </left>
      <right/>
      <top style="thin">
        <color auto="1"/>
      </top>
      <bottom style="double">
        <color indexed="6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ashed">
        <color auto="1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/>
      <top style="thin">
        <color auto="1"/>
      </top>
      <bottom/>
      <diagonal/>
    </border>
    <border>
      <left/>
      <right style="dashDot">
        <color indexed="64"/>
      </right>
      <top/>
      <bottom/>
      <diagonal/>
    </border>
    <border>
      <left/>
      <right style="dashDot">
        <color indexed="64"/>
      </right>
      <top style="thin">
        <color indexed="64"/>
      </top>
      <bottom style="thin">
        <color indexed="64"/>
      </bottom>
      <diagonal/>
    </border>
    <border>
      <left/>
      <right style="dashDot">
        <color indexed="64"/>
      </right>
      <top/>
      <bottom style="thin">
        <color indexed="64"/>
      </bottom>
      <diagonal/>
    </border>
    <border>
      <left/>
      <right style="dashDot">
        <color indexed="64"/>
      </right>
      <top style="thin">
        <color auto="1"/>
      </top>
      <bottom/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dashed">
        <color auto="1"/>
      </left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1">
    <xf numFmtId="164" fontId="0" fillId="0" borderId="0"/>
    <xf numFmtId="0" fontId="11" fillId="0" borderId="0" applyNumberFormat="0" applyFill="0" applyProtection="0">
      <alignment horizontal="centerContinuous"/>
    </xf>
    <xf numFmtId="0" fontId="13" fillId="0" borderId="0" applyNumberFormat="0" applyProtection="0">
      <alignment horizontal="left"/>
    </xf>
    <xf numFmtId="0" fontId="24" fillId="4" borderId="2" applyNumberFormat="0" applyAlignment="0" applyProtection="0"/>
    <xf numFmtId="0" fontId="8" fillId="2" borderId="1" applyNumberFormat="0" applyProtection="0">
      <alignment horizontal="centerContinuous"/>
    </xf>
    <xf numFmtId="164" fontId="9" fillId="3" borderId="2" applyProtection="0">
      <alignment vertical="center"/>
    </xf>
    <xf numFmtId="0" fontId="7" fillId="0" borderId="0" applyNumberFormat="0" applyFill="0" applyBorder="0" applyAlignment="0" applyProtection="0"/>
    <xf numFmtId="17" fontId="10" fillId="0" borderId="0" applyFont="0" applyFill="0" applyBorder="0" applyAlignment="0" applyProtection="0"/>
    <xf numFmtId="165" fontId="11" fillId="0" borderId="0">
      <alignment horizontal="center"/>
    </xf>
    <xf numFmtId="0" fontId="12" fillId="0" borderId="0" applyNumberFormat="0" applyFill="0" applyAlignment="0" applyProtection="0"/>
    <xf numFmtId="0" fontId="12" fillId="0" borderId="0" applyFill="0" applyAlignment="0" applyProtection="0">
      <alignment horizontal="centerContinuous"/>
    </xf>
    <xf numFmtId="166" fontId="14" fillId="0" borderId="3" applyNumberFormat="0" applyFill="0" applyProtection="0">
      <alignment horizontal="left"/>
    </xf>
    <xf numFmtId="167" fontId="15" fillId="0" borderId="0" applyFont="0" applyFill="0" applyBorder="0" applyAlignment="0" applyProtection="0"/>
    <xf numFmtId="166" fontId="16" fillId="0" borderId="0" applyNumberFormat="0" applyFill="0" applyBorder="0" applyAlignment="0" applyProtection="0"/>
    <xf numFmtId="0" fontId="6" fillId="0" borderId="0"/>
    <xf numFmtId="0" fontId="6" fillId="0" borderId="0"/>
    <xf numFmtId="0" fontId="17" fillId="0" borderId="0">
      <alignment horizontal="left" indent="1"/>
    </xf>
    <xf numFmtId="0" fontId="18" fillId="0" borderId="0"/>
    <xf numFmtId="0" fontId="6" fillId="0" borderId="0"/>
    <xf numFmtId="0" fontId="6" fillId="0" borderId="0"/>
    <xf numFmtId="0" fontId="19" fillId="0" borderId="0"/>
    <xf numFmtId="0" fontId="20" fillId="0" borderId="0"/>
    <xf numFmtId="0" fontId="21" fillId="0" borderId="0"/>
    <xf numFmtId="0" fontId="22" fillId="0" borderId="0"/>
    <xf numFmtId="0" fontId="23" fillId="0" borderId="0"/>
    <xf numFmtId="9" fontId="10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5" fillId="0" borderId="0" applyAlignment="0">
      <alignment horizontal="center"/>
    </xf>
    <xf numFmtId="0" fontId="26" fillId="5" borderId="4" applyFont="0" applyBorder="0" applyAlignment="0"/>
    <xf numFmtId="166" fontId="27" fillId="0" borderId="0" applyNumberFormat="0" applyFill="0" applyBorder="0" applyProtection="0"/>
    <xf numFmtId="164" fontId="28" fillId="0" borderId="0"/>
    <xf numFmtId="0" fontId="29" fillId="0" borderId="0" applyNumberFormat="0" applyFill="0" applyProtection="0">
      <alignment horizontal="centerContinuous"/>
    </xf>
    <xf numFmtId="0" fontId="30" fillId="7" borderId="2" applyNumberFormat="0" applyAlignment="0" applyProtection="0"/>
    <xf numFmtId="9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164" fontId="32" fillId="0" borderId="0" applyNumberFormat="0" applyFill="0" applyBorder="0" applyAlignment="0" applyProtection="0"/>
    <xf numFmtId="164" fontId="32" fillId="0" borderId="0" applyNumberFormat="0" applyFill="0" applyBorder="0" applyAlignment="0" applyProtection="0"/>
    <xf numFmtId="0" fontId="10" fillId="0" borderId="0"/>
    <xf numFmtId="164" fontId="32" fillId="0" borderId="0" applyNumberFormat="0" applyFill="0" applyBorder="0" applyAlignment="0" applyProtection="0"/>
    <xf numFmtId="9" fontId="33" fillId="0" borderId="0" applyFont="0" applyFill="0" applyBorder="0" applyAlignment="0" applyProtection="0"/>
    <xf numFmtId="0" fontId="34" fillId="0" borderId="0"/>
    <xf numFmtId="0" fontId="7" fillId="0" borderId="0" applyFill="0" applyBorder="0" applyProtection="0">
      <protection locked="0"/>
    </xf>
    <xf numFmtId="9" fontId="5" fillId="0" borderId="0" applyFont="0" applyFill="0" applyBorder="0" applyAlignment="0" applyProtection="0"/>
    <xf numFmtId="0" fontId="7" fillId="0" borderId="0" applyFill="0" applyBorder="0" applyProtection="0">
      <protection locked="0"/>
    </xf>
    <xf numFmtId="170" fontId="47" fillId="0" borderId="0"/>
    <xf numFmtId="0" fontId="34" fillId="0" borderId="0"/>
    <xf numFmtId="0" fontId="52" fillId="0" borderId="0" applyNumberFormat="0" applyFill="0" applyBorder="0" applyAlignment="0" applyProtection="0"/>
    <xf numFmtId="9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34" fillId="0" borderId="0"/>
    <xf numFmtId="9" fontId="4" fillId="0" borderId="0" applyFont="0" applyFill="0" applyBorder="0" applyAlignment="0" applyProtection="0"/>
    <xf numFmtId="0" fontId="52" fillId="0" borderId="0" applyNumberFormat="0" applyFill="0" applyBorder="0" applyAlignment="0" applyProtection="0"/>
    <xf numFmtId="170" fontId="47" fillId="0" borderId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62" fillId="0" borderId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0"/>
    <xf numFmtId="41" fontId="1" fillId="0" borderId="0" applyFont="0" applyFill="0" applyBorder="0" applyAlignment="0" applyProtection="0"/>
    <xf numFmtId="0" fontId="100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813">
    <xf numFmtId="164" fontId="0" fillId="0" borderId="0" xfId="0"/>
    <xf numFmtId="0" fontId="35" fillId="0" borderId="0" xfId="41" applyFont="1" applyFill="1" applyBorder="1"/>
    <xf numFmtId="0" fontId="36" fillId="0" borderId="0" xfId="41" applyFont="1" applyFill="1" applyBorder="1" applyProtection="1"/>
    <xf numFmtId="0" fontId="37" fillId="8" borderId="0" xfId="42" applyFont="1" applyFill="1" applyBorder="1" applyAlignment="1" applyProtection="1">
      <alignment horizontal="centerContinuous"/>
    </xf>
    <xf numFmtId="0" fontId="38" fillId="8" borderId="0" xfId="42" applyFont="1" applyFill="1" applyBorder="1" applyAlignment="1" applyProtection="1">
      <alignment horizontal="centerContinuous"/>
    </xf>
    <xf numFmtId="0" fontId="36" fillId="0" borderId="0" xfId="42" applyFont="1" applyFill="1" applyBorder="1" applyProtection="1"/>
    <xf numFmtId="168" fontId="36" fillId="0" borderId="0" xfId="42" applyNumberFormat="1" applyFont="1" applyFill="1" applyBorder="1" applyProtection="1"/>
    <xf numFmtId="0" fontId="39" fillId="0" borderId="0" xfId="42" applyFont="1" applyFill="1" applyBorder="1" applyAlignment="1" applyProtection="1">
      <alignment horizontal="centerContinuous"/>
    </xf>
    <xf numFmtId="0" fontId="40" fillId="0" borderId="0" xfId="42" applyFont="1" applyFill="1" applyBorder="1" applyAlignment="1" applyProtection="1">
      <alignment horizontal="centerContinuous"/>
    </xf>
    <xf numFmtId="0" fontId="35" fillId="0" borderId="0" xfId="41" applyFont="1" applyFill="1" applyBorder="1" applyAlignment="1">
      <alignment horizontal="centerContinuous"/>
    </xf>
    <xf numFmtId="169" fontId="36" fillId="0" borderId="0" xfId="43" applyNumberFormat="1" applyFont="1" applyFill="1" applyBorder="1" applyProtection="1"/>
    <xf numFmtId="0" fontId="41" fillId="0" borderId="0" xfId="42" applyNumberFormat="1" applyFont="1" applyFill="1" applyBorder="1" applyAlignment="1" applyProtection="1">
      <alignment horizontal="center"/>
    </xf>
    <xf numFmtId="0" fontId="39" fillId="0" borderId="0" xfId="44" applyFont="1" applyFill="1" applyBorder="1" applyAlignment="1" applyProtection="1">
      <alignment horizontal="center"/>
    </xf>
    <xf numFmtId="0" fontId="41" fillId="9" borderId="0" xfId="42" applyFont="1" applyFill="1" applyBorder="1" applyProtection="1"/>
    <xf numFmtId="0" fontId="36" fillId="9" borderId="0" xfId="42" applyFont="1" applyFill="1" applyBorder="1" applyProtection="1"/>
    <xf numFmtId="169" fontId="42" fillId="9" borderId="0" xfId="42" applyNumberFormat="1" applyFont="1" applyFill="1" applyBorder="1" applyProtection="1"/>
    <xf numFmtId="169" fontId="36" fillId="9" borderId="0" xfId="43" applyNumberFormat="1" applyFont="1" applyFill="1" applyBorder="1" applyProtection="1"/>
    <xf numFmtId="9" fontId="36" fillId="0" borderId="6" xfId="43" applyFont="1" applyFill="1" applyBorder="1" applyAlignment="1" applyProtection="1">
      <alignment horizontal="right" vertical="distributed"/>
    </xf>
    <xf numFmtId="0" fontId="36" fillId="9" borderId="0" xfId="41" applyFont="1" applyFill="1" applyBorder="1" applyProtection="1"/>
    <xf numFmtId="9" fontId="36" fillId="0" borderId="0" xfId="43" applyFont="1" applyFill="1" applyBorder="1" applyProtection="1"/>
    <xf numFmtId="9" fontId="36" fillId="0" borderId="3" xfId="43" applyFont="1" applyFill="1" applyBorder="1" applyProtection="1"/>
    <xf numFmtId="9" fontId="45" fillId="9" borderId="0" xfId="43" applyFont="1" applyFill="1" applyBorder="1" applyAlignment="1" applyProtection="1">
      <alignment horizontal="right" vertical="distributed"/>
    </xf>
    <xf numFmtId="0" fontId="35" fillId="9" borderId="0" xfId="41" applyFont="1" applyFill="1" applyBorder="1"/>
    <xf numFmtId="9" fontId="36" fillId="9" borderId="0" xfId="43" applyFont="1" applyFill="1" applyBorder="1" applyProtection="1"/>
    <xf numFmtId="9" fontId="42" fillId="9" borderId="0" xfId="43" applyFont="1" applyFill="1" applyBorder="1" applyProtection="1"/>
    <xf numFmtId="0" fontId="46" fillId="8" borderId="0" xfId="44" applyFont="1" applyFill="1" applyBorder="1" applyProtection="1"/>
    <xf numFmtId="170" fontId="48" fillId="8" borderId="0" xfId="45" applyFont="1" applyFill="1" applyBorder="1" applyProtection="1"/>
    <xf numFmtId="0" fontId="49" fillId="8" borderId="0" xfId="44" applyFont="1" applyFill="1" applyBorder="1" applyProtection="1"/>
    <xf numFmtId="0" fontId="35" fillId="0" borderId="0" xfId="46" applyFont="1" applyFill="1" applyBorder="1"/>
    <xf numFmtId="0" fontId="50" fillId="8" borderId="0" xfId="44" applyFont="1" applyFill="1" applyBorder="1" applyProtection="1"/>
    <xf numFmtId="0" fontId="51" fillId="8" borderId="0" xfId="44" applyFont="1" applyFill="1" applyBorder="1" applyProtection="1"/>
    <xf numFmtId="0" fontId="53" fillId="8" borderId="0" xfId="47" applyFont="1" applyFill="1" applyBorder="1" applyAlignment="1">
      <alignment horizontal="center"/>
    </xf>
    <xf numFmtId="0" fontId="54" fillId="0" borderId="0" xfId="44" applyFont="1" applyFill="1" applyBorder="1" applyProtection="1"/>
    <xf numFmtId="0" fontId="49" fillId="0" borderId="0" xfId="44" applyFont="1" applyFill="1" applyBorder="1" applyProtection="1"/>
    <xf numFmtId="0" fontId="53" fillId="0" borderId="0" xfId="47" applyFont="1" applyFill="1" applyBorder="1" applyAlignment="1">
      <alignment horizontal="center"/>
    </xf>
    <xf numFmtId="0" fontId="55" fillId="8" borderId="0" xfId="44" applyFont="1" applyFill="1" applyBorder="1" applyAlignment="1" applyProtection="1">
      <alignment horizontal="centerContinuous" vertical="center"/>
    </xf>
    <xf numFmtId="0" fontId="56" fillId="8" borderId="0" xfId="44" applyFont="1" applyFill="1" applyBorder="1" applyAlignment="1" applyProtection="1">
      <alignment horizontal="centerContinuous" vertical="center"/>
    </xf>
    <xf numFmtId="0" fontId="56" fillId="8" borderId="16" xfId="44" applyFont="1" applyFill="1" applyBorder="1" applyAlignment="1" applyProtection="1">
      <alignment horizontal="centerContinuous" vertical="center"/>
    </xf>
    <xf numFmtId="0" fontId="35" fillId="9" borderId="0" xfId="46" applyFont="1" applyFill="1" applyBorder="1"/>
    <xf numFmtId="0" fontId="35" fillId="0" borderId="0" xfId="44" applyFont="1" applyFill="1" applyBorder="1" applyProtection="1"/>
    <xf numFmtId="170" fontId="36" fillId="9" borderId="0" xfId="45" applyFont="1" applyFill="1" applyBorder="1" applyProtection="1"/>
    <xf numFmtId="1" fontId="44" fillId="0" borderId="0" xfId="48" applyNumberFormat="1" applyFont="1" applyFill="1" applyBorder="1" applyAlignment="1" applyProtection="1">
      <alignment horizontal="center"/>
    </xf>
    <xf numFmtId="171" fontId="36" fillId="0" borderId="0" xfId="47" applyNumberFormat="1" applyFont="1" applyFill="1" applyBorder="1" applyAlignment="1">
      <alignment horizontal="center"/>
    </xf>
    <xf numFmtId="174" fontId="36" fillId="9" borderId="0" xfId="47" applyNumberFormat="1" applyFont="1" applyFill="1" applyBorder="1"/>
    <xf numFmtId="174" fontId="36" fillId="0" borderId="0" xfId="47" applyNumberFormat="1" applyFont="1" applyFill="1" applyBorder="1"/>
    <xf numFmtId="178" fontId="57" fillId="0" borderId="0" xfId="48" applyNumberFormat="1" applyFont="1" applyFill="1" applyBorder="1" applyAlignment="1">
      <alignment horizontal="right"/>
    </xf>
    <xf numFmtId="0" fontId="60" fillId="0" borderId="0" xfId="57" applyFont="1"/>
    <xf numFmtId="0" fontId="58" fillId="0" borderId="0" xfId="57" applyFont="1"/>
    <xf numFmtId="43" fontId="58" fillId="0" borderId="0" xfId="57" applyNumberFormat="1" applyFont="1"/>
    <xf numFmtId="0" fontId="58" fillId="0" borderId="43" xfId="57" applyFont="1" applyBorder="1"/>
    <xf numFmtId="0" fontId="58" fillId="0" borderId="0" xfId="57" applyFont="1" applyFill="1" applyBorder="1"/>
    <xf numFmtId="169" fontId="58" fillId="0" borderId="0" xfId="58" applyNumberFormat="1" applyFont="1"/>
    <xf numFmtId="169" fontId="61" fillId="0" borderId="0" xfId="58" applyNumberFormat="1" applyFont="1" applyAlignment="1">
      <alignment horizontal="center"/>
    </xf>
    <xf numFmtId="169" fontId="61" fillId="0" borderId="43" xfId="58" applyNumberFormat="1" applyFont="1" applyBorder="1" applyAlignment="1">
      <alignment horizontal="center"/>
    </xf>
    <xf numFmtId="10" fontId="58" fillId="0" borderId="0" xfId="58" applyNumberFormat="1" applyFont="1"/>
    <xf numFmtId="3" fontId="63" fillId="12" borderId="5" xfId="59" applyNumberFormat="1" applyFont="1" applyFill="1" applyBorder="1" applyAlignment="1">
      <alignment horizontal="center" vertical="center"/>
    </xf>
    <xf numFmtId="183" fontId="63" fillId="12" borderId="6" xfId="59" applyNumberFormat="1" applyFont="1" applyFill="1" applyBorder="1" applyAlignment="1">
      <alignment horizontal="center" vertical="center"/>
    </xf>
    <xf numFmtId="183" fontId="63" fillId="12" borderId="44" xfId="59" applyNumberFormat="1" applyFont="1" applyFill="1" applyBorder="1" applyAlignment="1">
      <alignment horizontal="center" vertical="center"/>
    </xf>
    <xf numFmtId="184" fontId="63" fillId="12" borderId="6" xfId="59" applyNumberFormat="1" applyFont="1" applyFill="1" applyBorder="1" applyAlignment="1">
      <alignment horizontal="center" vertical="center"/>
    </xf>
    <xf numFmtId="184" fontId="63" fillId="12" borderId="7" xfId="59" applyNumberFormat="1" applyFont="1" applyFill="1" applyBorder="1" applyAlignment="1">
      <alignment horizontal="center" vertical="center"/>
    </xf>
    <xf numFmtId="184" fontId="63" fillId="0" borderId="0" xfId="59" applyNumberFormat="1" applyFont="1" applyFill="1" applyBorder="1" applyAlignment="1">
      <alignment horizontal="center" vertical="center"/>
    </xf>
    <xf numFmtId="0" fontId="63" fillId="0" borderId="0" xfId="59" applyFont="1" applyFill="1" applyBorder="1" applyAlignment="1">
      <alignment horizontal="center" vertical="center"/>
    </xf>
    <xf numFmtId="0" fontId="64" fillId="0" borderId="5" xfId="59" applyFont="1" applyFill="1" applyBorder="1"/>
    <xf numFmtId="185" fontId="64" fillId="0" borderId="6" xfId="60" applyNumberFormat="1" applyFont="1" applyFill="1" applyBorder="1"/>
    <xf numFmtId="185" fontId="64" fillId="0" borderId="44" xfId="60" applyNumberFormat="1" applyFont="1" applyFill="1" applyBorder="1"/>
    <xf numFmtId="185" fontId="64" fillId="0" borderId="7" xfId="60" applyNumberFormat="1" applyFont="1" applyFill="1" applyBorder="1"/>
    <xf numFmtId="185" fontId="64" fillId="0" borderId="0" xfId="60" applyNumberFormat="1" applyFont="1" applyFill="1" applyBorder="1"/>
    <xf numFmtId="0" fontId="59" fillId="0" borderId="9" xfId="59" applyFont="1" applyFill="1" applyBorder="1" applyAlignment="1">
      <alignment horizontal="left" indent="1"/>
    </xf>
    <xf numFmtId="185" fontId="65" fillId="0" borderId="0" xfId="60" applyNumberFormat="1" applyFont="1" applyFill="1" applyBorder="1"/>
    <xf numFmtId="185" fontId="65" fillId="0" borderId="43" xfId="60" applyNumberFormat="1" applyFont="1" applyFill="1" applyBorder="1"/>
    <xf numFmtId="185" fontId="65" fillId="0" borderId="14" xfId="60" applyNumberFormat="1" applyFont="1" applyFill="1" applyBorder="1"/>
    <xf numFmtId="0" fontId="59" fillId="0" borderId="10" xfId="59" applyFont="1" applyFill="1" applyBorder="1" applyAlignment="1">
      <alignment horizontal="left" indent="1"/>
    </xf>
    <xf numFmtId="185" fontId="65" fillId="0" borderId="3" xfId="60" applyNumberFormat="1" applyFont="1" applyFill="1" applyBorder="1"/>
    <xf numFmtId="185" fontId="65" fillId="0" borderId="45" xfId="60" applyNumberFormat="1" applyFont="1" applyFill="1" applyBorder="1"/>
    <xf numFmtId="185" fontId="65" fillId="0" borderId="11" xfId="60" applyNumberFormat="1" applyFont="1" applyFill="1" applyBorder="1"/>
    <xf numFmtId="0" fontId="66" fillId="0" borderId="0" xfId="57" applyFont="1" applyFill="1" applyBorder="1"/>
    <xf numFmtId="0" fontId="67" fillId="0" borderId="0" xfId="59" applyFont="1" applyFill="1" applyBorder="1"/>
    <xf numFmtId="185" fontId="67" fillId="0" borderId="0" xfId="60" applyNumberFormat="1" applyFont="1" applyFill="1" applyBorder="1"/>
    <xf numFmtId="185" fontId="67" fillId="0" borderId="43" xfId="60" applyNumberFormat="1" applyFont="1" applyFill="1" applyBorder="1"/>
    <xf numFmtId="180" fontId="67" fillId="0" borderId="6" xfId="60" applyNumberFormat="1" applyFont="1" applyFill="1" applyBorder="1"/>
    <xf numFmtId="180" fontId="67" fillId="0" borderId="44" xfId="60" applyNumberFormat="1" applyFont="1" applyFill="1" applyBorder="1"/>
    <xf numFmtId="180" fontId="67" fillId="0" borderId="7" xfId="60" applyNumberFormat="1" applyFont="1" applyFill="1" applyBorder="1"/>
    <xf numFmtId="180" fontId="67" fillId="0" borderId="0" xfId="60" applyNumberFormat="1" applyFont="1" applyFill="1" applyBorder="1"/>
    <xf numFmtId="0" fontId="64" fillId="0" borderId="0" xfId="59" applyFont="1" applyFill="1" applyBorder="1"/>
    <xf numFmtId="185" fontId="59" fillId="0" borderId="0" xfId="60" applyNumberFormat="1" applyFont="1" applyFill="1" applyBorder="1"/>
    <xf numFmtId="10" fontId="59" fillId="0" borderId="0" xfId="58" applyNumberFormat="1" applyFont="1" applyFill="1" applyBorder="1"/>
    <xf numFmtId="10" fontId="59" fillId="0" borderId="43" xfId="58" applyNumberFormat="1" applyFont="1" applyFill="1" applyBorder="1"/>
    <xf numFmtId="0" fontId="64" fillId="13" borderId="5" xfId="59" applyFont="1" applyFill="1" applyBorder="1"/>
    <xf numFmtId="180" fontId="67" fillId="14" borderId="6" xfId="60" applyNumberFormat="1" applyFont="1" applyFill="1" applyBorder="1"/>
    <xf numFmtId="180" fontId="67" fillId="14" borderId="44" xfId="60" applyNumberFormat="1" applyFont="1" applyFill="1" applyBorder="1"/>
    <xf numFmtId="180" fontId="67" fillId="14" borderId="7" xfId="60" applyNumberFormat="1" applyFont="1" applyFill="1" applyBorder="1"/>
    <xf numFmtId="10" fontId="59" fillId="0" borderId="46" xfId="58" applyNumberFormat="1" applyFont="1" applyFill="1" applyBorder="1"/>
    <xf numFmtId="10" fontId="59" fillId="0" borderId="8" xfId="58" applyNumberFormat="1" applyFont="1" applyFill="1" applyBorder="1"/>
    <xf numFmtId="180" fontId="65" fillId="0" borderId="0" xfId="60" applyNumberFormat="1" applyFont="1" applyFill="1" applyBorder="1"/>
    <xf numFmtId="180" fontId="65" fillId="0" borderId="43" xfId="60" applyNumberFormat="1" applyFont="1" applyFill="1" applyBorder="1"/>
    <xf numFmtId="180" fontId="65" fillId="0" borderId="14" xfId="60" applyNumberFormat="1" applyFont="1" applyFill="1" applyBorder="1"/>
    <xf numFmtId="180" fontId="65" fillId="0" borderId="3" xfId="60" applyNumberFormat="1" applyFont="1" applyFill="1" applyBorder="1"/>
    <xf numFmtId="180" fontId="65" fillId="0" borderId="45" xfId="60" applyNumberFormat="1" applyFont="1" applyFill="1" applyBorder="1"/>
    <xf numFmtId="180" fontId="65" fillId="0" borderId="11" xfId="60" applyNumberFormat="1" applyFont="1" applyFill="1" applyBorder="1"/>
    <xf numFmtId="0" fontId="59" fillId="0" borderId="0" xfId="59" applyFont="1" applyFill="1" applyBorder="1"/>
    <xf numFmtId="180" fontId="66" fillId="0" borderId="0" xfId="60" applyNumberFormat="1" applyFont="1" applyFill="1" applyBorder="1"/>
    <xf numFmtId="180" fontId="66" fillId="0" borderId="46" xfId="60" applyNumberFormat="1" applyFont="1" applyFill="1" applyBorder="1"/>
    <xf numFmtId="0" fontId="64" fillId="15" borderId="5" xfId="59" applyFont="1" applyFill="1" applyBorder="1"/>
    <xf numFmtId="180" fontId="67" fillId="16" borderId="6" xfId="60" applyNumberFormat="1" applyFont="1" applyFill="1" applyBorder="1"/>
    <xf numFmtId="180" fontId="67" fillId="16" borderId="44" xfId="60" applyNumberFormat="1" applyFont="1" applyFill="1" applyBorder="1"/>
    <xf numFmtId="180" fontId="67" fillId="16" borderId="7" xfId="60" applyNumberFormat="1" applyFont="1" applyFill="1" applyBorder="1"/>
    <xf numFmtId="0" fontId="68" fillId="0" borderId="0" xfId="59" applyFont="1" applyFill="1" applyBorder="1"/>
    <xf numFmtId="169" fontId="69" fillId="0" borderId="0" xfId="58" applyNumberFormat="1" applyFont="1" applyFill="1" applyBorder="1"/>
    <xf numFmtId="169" fontId="69" fillId="0" borderId="46" xfId="58" applyNumberFormat="1" applyFont="1" applyFill="1" applyBorder="1"/>
    <xf numFmtId="180" fontId="66" fillId="0" borderId="43" xfId="60" applyNumberFormat="1" applyFont="1" applyFill="1" applyBorder="1"/>
    <xf numFmtId="180" fontId="66" fillId="0" borderId="3" xfId="60" applyNumberFormat="1" applyFont="1" applyFill="1" applyBorder="1"/>
    <xf numFmtId="180" fontId="65" fillId="0" borderId="44" xfId="60" applyNumberFormat="1" applyFont="1" applyFill="1" applyBorder="1"/>
    <xf numFmtId="186" fontId="59" fillId="0" borderId="0" xfId="60" applyNumberFormat="1" applyFont="1" applyFill="1" applyBorder="1"/>
    <xf numFmtId="186" fontId="59" fillId="0" borderId="43" xfId="60" applyNumberFormat="1" applyFont="1" applyFill="1" applyBorder="1"/>
    <xf numFmtId="0" fontId="59" fillId="0" borderId="0" xfId="59" applyFont="1" applyFill="1" applyBorder="1" applyAlignment="1">
      <alignment horizontal="left" indent="1"/>
    </xf>
    <xf numFmtId="185" fontId="64" fillId="17" borderId="6" xfId="60" applyNumberFormat="1" applyFont="1" applyFill="1" applyBorder="1"/>
    <xf numFmtId="185" fontId="64" fillId="17" borderId="44" xfId="60" applyNumberFormat="1" applyFont="1" applyFill="1" applyBorder="1"/>
    <xf numFmtId="185" fontId="64" fillId="17" borderId="7" xfId="60" applyNumberFormat="1" applyFont="1" applyFill="1" applyBorder="1"/>
    <xf numFmtId="187" fontId="70" fillId="0" borderId="0" xfId="59" applyNumberFormat="1" applyFont="1" applyFill="1" applyBorder="1"/>
    <xf numFmtId="185" fontId="59" fillId="0" borderId="43" xfId="60" applyNumberFormat="1" applyFont="1" applyFill="1" applyBorder="1"/>
    <xf numFmtId="185" fontId="59" fillId="0" borderId="8" xfId="60" applyNumberFormat="1" applyFont="1" applyFill="1" applyBorder="1"/>
    <xf numFmtId="180" fontId="66" fillId="0" borderId="6" xfId="60" applyNumberFormat="1" applyFont="1" applyFill="1" applyBorder="1"/>
    <xf numFmtId="180" fontId="66" fillId="0" borderId="44" xfId="60" applyNumberFormat="1" applyFont="1" applyFill="1" applyBorder="1"/>
    <xf numFmtId="180" fontId="66" fillId="0" borderId="7" xfId="60" applyNumberFormat="1" applyFont="1" applyFill="1" applyBorder="1"/>
    <xf numFmtId="180" fontId="59" fillId="0" borderId="0" xfId="60" applyNumberFormat="1" applyFont="1" applyFill="1" applyBorder="1"/>
    <xf numFmtId="180" fontId="59" fillId="0" borderId="43" xfId="60" applyNumberFormat="1" applyFont="1" applyFill="1" applyBorder="1"/>
    <xf numFmtId="0" fontId="66" fillId="0" borderId="5" xfId="59" applyFont="1" applyFill="1" applyBorder="1" applyAlignment="1">
      <alignment vertical="center"/>
    </xf>
    <xf numFmtId="0" fontId="64" fillId="17" borderId="5" xfId="59" applyFont="1" applyFill="1" applyBorder="1"/>
    <xf numFmtId="0" fontId="58" fillId="0" borderId="0" xfId="57" applyFont="1" applyFill="1"/>
    <xf numFmtId="185" fontId="64" fillId="0" borderId="45" xfId="60" applyNumberFormat="1" applyFont="1" applyFill="1" applyBorder="1"/>
    <xf numFmtId="0" fontId="63" fillId="12" borderId="5" xfId="59" applyFont="1" applyFill="1" applyBorder="1" applyAlignment="1">
      <alignment horizontal="center" vertical="center"/>
    </xf>
    <xf numFmtId="0" fontId="68" fillId="0" borderId="9" xfId="59" applyFont="1" applyFill="1" applyBorder="1"/>
    <xf numFmtId="169" fontId="68" fillId="0" borderId="0" xfId="58" applyNumberFormat="1" applyFont="1" applyFill="1" applyBorder="1"/>
    <xf numFmtId="169" fontId="68" fillId="0" borderId="43" xfId="58" applyNumberFormat="1" applyFont="1" applyFill="1" applyBorder="1"/>
    <xf numFmtId="169" fontId="68" fillId="0" borderId="8" xfId="58" applyNumberFormat="1" applyFont="1" applyFill="1" applyBorder="1"/>
    <xf numFmtId="169" fontId="68" fillId="0" borderId="14" xfId="58" applyNumberFormat="1" applyFont="1" applyFill="1" applyBorder="1"/>
    <xf numFmtId="0" fontId="71" fillId="0" borderId="9" xfId="59" applyFont="1" applyFill="1" applyBorder="1"/>
    <xf numFmtId="169" fontId="71" fillId="0" borderId="0" xfId="58" applyNumberFormat="1" applyFont="1" applyFill="1" applyBorder="1"/>
    <xf numFmtId="169" fontId="71" fillId="0" borderId="43" xfId="58" applyNumberFormat="1" applyFont="1" applyFill="1" applyBorder="1"/>
    <xf numFmtId="169" fontId="71" fillId="0" borderId="14" xfId="58" applyNumberFormat="1" applyFont="1" applyFill="1" applyBorder="1"/>
    <xf numFmtId="0" fontId="72" fillId="0" borderId="9" xfId="57" applyFont="1" applyFill="1" applyBorder="1"/>
    <xf numFmtId="0" fontId="71" fillId="0" borderId="10" xfId="59" applyFont="1" applyFill="1" applyBorder="1"/>
    <xf numFmtId="169" fontId="71" fillId="0" borderId="3" xfId="58" applyNumberFormat="1" applyFont="1" applyFill="1" applyBorder="1"/>
    <xf numFmtId="169" fontId="71" fillId="0" borderId="45" xfId="58" applyNumberFormat="1" applyFont="1" applyFill="1" applyBorder="1"/>
    <xf numFmtId="169" fontId="71" fillId="0" borderId="11" xfId="58" applyNumberFormat="1" applyFont="1" applyFill="1" applyBorder="1"/>
    <xf numFmtId="0" fontId="71" fillId="0" borderId="0" xfId="59" applyFont="1" applyFill="1" applyBorder="1"/>
    <xf numFmtId="0" fontId="61" fillId="0" borderId="0" xfId="57" applyFont="1" applyAlignment="1">
      <alignment horizontal="center"/>
    </xf>
    <xf numFmtId="180" fontId="61" fillId="0" borderId="0" xfId="57" applyNumberFormat="1" applyFont="1" applyAlignment="1">
      <alignment horizontal="center"/>
    </xf>
    <xf numFmtId="180" fontId="61" fillId="0" borderId="44" xfId="57" applyNumberFormat="1" applyFont="1" applyBorder="1" applyAlignment="1">
      <alignment horizontal="center"/>
    </xf>
    <xf numFmtId="186" fontId="71" fillId="0" borderId="0" xfId="61" applyNumberFormat="1" applyFont="1" applyFill="1" applyBorder="1"/>
    <xf numFmtId="185" fontId="59" fillId="0" borderId="0" xfId="61" applyNumberFormat="1" applyFont="1" applyFill="1" applyBorder="1"/>
    <xf numFmtId="0" fontId="64" fillId="18" borderId="5" xfId="59" applyFont="1" applyFill="1" applyBorder="1"/>
    <xf numFmtId="180" fontId="67" fillId="18" borderId="6" xfId="60" applyNumberFormat="1" applyFont="1" applyFill="1" applyBorder="1"/>
    <xf numFmtId="180" fontId="67" fillId="18" borderId="7" xfId="60" applyNumberFormat="1" applyFont="1" applyFill="1" applyBorder="1"/>
    <xf numFmtId="43" fontId="58" fillId="0" borderId="0" xfId="57" applyNumberFormat="1" applyFont="1" applyFill="1"/>
    <xf numFmtId="0" fontId="59" fillId="0" borderId="12" xfId="59" applyFont="1" applyFill="1" applyBorder="1" applyAlignment="1">
      <alignment horizontal="left" indent="1"/>
    </xf>
    <xf numFmtId="180" fontId="65" fillId="0" borderId="8" xfId="60" applyNumberFormat="1" applyFont="1" applyFill="1" applyBorder="1"/>
    <xf numFmtId="180" fontId="65" fillId="0" borderId="46" xfId="60" applyNumberFormat="1" applyFont="1" applyFill="1" applyBorder="1"/>
    <xf numFmtId="180" fontId="65" fillId="0" borderId="13" xfId="60" applyNumberFormat="1" applyFont="1" applyFill="1" applyBorder="1"/>
    <xf numFmtId="180" fontId="67" fillId="0" borderId="46" xfId="60" applyNumberFormat="1" applyFont="1" applyFill="1" applyBorder="1"/>
    <xf numFmtId="177" fontId="59" fillId="0" borderId="0" xfId="57" applyNumberFormat="1" applyFont="1" applyFill="1" applyBorder="1"/>
    <xf numFmtId="0" fontId="70" fillId="0" borderId="0" xfId="59" applyFont="1" applyFill="1" applyBorder="1"/>
    <xf numFmtId="187" fontId="70" fillId="0" borderId="43" xfId="59" applyNumberFormat="1" applyFont="1" applyFill="1" applyBorder="1"/>
    <xf numFmtId="186" fontId="66" fillId="0" borderId="0" xfId="61" applyNumberFormat="1" applyFont="1" applyFill="1" applyBorder="1" applyAlignment="1">
      <alignment horizontal="center"/>
    </xf>
    <xf numFmtId="186" fontId="66" fillId="0" borderId="45" xfId="61" applyNumberFormat="1" applyFont="1" applyFill="1" applyBorder="1" applyAlignment="1">
      <alignment horizontal="center"/>
    </xf>
    <xf numFmtId="0" fontId="63" fillId="12" borderId="12" xfId="59" applyFont="1" applyFill="1" applyBorder="1" applyAlignment="1">
      <alignment horizontal="center" vertical="center"/>
    </xf>
    <xf numFmtId="183" fontId="63" fillId="12" borderId="8" xfId="59" applyNumberFormat="1" applyFont="1" applyFill="1" applyBorder="1" applyAlignment="1">
      <alignment horizontal="center" vertical="center"/>
    </xf>
    <xf numFmtId="183" fontId="63" fillId="12" borderId="46" xfId="59" applyNumberFormat="1" applyFont="1" applyFill="1" applyBorder="1" applyAlignment="1">
      <alignment horizontal="center" vertical="center"/>
    </xf>
    <xf numFmtId="184" fontId="63" fillId="12" borderId="8" xfId="59" applyNumberFormat="1" applyFont="1" applyFill="1" applyBorder="1" applyAlignment="1">
      <alignment horizontal="center" vertical="center"/>
    </xf>
    <xf numFmtId="184" fontId="63" fillId="12" borderId="13" xfId="59" applyNumberFormat="1" applyFont="1" applyFill="1" applyBorder="1" applyAlignment="1">
      <alignment horizontal="center" vertical="center"/>
    </xf>
    <xf numFmtId="188" fontId="66" fillId="0" borderId="8" xfId="59" applyNumberFormat="1" applyFont="1" applyFill="1" applyBorder="1" applyAlignment="1">
      <alignment horizontal="center"/>
    </xf>
    <xf numFmtId="188" fontId="66" fillId="0" borderId="46" xfId="59" applyNumberFormat="1" applyFont="1" applyFill="1" applyBorder="1" applyAlignment="1">
      <alignment horizontal="center"/>
    </xf>
    <xf numFmtId="188" fontId="66" fillId="0" borderId="13" xfId="59" applyNumberFormat="1" applyFont="1" applyFill="1" applyBorder="1" applyAlignment="1">
      <alignment horizontal="center"/>
    </xf>
    <xf numFmtId="188" fontId="66" fillId="0" borderId="0" xfId="59" applyNumberFormat="1" applyFont="1" applyFill="1" applyBorder="1" applyAlignment="1">
      <alignment horizontal="center"/>
    </xf>
    <xf numFmtId="188" fontId="66" fillId="0" borderId="43" xfId="59" applyNumberFormat="1" applyFont="1" applyFill="1" applyBorder="1" applyAlignment="1">
      <alignment horizontal="center"/>
    </xf>
    <xf numFmtId="188" fontId="66" fillId="0" borderId="14" xfId="59" applyNumberFormat="1" applyFont="1" applyFill="1" applyBorder="1" applyAlignment="1">
      <alignment horizontal="center"/>
    </xf>
    <xf numFmtId="188" fontId="66" fillId="0" borderId="3" xfId="59" applyNumberFormat="1" applyFont="1" applyFill="1" applyBorder="1" applyAlignment="1">
      <alignment horizontal="center"/>
    </xf>
    <xf numFmtId="188" fontId="66" fillId="0" borderId="45" xfId="59" applyNumberFormat="1" applyFont="1" applyFill="1" applyBorder="1" applyAlignment="1">
      <alignment horizontal="center"/>
    </xf>
    <xf numFmtId="188" fontId="66" fillId="0" borderId="11" xfId="59" applyNumberFormat="1" applyFont="1" applyFill="1" applyBorder="1" applyAlignment="1">
      <alignment horizontal="center"/>
    </xf>
    <xf numFmtId="189" fontId="66" fillId="0" borderId="0" xfId="60" applyNumberFormat="1" applyFont="1" applyFill="1" applyBorder="1"/>
    <xf numFmtId="0" fontId="64" fillId="19" borderId="5" xfId="59" applyFont="1" applyFill="1" applyBorder="1"/>
    <xf numFmtId="180" fontId="67" fillId="19" borderId="6" xfId="60" applyNumberFormat="1" applyFont="1" applyFill="1" applyBorder="1"/>
    <xf numFmtId="180" fontId="67" fillId="20" borderId="44" xfId="60" applyNumberFormat="1" applyFont="1" applyFill="1" applyBorder="1"/>
    <xf numFmtId="180" fontId="67" fillId="19" borderId="7" xfId="60" applyNumberFormat="1" applyFont="1" applyFill="1" applyBorder="1"/>
    <xf numFmtId="0" fontId="58" fillId="0" borderId="0" xfId="57" applyFont="1" applyBorder="1"/>
    <xf numFmtId="9" fontId="66" fillId="0" borderId="0" xfId="58" applyNumberFormat="1" applyFont="1" applyFill="1" applyBorder="1" applyAlignment="1">
      <alignment horizontal="center"/>
    </xf>
    <xf numFmtId="0" fontId="68" fillId="0" borderId="12" xfId="59" applyFont="1" applyFill="1" applyBorder="1" applyAlignment="1">
      <alignment horizontal="left" indent="1"/>
    </xf>
    <xf numFmtId="169" fontId="68" fillId="0" borderId="13" xfId="58" applyNumberFormat="1" applyFont="1" applyFill="1" applyBorder="1"/>
    <xf numFmtId="0" fontId="68" fillId="0" borderId="10" xfId="59" applyFont="1" applyFill="1" applyBorder="1" applyAlignment="1">
      <alignment horizontal="left" indent="1"/>
    </xf>
    <xf numFmtId="169" fontId="68" fillId="0" borderId="3" xfId="58" applyNumberFormat="1" applyFont="1" applyFill="1" applyBorder="1"/>
    <xf numFmtId="169" fontId="68" fillId="0" borderId="11" xfId="58" applyNumberFormat="1" applyFont="1" applyFill="1" applyBorder="1"/>
    <xf numFmtId="185" fontId="66" fillId="0" borderId="0" xfId="61" applyNumberFormat="1" applyFont="1" applyFill="1" applyBorder="1" applyAlignment="1">
      <alignment horizontal="center"/>
    </xf>
    <xf numFmtId="0" fontId="61" fillId="0" borderId="0" xfId="59" applyFont="1" applyFill="1" applyBorder="1"/>
    <xf numFmtId="185" fontId="64" fillId="0" borderId="43" xfId="60" applyNumberFormat="1" applyFont="1" applyFill="1" applyBorder="1"/>
    <xf numFmtId="185" fontId="31" fillId="0" borderId="0" xfId="60" applyNumberFormat="1" applyFont="1" applyFill="1" applyBorder="1"/>
    <xf numFmtId="185" fontId="31" fillId="0" borderId="0" xfId="59" applyNumberFormat="1" applyFont="1" applyFill="1" applyBorder="1"/>
    <xf numFmtId="185" fontId="31" fillId="0" borderId="43" xfId="60" applyNumberFormat="1" applyFont="1" applyFill="1" applyBorder="1"/>
    <xf numFmtId="0" fontId="64" fillId="6" borderId="5" xfId="59" applyFont="1" applyFill="1" applyBorder="1" applyAlignment="1">
      <alignment horizontal="left" indent="1"/>
    </xf>
    <xf numFmtId="0" fontId="61" fillId="6" borderId="6" xfId="57" applyFont="1" applyFill="1" applyBorder="1" applyAlignment="1">
      <alignment horizontal="center"/>
    </xf>
    <xf numFmtId="0" fontId="61" fillId="6" borderId="44" xfId="57" applyFont="1" applyFill="1" applyBorder="1" applyAlignment="1">
      <alignment horizontal="center"/>
    </xf>
    <xf numFmtId="0" fontId="61" fillId="6" borderId="7" xfId="57" applyFont="1" applyFill="1" applyBorder="1" applyAlignment="1">
      <alignment horizontal="center"/>
    </xf>
    <xf numFmtId="9" fontId="61" fillId="0" borderId="6" xfId="58" applyNumberFormat="1" applyFont="1" applyFill="1" applyBorder="1" applyAlignment="1">
      <alignment horizontal="center"/>
    </xf>
    <xf numFmtId="9" fontId="61" fillId="0" borderId="44" xfId="58" applyNumberFormat="1" applyFont="1" applyFill="1" applyBorder="1" applyAlignment="1">
      <alignment horizontal="center"/>
    </xf>
    <xf numFmtId="9" fontId="61" fillId="0" borderId="7" xfId="58" applyNumberFormat="1" applyFont="1" applyFill="1" applyBorder="1" applyAlignment="1">
      <alignment horizontal="center"/>
    </xf>
    <xf numFmtId="9" fontId="58" fillId="0" borderId="8" xfId="58" applyNumberFormat="1" applyFont="1" applyBorder="1" applyAlignment="1">
      <alignment horizontal="center"/>
    </xf>
    <xf numFmtId="9" fontId="58" fillId="0" borderId="46" xfId="58" applyNumberFormat="1" applyFont="1" applyBorder="1" applyAlignment="1">
      <alignment horizontal="center"/>
    </xf>
    <xf numFmtId="9" fontId="58" fillId="0" borderId="13" xfId="58" applyNumberFormat="1" applyFont="1" applyBorder="1" applyAlignment="1">
      <alignment horizontal="center"/>
    </xf>
    <xf numFmtId="9" fontId="58" fillId="0" borderId="0" xfId="58" applyNumberFormat="1" applyFont="1" applyBorder="1" applyAlignment="1">
      <alignment horizontal="center"/>
    </xf>
    <xf numFmtId="9" fontId="58" fillId="0" borderId="43" xfId="58" applyNumberFormat="1" applyFont="1" applyBorder="1" applyAlignment="1">
      <alignment horizontal="center"/>
    </xf>
    <xf numFmtId="9" fontId="58" fillId="0" borderId="14" xfId="58" applyNumberFormat="1" applyFont="1" applyBorder="1" applyAlignment="1">
      <alignment horizontal="center"/>
    </xf>
    <xf numFmtId="9" fontId="58" fillId="0" borderId="3" xfId="58" applyNumberFormat="1" applyFont="1" applyBorder="1" applyAlignment="1">
      <alignment horizontal="center"/>
    </xf>
    <xf numFmtId="9" fontId="58" fillId="0" borderId="45" xfId="58" applyNumberFormat="1" applyFont="1" applyBorder="1" applyAlignment="1">
      <alignment horizontal="center"/>
    </xf>
    <xf numFmtId="9" fontId="58" fillId="0" borderId="11" xfId="58" applyNumberFormat="1" applyFont="1" applyBorder="1" applyAlignment="1">
      <alignment horizontal="center"/>
    </xf>
    <xf numFmtId="185" fontId="73" fillId="0" borderId="0" xfId="60" applyNumberFormat="1" applyFont="1" applyFill="1" applyBorder="1"/>
    <xf numFmtId="169" fontId="73" fillId="0" borderId="0" xfId="58" applyNumberFormat="1" applyFont="1" applyFill="1" applyBorder="1" applyAlignment="1">
      <alignment horizontal="center" vertical="center"/>
    </xf>
    <xf numFmtId="185" fontId="74" fillId="0" borderId="6" xfId="60" applyNumberFormat="1" applyFont="1" applyFill="1" applyBorder="1"/>
    <xf numFmtId="169" fontId="74" fillId="0" borderId="6" xfId="58" applyNumberFormat="1" applyFont="1" applyFill="1" applyBorder="1" applyAlignment="1">
      <alignment horizontal="center" vertical="center"/>
    </xf>
    <xf numFmtId="185" fontId="73" fillId="0" borderId="3" xfId="60" applyNumberFormat="1" applyFont="1" applyFill="1" applyBorder="1"/>
    <xf numFmtId="169" fontId="73" fillId="0" borderId="3" xfId="58" applyNumberFormat="1" applyFont="1" applyFill="1" applyBorder="1" applyAlignment="1">
      <alignment horizontal="center" vertical="center"/>
    </xf>
    <xf numFmtId="185" fontId="73" fillId="0" borderId="8" xfId="60" applyNumberFormat="1" applyFont="1" applyFill="1" applyBorder="1"/>
    <xf numFmtId="169" fontId="73" fillId="0" borderId="8" xfId="58" applyNumberFormat="1" applyFont="1" applyFill="1" applyBorder="1" applyAlignment="1">
      <alignment horizontal="center" vertical="center"/>
    </xf>
    <xf numFmtId="0" fontId="64" fillId="6" borderId="12" xfId="59" applyFont="1" applyFill="1" applyBorder="1" applyAlignment="1">
      <alignment horizontal="left" indent="1"/>
    </xf>
    <xf numFmtId="0" fontId="61" fillId="6" borderId="8" xfId="57" applyFont="1" applyFill="1" applyBorder="1" applyAlignment="1">
      <alignment horizontal="center"/>
    </xf>
    <xf numFmtId="0" fontId="61" fillId="6" borderId="46" xfId="57" applyFont="1" applyFill="1" applyBorder="1" applyAlignment="1">
      <alignment horizontal="center"/>
    </xf>
    <xf numFmtId="0" fontId="61" fillId="6" borderId="13" xfId="57" applyFont="1" applyFill="1" applyBorder="1" applyAlignment="1">
      <alignment horizontal="center"/>
    </xf>
    <xf numFmtId="9" fontId="67" fillId="0" borderId="44" xfId="58" applyNumberFormat="1" applyFont="1" applyFill="1" applyBorder="1" applyAlignment="1">
      <alignment horizontal="center"/>
    </xf>
    <xf numFmtId="9" fontId="67" fillId="0" borderId="6" xfId="58" applyNumberFormat="1" applyFont="1" applyFill="1" applyBorder="1" applyAlignment="1">
      <alignment horizontal="center"/>
    </xf>
    <xf numFmtId="9" fontId="67" fillId="0" borderId="7" xfId="58" applyNumberFormat="1" applyFont="1" applyFill="1" applyBorder="1" applyAlignment="1">
      <alignment horizontal="center"/>
    </xf>
    <xf numFmtId="9" fontId="66" fillId="0" borderId="43" xfId="58" applyNumberFormat="1" applyFont="1" applyFill="1" applyBorder="1" applyAlignment="1">
      <alignment horizontal="center"/>
    </xf>
    <xf numFmtId="9" fontId="66" fillId="0" borderId="14" xfId="58" applyNumberFormat="1" applyFont="1" applyFill="1" applyBorder="1" applyAlignment="1">
      <alignment horizontal="center"/>
    </xf>
    <xf numFmtId="9" fontId="66" fillId="0" borderId="45" xfId="58" applyNumberFormat="1" applyFont="1" applyFill="1" applyBorder="1" applyAlignment="1">
      <alignment horizontal="center"/>
    </xf>
    <xf numFmtId="9" fontId="66" fillId="0" borderId="3" xfId="58" applyNumberFormat="1" applyFont="1" applyFill="1" applyBorder="1" applyAlignment="1">
      <alignment horizontal="center"/>
    </xf>
    <xf numFmtId="9" fontId="66" fillId="0" borderId="11" xfId="58" applyNumberFormat="1" applyFont="1" applyFill="1" applyBorder="1" applyAlignment="1">
      <alignment horizontal="center"/>
    </xf>
    <xf numFmtId="189" fontId="65" fillId="0" borderId="43" xfId="60" applyNumberFormat="1" applyFont="1" applyFill="1" applyBorder="1"/>
    <xf numFmtId="189" fontId="65" fillId="0" borderId="0" xfId="60" applyNumberFormat="1" applyFont="1" applyFill="1" applyBorder="1"/>
    <xf numFmtId="0" fontId="64" fillId="21" borderId="9" xfId="59" applyFont="1" applyFill="1" applyBorder="1"/>
    <xf numFmtId="185" fontId="64" fillId="21" borderId="0" xfId="60" applyNumberFormat="1" applyFont="1" applyFill="1" applyBorder="1"/>
    <xf numFmtId="169" fontId="64" fillId="21" borderId="0" xfId="40" applyNumberFormat="1" applyFont="1" applyFill="1" applyBorder="1"/>
    <xf numFmtId="169" fontId="64" fillId="21" borderId="43" xfId="40" applyNumberFormat="1" applyFont="1" applyFill="1" applyBorder="1"/>
    <xf numFmtId="169" fontId="64" fillId="21" borderId="14" xfId="40" applyNumberFormat="1" applyFont="1" applyFill="1" applyBorder="1"/>
    <xf numFmtId="185" fontId="58" fillId="0" borderId="43" xfId="57" applyNumberFormat="1" applyFont="1" applyBorder="1"/>
    <xf numFmtId="185" fontId="58" fillId="0" borderId="0" xfId="58" applyNumberFormat="1" applyFont="1"/>
    <xf numFmtId="0" fontId="64" fillId="21" borderId="0" xfId="59" applyFont="1" applyFill="1" applyBorder="1"/>
    <xf numFmtId="0" fontId="64" fillId="21" borderId="10" xfId="59" applyFont="1" applyFill="1" applyBorder="1"/>
    <xf numFmtId="169" fontId="64" fillId="21" borderId="3" xfId="40" applyNumberFormat="1" applyFont="1" applyFill="1" applyBorder="1"/>
    <xf numFmtId="169" fontId="64" fillId="21" borderId="11" xfId="40" applyNumberFormat="1" applyFont="1" applyFill="1" applyBorder="1"/>
    <xf numFmtId="169" fontId="59" fillId="21" borderId="0" xfId="40" applyNumberFormat="1" applyFont="1" applyFill="1" applyBorder="1"/>
    <xf numFmtId="169" fontId="66" fillId="21" borderId="0" xfId="40" applyNumberFormat="1" applyFont="1" applyFill="1" applyBorder="1"/>
    <xf numFmtId="169" fontId="66" fillId="21" borderId="43" xfId="40" applyNumberFormat="1" applyFont="1" applyFill="1" applyBorder="1"/>
    <xf numFmtId="0" fontId="55" fillId="0" borderId="0" xfId="44" applyFont="1" applyFill="1" applyBorder="1" applyAlignment="1" applyProtection="1">
      <alignment vertical="center"/>
    </xf>
    <xf numFmtId="170" fontId="36" fillId="9" borderId="47" xfId="45" applyFont="1" applyFill="1" applyBorder="1" applyProtection="1"/>
    <xf numFmtId="0" fontId="35" fillId="9" borderId="48" xfId="46" applyFont="1" applyFill="1" applyBorder="1"/>
    <xf numFmtId="1" fontId="44" fillId="11" borderId="49" xfId="48" applyNumberFormat="1" applyFont="1" applyFill="1" applyBorder="1" applyAlignment="1" applyProtection="1">
      <alignment horizontal="center"/>
    </xf>
    <xf numFmtId="2" fontId="59" fillId="0" borderId="0" xfId="57" applyNumberFormat="1" applyFont="1" applyFill="1" applyBorder="1"/>
    <xf numFmtId="0" fontId="76" fillId="0" borderId="0" xfId="44" applyFont="1" applyFill="1" applyBorder="1" applyProtection="1"/>
    <xf numFmtId="170" fontId="77" fillId="0" borderId="0" xfId="45" applyFont="1" applyFill="1" applyBorder="1" applyProtection="1"/>
    <xf numFmtId="175" fontId="77" fillId="0" borderId="0" xfId="49" applyFont="1" applyFill="1" applyBorder="1" applyProtection="1"/>
    <xf numFmtId="0" fontId="76" fillId="0" borderId="0" xfId="46" applyFont="1" applyFill="1" applyBorder="1"/>
    <xf numFmtId="0" fontId="78" fillId="0" borderId="0" xfId="44" applyFont="1" applyFill="1" applyBorder="1" applyProtection="1"/>
    <xf numFmtId="0" fontId="79" fillId="0" borderId="0" xfId="44" applyFont="1" applyFill="1" applyBorder="1" applyProtection="1"/>
    <xf numFmtId="170" fontId="80" fillId="0" borderId="0" xfId="45" applyFont="1" applyFill="1" applyBorder="1" applyProtection="1"/>
    <xf numFmtId="170" fontId="81" fillId="0" borderId="0" xfId="45" applyFont="1" applyFill="1" applyBorder="1" applyProtection="1"/>
    <xf numFmtId="170" fontId="82" fillId="8" borderId="0" xfId="45" applyFont="1" applyFill="1" applyBorder="1" applyAlignment="1" applyProtection="1">
      <alignment horizontal="centerContinuous"/>
    </xf>
    <xf numFmtId="170" fontId="83" fillId="8" borderId="0" xfId="45" applyFont="1" applyFill="1" applyBorder="1" applyAlignment="1" applyProtection="1">
      <alignment horizontal="centerContinuous"/>
    </xf>
    <xf numFmtId="170" fontId="83" fillId="8" borderId="20" xfId="45" applyFont="1" applyFill="1" applyBorder="1" applyAlignment="1" applyProtection="1">
      <alignment horizontal="centerContinuous"/>
    </xf>
    <xf numFmtId="170" fontId="84" fillId="8" borderId="0" xfId="45" applyFont="1" applyFill="1" applyBorder="1" applyAlignment="1" applyProtection="1">
      <alignment horizontal="centerContinuous"/>
    </xf>
    <xf numFmtId="0" fontId="85" fillId="0" borderId="24" xfId="44" applyFont="1" applyFill="1" applyBorder="1" applyAlignment="1" applyProtection="1">
      <alignment horizontal="center"/>
    </xf>
    <xf numFmtId="0" fontId="86" fillId="0" borderId="0" xfId="44" applyFont="1" applyFill="1" applyBorder="1" applyProtection="1"/>
    <xf numFmtId="0" fontId="87" fillId="0" borderId="0" xfId="44" applyFont="1" applyFill="1" applyBorder="1" applyAlignment="1" applyProtection="1">
      <alignment horizontal="center"/>
    </xf>
    <xf numFmtId="0" fontId="87" fillId="0" borderId="20" xfId="44" applyFont="1" applyFill="1" applyBorder="1" applyAlignment="1" applyProtection="1">
      <alignment horizontal="center"/>
    </xf>
    <xf numFmtId="0" fontId="87" fillId="0" borderId="24" xfId="44" applyFont="1" applyFill="1" applyBorder="1" applyAlignment="1" applyProtection="1">
      <alignment horizontal="center"/>
    </xf>
    <xf numFmtId="0" fontId="76" fillId="0" borderId="0" xfId="50" applyFont="1" applyFill="1" applyBorder="1"/>
    <xf numFmtId="173" fontId="88" fillId="0" borderId="0" xfId="45" applyNumberFormat="1" applyFont="1" applyFill="1" applyBorder="1" applyProtection="1"/>
    <xf numFmtId="171" fontId="88" fillId="0" borderId="0" xfId="47" applyNumberFormat="1" applyFont="1" applyFill="1" applyBorder="1"/>
    <xf numFmtId="171" fontId="77" fillId="0" borderId="20" xfId="47" applyNumberFormat="1" applyFont="1" applyFill="1" applyBorder="1"/>
    <xf numFmtId="171" fontId="77" fillId="0" borderId="0" xfId="47" applyNumberFormat="1" applyFont="1" applyFill="1" applyBorder="1"/>
    <xf numFmtId="169" fontId="80" fillId="9" borderId="24" xfId="48" applyNumberFormat="1" applyFont="1" applyFill="1" applyBorder="1" applyAlignment="1" applyProtection="1">
      <alignment horizontal="center"/>
    </xf>
    <xf numFmtId="171" fontId="79" fillId="0" borderId="0" xfId="44" applyNumberFormat="1" applyFont="1" applyFill="1" applyBorder="1" applyProtection="1"/>
    <xf numFmtId="0" fontId="80" fillId="0" borderId="0" xfId="44" applyFont="1" applyFill="1" applyBorder="1" applyAlignment="1" applyProtection="1">
      <alignment horizontal="left"/>
    </xf>
    <xf numFmtId="169" fontId="80" fillId="0" borderId="0" xfId="48" applyNumberFormat="1" applyFont="1" applyFill="1" applyBorder="1" applyAlignment="1">
      <alignment horizontal="right"/>
    </xf>
    <xf numFmtId="169" fontId="89" fillId="0" borderId="20" xfId="48" applyNumberFormat="1" applyFont="1" applyFill="1" applyBorder="1" applyAlignment="1">
      <alignment horizontal="right"/>
    </xf>
    <xf numFmtId="169" fontId="89" fillId="0" borderId="0" xfId="48" applyNumberFormat="1" applyFont="1" applyFill="1" applyBorder="1" applyAlignment="1">
      <alignment horizontal="right"/>
    </xf>
    <xf numFmtId="169" fontId="80" fillId="0" borderId="24" xfId="48" applyNumberFormat="1" applyFont="1" applyFill="1" applyBorder="1" applyAlignment="1" applyProtection="1">
      <alignment horizontal="right"/>
    </xf>
    <xf numFmtId="169" fontId="80" fillId="9" borderId="24" xfId="48" applyNumberFormat="1" applyFont="1" applyFill="1" applyBorder="1" applyAlignment="1" applyProtection="1">
      <alignment horizontal="right"/>
    </xf>
    <xf numFmtId="171" fontId="90" fillId="0" borderId="0" xfId="47" applyNumberFormat="1" applyFont="1" applyFill="1" applyBorder="1"/>
    <xf numFmtId="171" fontId="91" fillId="0" borderId="20" xfId="47" applyNumberFormat="1" applyFont="1" applyFill="1" applyBorder="1"/>
    <xf numFmtId="171" fontId="91" fillId="0" borderId="0" xfId="47" applyNumberFormat="1" applyFont="1" applyFill="1" applyBorder="1"/>
    <xf numFmtId="0" fontId="92" fillId="0" borderId="0" xfId="50" applyFont="1" applyFill="1" applyBorder="1"/>
    <xf numFmtId="169" fontId="80" fillId="0" borderId="20" xfId="48" applyNumberFormat="1" applyFont="1" applyFill="1" applyBorder="1" applyAlignment="1">
      <alignment horizontal="right"/>
    </xf>
    <xf numFmtId="169" fontId="93" fillId="0" borderId="0" xfId="48" applyNumberFormat="1" applyFont="1" applyFill="1" applyBorder="1" applyAlignment="1">
      <alignment horizontal="right"/>
    </xf>
    <xf numFmtId="0" fontId="76" fillId="9" borderId="0" xfId="46" applyFont="1" applyFill="1" applyBorder="1"/>
    <xf numFmtId="0" fontId="80" fillId="9" borderId="0" xfId="44" applyFont="1" applyFill="1" applyBorder="1" applyAlignment="1" applyProtection="1">
      <alignment horizontal="left" indent="1"/>
    </xf>
    <xf numFmtId="0" fontId="77" fillId="0" borderId="0" xfId="44" applyFont="1" applyFill="1" applyBorder="1" applyProtection="1"/>
    <xf numFmtId="169" fontId="80" fillId="0" borderId="24" xfId="48" applyNumberFormat="1" applyFont="1" applyFill="1" applyBorder="1" applyAlignment="1" applyProtection="1">
      <alignment horizontal="center"/>
    </xf>
    <xf numFmtId="173" fontId="81" fillId="0" borderId="20" xfId="44" applyNumberFormat="1" applyFont="1" applyFill="1" applyBorder="1" applyProtection="1"/>
    <xf numFmtId="173" fontId="81" fillId="0" borderId="0" xfId="44" applyNumberFormat="1" applyFont="1" applyFill="1" applyBorder="1" applyProtection="1"/>
    <xf numFmtId="173" fontId="81" fillId="0" borderId="25" xfId="44" applyNumberFormat="1" applyFont="1" applyFill="1" applyBorder="1" applyProtection="1"/>
    <xf numFmtId="173" fontId="81" fillId="9" borderId="25" xfId="44" applyNumberFormat="1" applyFont="1" applyFill="1" applyBorder="1" applyProtection="1"/>
    <xf numFmtId="169" fontId="89" fillId="9" borderId="20" xfId="48" applyNumberFormat="1" applyFont="1" applyFill="1" applyBorder="1" applyAlignment="1">
      <alignment horizontal="right"/>
    </xf>
    <xf numFmtId="169" fontId="89" fillId="9" borderId="0" xfId="48" applyNumberFormat="1" applyFont="1" applyFill="1" applyBorder="1" applyAlignment="1">
      <alignment horizontal="right"/>
    </xf>
    <xf numFmtId="0" fontId="92" fillId="0" borderId="0" xfId="46" applyFont="1" applyFill="1" applyBorder="1"/>
    <xf numFmtId="43" fontId="76" fillId="0" borderId="0" xfId="50" applyNumberFormat="1" applyFont="1" applyFill="1" applyBorder="1"/>
    <xf numFmtId="0" fontId="94" fillId="9" borderId="0" xfId="46" applyFont="1" applyFill="1" applyBorder="1"/>
    <xf numFmtId="0" fontId="76" fillId="9" borderId="0" xfId="46" applyFont="1" applyFill="1" applyBorder="1" applyAlignment="1">
      <alignment horizontal="left" indent="1"/>
    </xf>
    <xf numFmtId="0" fontId="94" fillId="9" borderId="0" xfId="46" applyFont="1" applyFill="1" applyBorder="1" applyAlignment="1">
      <alignment horizontal="left" indent="1"/>
    </xf>
    <xf numFmtId="176" fontId="76" fillId="0" borderId="0" xfId="50" applyNumberFormat="1" applyFont="1" applyFill="1" applyBorder="1"/>
    <xf numFmtId="0" fontId="76" fillId="0" borderId="0" xfId="46" applyFont="1" applyFill="1" applyBorder="1" applyAlignment="1">
      <alignment horizontal="left" indent="1"/>
    </xf>
    <xf numFmtId="0" fontId="80" fillId="0" borderId="0" xfId="44" applyFont="1" applyFill="1" applyBorder="1" applyAlignment="1" applyProtection="1">
      <alignment horizontal="left" indent="1"/>
    </xf>
    <xf numFmtId="0" fontId="77" fillId="10" borderId="0" xfId="44" applyFont="1" applyFill="1" applyBorder="1" applyProtection="1"/>
    <xf numFmtId="171" fontId="77" fillId="10" borderId="0" xfId="47" applyNumberFormat="1" applyFont="1" applyFill="1" applyBorder="1"/>
    <xf numFmtId="171" fontId="77" fillId="10" borderId="20" xfId="47" applyNumberFormat="1" applyFont="1" applyFill="1" applyBorder="1"/>
    <xf numFmtId="169" fontId="80" fillId="10" borderId="24" xfId="48" applyNumberFormat="1" applyFont="1" applyFill="1" applyBorder="1" applyAlignment="1" applyProtection="1">
      <alignment horizontal="center"/>
    </xf>
    <xf numFmtId="44" fontId="76" fillId="0" borderId="0" xfId="46" applyNumberFormat="1" applyFont="1" applyFill="1" applyBorder="1"/>
    <xf numFmtId="0" fontId="79" fillId="10" borderId="0" xfId="46" applyFont="1" applyFill="1" applyBorder="1"/>
    <xf numFmtId="0" fontId="76" fillId="0" borderId="17" xfId="46" applyFont="1" applyFill="1" applyBorder="1"/>
    <xf numFmtId="0" fontId="76" fillId="0" borderId="18" xfId="46" applyFont="1" applyFill="1" applyBorder="1"/>
    <xf numFmtId="173" fontId="81" fillId="0" borderId="18" xfId="44" applyNumberFormat="1" applyFont="1" applyFill="1" applyBorder="1" applyProtection="1"/>
    <xf numFmtId="173" fontId="81" fillId="0" borderId="19" xfId="44" applyNumberFormat="1" applyFont="1" applyFill="1" applyBorder="1" applyProtection="1"/>
    <xf numFmtId="0" fontId="76" fillId="0" borderId="15" xfId="46" applyFont="1" applyFill="1" applyBorder="1"/>
    <xf numFmtId="0" fontId="79" fillId="10" borderId="26" xfId="46" applyFont="1" applyFill="1" applyBorder="1"/>
    <xf numFmtId="0" fontId="79" fillId="10" borderId="27" xfId="46" applyFont="1" applyFill="1" applyBorder="1"/>
    <xf numFmtId="173" fontId="77" fillId="10" borderId="27" xfId="44" applyNumberFormat="1" applyFont="1" applyFill="1" applyBorder="1" applyProtection="1"/>
    <xf numFmtId="173" fontId="77" fillId="10" borderId="28" xfId="44" applyNumberFormat="1" applyFont="1" applyFill="1" applyBorder="1" applyProtection="1"/>
    <xf numFmtId="0" fontId="95" fillId="0" borderId="0" xfId="46" applyFont="1" applyFill="1" applyBorder="1"/>
    <xf numFmtId="173" fontId="95" fillId="0" borderId="0" xfId="46" applyNumberFormat="1" applyFont="1" applyFill="1" applyBorder="1"/>
    <xf numFmtId="173" fontId="80" fillId="0" borderId="0" xfId="46" applyNumberFormat="1" applyFont="1" applyFill="1" applyBorder="1"/>
    <xf numFmtId="177" fontId="95" fillId="0" borderId="0" xfId="46" applyNumberFormat="1" applyFont="1" applyFill="1" applyBorder="1"/>
    <xf numFmtId="0" fontId="95" fillId="10" borderId="29" xfId="46" applyFont="1" applyFill="1" applyBorder="1"/>
    <xf numFmtId="173" fontId="95" fillId="10" borderId="29" xfId="46" applyNumberFormat="1" applyFont="1" applyFill="1" applyBorder="1"/>
    <xf numFmtId="0" fontId="96" fillId="0" borderId="0" xfId="46" applyFont="1" applyFill="1" applyBorder="1"/>
    <xf numFmtId="2" fontId="76" fillId="0" borderId="0" xfId="46" applyNumberFormat="1" applyFont="1" applyFill="1" applyBorder="1"/>
    <xf numFmtId="173" fontId="91" fillId="0" borderId="0" xfId="44" applyNumberFormat="1" applyFont="1" applyFill="1" applyBorder="1" applyProtection="1"/>
    <xf numFmtId="173" fontId="91" fillId="0" borderId="20" xfId="44" applyNumberFormat="1" applyFont="1" applyFill="1" applyBorder="1" applyProtection="1"/>
    <xf numFmtId="0" fontId="76" fillId="0" borderId="20" xfId="46" applyFont="1" applyFill="1" applyBorder="1"/>
    <xf numFmtId="0" fontId="97" fillId="0" borderId="15" xfId="46" applyFont="1" applyFill="1" applyBorder="1"/>
    <xf numFmtId="0" fontId="97" fillId="0" borderId="0" xfId="46" applyFont="1" applyFill="1" applyBorder="1"/>
    <xf numFmtId="173" fontId="98" fillId="0" borderId="0" xfId="44" applyNumberFormat="1" applyFont="1" applyFill="1" applyBorder="1" applyProtection="1"/>
    <xf numFmtId="178" fontId="91" fillId="0" borderId="0" xfId="48" applyNumberFormat="1" applyFont="1" applyFill="1" applyBorder="1" applyAlignment="1">
      <alignment horizontal="right"/>
    </xf>
    <xf numFmtId="178" fontId="91" fillId="0" borderId="20" xfId="48" applyNumberFormat="1" applyFont="1" applyFill="1" applyBorder="1" applyAlignment="1">
      <alignment horizontal="right"/>
    </xf>
    <xf numFmtId="172" fontId="91" fillId="0" borderId="0" xfId="48" applyNumberFormat="1" applyFont="1" applyFill="1" applyBorder="1" applyAlignment="1">
      <alignment horizontal="right"/>
    </xf>
    <xf numFmtId="0" fontId="76" fillId="0" borderId="35" xfId="46" applyFont="1" applyFill="1" applyBorder="1"/>
    <xf numFmtId="0" fontId="76" fillId="0" borderId="29" xfId="46" applyFont="1" applyFill="1" applyBorder="1"/>
    <xf numFmtId="172" fontId="81" fillId="0" borderId="29" xfId="48" applyNumberFormat="1" applyFont="1" applyFill="1" applyBorder="1" applyAlignment="1">
      <alignment horizontal="right"/>
    </xf>
    <xf numFmtId="178" fontId="91" fillId="0" borderId="29" xfId="48" applyNumberFormat="1" applyFont="1" applyFill="1" applyBorder="1" applyAlignment="1">
      <alignment horizontal="right"/>
    </xf>
    <xf numFmtId="178" fontId="91" fillId="0" borderId="32" xfId="48" applyNumberFormat="1" applyFont="1" applyFill="1" applyBorder="1" applyAlignment="1">
      <alignment horizontal="right"/>
    </xf>
    <xf numFmtId="178" fontId="81" fillId="0" borderId="0" xfId="48" applyNumberFormat="1" applyFont="1" applyFill="1" applyBorder="1" applyAlignment="1">
      <alignment horizontal="right"/>
    </xf>
    <xf numFmtId="171" fontId="76" fillId="0" borderId="0" xfId="46" applyNumberFormat="1" applyFont="1" applyFill="1" applyBorder="1"/>
    <xf numFmtId="0" fontId="76" fillId="0" borderId="33" xfId="46" applyFont="1" applyFill="1" applyBorder="1"/>
    <xf numFmtId="0" fontId="76" fillId="0" borderId="30" xfId="46" applyFont="1" applyFill="1" applyBorder="1"/>
    <xf numFmtId="173" fontId="81" fillId="0" borderId="30" xfId="44" applyNumberFormat="1" applyFont="1" applyFill="1" applyBorder="1" applyProtection="1"/>
    <xf numFmtId="173" fontId="81" fillId="0" borderId="31" xfId="44" applyNumberFormat="1" applyFont="1" applyFill="1" applyBorder="1" applyProtection="1"/>
    <xf numFmtId="0" fontId="76" fillId="0" borderId="34" xfId="46" applyFont="1" applyFill="1" applyBorder="1"/>
    <xf numFmtId="178" fontId="81" fillId="0" borderId="20" xfId="48" applyNumberFormat="1" applyFont="1" applyFill="1" applyBorder="1" applyAlignment="1">
      <alignment horizontal="right"/>
    </xf>
    <xf numFmtId="172" fontId="81" fillId="0" borderId="0" xfId="48" applyNumberFormat="1" applyFont="1" applyFill="1" applyBorder="1" applyAlignment="1">
      <alignment horizontal="right"/>
    </xf>
    <xf numFmtId="178" fontId="81" fillId="0" borderId="29" xfId="48" applyNumberFormat="1" applyFont="1" applyFill="1" applyBorder="1" applyAlignment="1">
      <alignment horizontal="right"/>
    </xf>
    <xf numFmtId="178" fontId="81" fillId="0" borderId="32" xfId="48" applyNumberFormat="1" applyFont="1" applyFill="1" applyBorder="1" applyAlignment="1">
      <alignment horizontal="right"/>
    </xf>
    <xf numFmtId="0" fontId="82" fillId="8" borderId="0" xfId="42" applyFont="1" applyFill="1" applyBorder="1" applyAlignment="1" applyProtection="1">
      <alignment horizontal="centerContinuous" vertical="center"/>
    </xf>
    <xf numFmtId="0" fontId="84" fillId="8" borderId="0" xfId="42" applyFont="1" applyFill="1" applyBorder="1" applyAlignment="1" applyProtection="1">
      <alignment horizontal="centerContinuous"/>
    </xf>
    <xf numFmtId="0" fontId="76" fillId="0" borderId="22" xfId="46" applyFont="1" applyFill="1" applyBorder="1"/>
    <xf numFmtId="178" fontId="81" fillId="0" borderId="22" xfId="48" applyNumberFormat="1" applyFont="1" applyFill="1" applyBorder="1" applyAlignment="1">
      <alignment horizontal="right"/>
    </xf>
    <xf numFmtId="178" fontId="81" fillId="0" borderId="36" xfId="48" applyNumberFormat="1" applyFont="1" applyFill="1" applyBorder="1" applyAlignment="1">
      <alignment horizontal="right"/>
    </xf>
    <xf numFmtId="0" fontId="76" fillId="0" borderId="25" xfId="46" applyFont="1" applyFill="1" applyBorder="1"/>
    <xf numFmtId="173" fontId="99" fillId="0" borderId="0" xfId="44" applyNumberFormat="1" applyFont="1" applyFill="1" applyBorder="1" applyAlignment="1" applyProtection="1">
      <alignment horizontal="center"/>
    </xf>
    <xf numFmtId="173" fontId="81" fillId="0" borderId="0" xfId="44" applyNumberFormat="1" applyFont="1" applyFill="1" applyBorder="1" applyAlignment="1" applyProtection="1">
      <alignment horizontal="center"/>
    </xf>
    <xf numFmtId="173" fontId="81" fillId="0" borderId="18" xfId="44" applyNumberFormat="1" applyFont="1" applyFill="1" applyBorder="1" applyAlignment="1" applyProtection="1">
      <alignment horizontal="center"/>
    </xf>
    <xf numFmtId="173" fontId="81" fillId="0" borderId="37" xfId="44" applyNumberFormat="1" applyFont="1" applyFill="1" applyBorder="1" applyAlignment="1" applyProtection="1">
      <alignment horizontal="center"/>
    </xf>
    <xf numFmtId="173" fontId="81" fillId="0" borderId="20" xfId="44" applyNumberFormat="1" applyFont="1" applyFill="1" applyBorder="1" applyAlignment="1" applyProtection="1">
      <alignment horizontal="center"/>
    </xf>
    <xf numFmtId="169" fontId="78" fillId="11" borderId="0" xfId="48" applyNumberFormat="1" applyFont="1" applyFill="1" applyBorder="1"/>
    <xf numFmtId="169" fontId="78" fillId="0" borderId="0" xfId="48" applyNumberFormat="1" applyFont="1" applyFill="1" applyBorder="1"/>
    <xf numFmtId="0" fontId="79" fillId="10" borderId="8" xfId="46" applyFont="1" applyFill="1" applyBorder="1"/>
    <xf numFmtId="0" fontId="76" fillId="10" borderId="8" xfId="46" applyFont="1" applyFill="1" applyBorder="1"/>
    <xf numFmtId="171" fontId="77" fillId="10" borderId="8" xfId="47" applyNumberFormat="1" applyFont="1" applyFill="1" applyBorder="1" applyAlignment="1">
      <alignment horizontal="center"/>
    </xf>
    <xf numFmtId="171" fontId="77" fillId="10" borderId="38" xfId="47" applyNumberFormat="1" applyFont="1" applyFill="1" applyBorder="1" applyAlignment="1">
      <alignment horizontal="center"/>
    </xf>
    <xf numFmtId="0" fontId="76" fillId="9" borderId="25" xfId="46" applyFont="1" applyFill="1" applyBorder="1"/>
    <xf numFmtId="0" fontId="79" fillId="10" borderId="39" xfId="46" applyFont="1" applyFill="1" applyBorder="1"/>
    <xf numFmtId="0" fontId="76" fillId="10" borderId="40" xfId="46" applyFont="1" applyFill="1" applyBorder="1"/>
    <xf numFmtId="171" fontId="77" fillId="10" borderId="40" xfId="47" applyNumberFormat="1" applyFont="1" applyFill="1" applyBorder="1" applyAlignment="1">
      <alignment horizontal="center"/>
    </xf>
    <xf numFmtId="171" fontId="77" fillId="10" borderId="41" xfId="47" applyNumberFormat="1" applyFont="1" applyFill="1" applyBorder="1" applyAlignment="1">
      <alignment horizontal="center"/>
    </xf>
    <xf numFmtId="171" fontId="76" fillId="0" borderId="0" xfId="46" applyNumberFormat="1" applyFont="1" applyFill="1" applyBorder="1" applyAlignment="1">
      <alignment horizontal="center"/>
    </xf>
    <xf numFmtId="173" fontId="76" fillId="0" borderId="0" xfId="46" applyNumberFormat="1" applyFont="1" applyFill="1" applyBorder="1"/>
    <xf numFmtId="10" fontId="78" fillId="0" borderId="18" xfId="48" applyNumberFormat="1" applyFont="1" applyFill="1" applyBorder="1"/>
    <xf numFmtId="10" fontId="78" fillId="0" borderId="19" xfId="48" applyNumberFormat="1" applyFont="1" applyFill="1" applyBorder="1"/>
    <xf numFmtId="10" fontId="78" fillId="11" borderId="0" xfId="48" applyNumberFormat="1" applyFont="1" applyFill="1" applyBorder="1"/>
    <xf numFmtId="10" fontId="78" fillId="11" borderId="20" xfId="48" applyNumberFormat="1" applyFont="1" applyFill="1" applyBorder="1"/>
    <xf numFmtId="0" fontId="76" fillId="0" borderId="21" xfId="46" applyFont="1" applyFill="1" applyBorder="1"/>
    <xf numFmtId="10" fontId="78" fillId="0" borderId="0" xfId="48" applyNumberFormat="1" applyFont="1" applyFill="1" applyBorder="1"/>
    <xf numFmtId="9" fontId="76" fillId="0" borderId="0" xfId="48" applyFont="1" applyFill="1" applyBorder="1"/>
    <xf numFmtId="10" fontId="76" fillId="0" borderId="0" xfId="46" applyNumberFormat="1" applyFont="1" applyFill="1" applyBorder="1"/>
    <xf numFmtId="179" fontId="76" fillId="0" borderId="0" xfId="46" applyNumberFormat="1" applyFont="1" applyFill="1" applyBorder="1"/>
    <xf numFmtId="10" fontId="78" fillId="11" borderId="18" xfId="48" applyNumberFormat="1" applyFont="1" applyFill="1" applyBorder="1"/>
    <xf numFmtId="12" fontId="78" fillId="0" borderId="18" xfId="48" applyNumberFormat="1" applyFont="1" applyFill="1" applyBorder="1"/>
    <xf numFmtId="12" fontId="78" fillId="0" borderId="19" xfId="48" applyNumberFormat="1" applyFont="1" applyFill="1" applyBorder="1"/>
    <xf numFmtId="2" fontId="78" fillId="0" borderId="0" xfId="48" applyNumberFormat="1" applyFont="1" applyFill="1" applyBorder="1"/>
    <xf numFmtId="12" fontId="78" fillId="0" borderId="0" xfId="48" applyNumberFormat="1" applyFont="1" applyFill="1" applyBorder="1"/>
    <xf numFmtId="12" fontId="78" fillId="0" borderId="20" xfId="48" applyNumberFormat="1" applyFont="1" applyFill="1" applyBorder="1"/>
    <xf numFmtId="180" fontId="78" fillId="11" borderId="0" xfId="49" applyNumberFormat="1" applyFont="1" applyFill="1" applyBorder="1"/>
    <xf numFmtId="173" fontId="78" fillId="11" borderId="0" xfId="44" applyNumberFormat="1" applyFont="1" applyFill="1" applyBorder="1" applyProtection="1"/>
    <xf numFmtId="0" fontId="79" fillId="10" borderId="42" xfId="46" applyFont="1" applyFill="1" applyBorder="1"/>
    <xf numFmtId="173" fontId="76" fillId="10" borderId="8" xfId="46" applyNumberFormat="1" applyFont="1" applyFill="1" applyBorder="1"/>
    <xf numFmtId="171" fontId="77" fillId="10" borderId="8" xfId="47" applyNumberFormat="1" applyFont="1" applyFill="1" applyBorder="1"/>
    <xf numFmtId="171" fontId="77" fillId="10" borderId="38" xfId="47" applyNumberFormat="1" applyFont="1" applyFill="1" applyBorder="1"/>
    <xf numFmtId="0" fontId="79" fillId="0" borderId="15" xfId="46" applyFont="1" applyFill="1" applyBorder="1"/>
    <xf numFmtId="169" fontId="78" fillId="11" borderId="0" xfId="46" applyNumberFormat="1" applyFont="1" applyFill="1" applyBorder="1"/>
    <xf numFmtId="190" fontId="76" fillId="0" borderId="0" xfId="46" applyNumberFormat="1" applyFont="1" applyFill="1" applyBorder="1"/>
    <xf numFmtId="180" fontId="76" fillId="0" borderId="0" xfId="49" applyNumberFormat="1" applyFont="1" applyFill="1" applyBorder="1"/>
    <xf numFmtId="180" fontId="76" fillId="0" borderId="20" xfId="49" applyNumberFormat="1" applyFont="1" applyFill="1" applyBorder="1"/>
    <xf numFmtId="180" fontId="81" fillId="0" borderId="0" xfId="49" applyNumberFormat="1" applyFont="1" applyFill="1" applyBorder="1" applyProtection="1"/>
    <xf numFmtId="181" fontId="81" fillId="0" borderId="0" xfId="44" applyNumberFormat="1" applyFont="1" applyFill="1" applyBorder="1" applyProtection="1"/>
    <xf numFmtId="181" fontId="81" fillId="0" borderId="20" xfId="44" applyNumberFormat="1" applyFont="1" applyFill="1" applyBorder="1" applyProtection="1"/>
    <xf numFmtId="180" fontId="81" fillId="0" borderId="22" xfId="49" applyNumberFormat="1" applyFont="1" applyFill="1" applyBorder="1" applyProtection="1"/>
    <xf numFmtId="173" fontId="81" fillId="0" borderId="22" xfId="44" applyNumberFormat="1" applyFont="1" applyFill="1" applyBorder="1" applyProtection="1"/>
    <xf numFmtId="181" fontId="81" fillId="0" borderId="22" xfId="44" applyNumberFormat="1" applyFont="1" applyFill="1" applyBorder="1" applyProtection="1"/>
    <xf numFmtId="181" fontId="81" fillId="0" borderId="23" xfId="44" applyNumberFormat="1" applyFont="1" applyFill="1" applyBorder="1" applyProtection="1"/>
    <xf numFmtId="178" fontId="77" fillId="0" borderId="0" xfId="47" applyNumberFormat="1" applyFont="1" applyFill="1" applyBorder="1"/>
    <xf numFmtId="169" fontId="78" fillId="11" borderId="20" xfId="48" applyNumberFormat="1" applyFont="1" applyFill="1" applyBorder="1"/>
    <xf numFmtId="176" fontId="76" fillId="0" borderId="0" xfId="46" applyNumberFormat="1" applyFont="1" applyFill="1" applyBorder="1"/>
    <xf numFmtId="169" fontId="76" fillId="0" borderId="0" xfId="48" applyNumberFormat="1" applyFont="1" applyFill="1" applyBorder="1"/>
    <xf numFmtId="169" fontId="81" fillId="0" borderId="0" xfId="48" applyNumberFormat="1" applyFont="1" applyFill="1" applyBorder="1"/>
    <xf numFmtId="169" fontId="81" fillId="0" borderId="20" xfId="48" applyNumberFormat="1" applyFont="1" applyFill="1" applyBorder="1"/>
    <xf numFmtId="173" fontId="78" fillId="0" borderId="0" xfId="44" applyNumberFormat="1" applyFont="1" applyFill="1" applyBorder="1" applyProtection="1"/>
    <xf numFmtId="182" fontId="81" fillId="0" borderId="0" xfId="44" applyNumberFormat="1" applyFont="1" applyFill="1" applyBorder="1" applyProtection="1"/>
    <xf numFmtId="1" fontId="76" fillId="0" borderId="0" xfId="46" applyNumberFormat="1" applyFont="1" applyFill="1" applyBorder="1"/>
    <xf numFmtId="0" fontId="79" fillId="0" borderId="0" xfId="46" applyFont="1" applyFill="1" applyBorder="1"/>
    <xf numFmtId="178" fontId="76" fillId="0" borderId="0" xfId="46" applyNumberFormat="1" applyFont="1" applyFill="1" applyBorder="1"/>
    <xf numFmtId="180" fontId="76" fillId="0" borderId="0" xfId="46" applyNumberFormat="1" applyFont="1" applyFill="1" applyBorder="1"/>
    <xf numFmtId="169" fontId="43" fillId="11" borderId="12" xfId="43" applyNumberFormat="1" applyFont="1" applyFill="1" applyBorder="1" applyAlignment="1" applyProtection="1">
      <alignment horizontal="right" vertical="distributed"/>
    </xf>
    <xf numFmtId="169" fontId="43" fillId="11" borderId="8" xfId="43" applyNumberFormat="1" applyFont="1" applyFill="1" applyBorder="1" applyAlignment="1" applyProtection="1">
      <alignment horizontal="right" vertical="distributed"/>
    </xf>
    <xf numFmtId="169" fontId="43" fillId="11" borderId="13" xfId="43" applyNumberFormat="1" applyFont="1" applyFill="1" applyBorder="1" applyAlignment="1" applyProtection="1">
      <alignment horizontal="right" vertical="distributed"/>
    </xf>
    <xf numFmtId="169" fontId="36" fillId="11" borderId="9" xfId="43" applyNumberFormat="1" applyFont="1" applyFill="1" applyBorder="1" applyAlignment="1" applyProtection="1">
      <alignment horizontal="right" vertical="distributed"/>
    </xf>
    <xf numFmtId="169" fontId="36" fillId="11" borderId="0" xfId="43" applyNumberFormat="1" applyFont="1" applyFill="1" applyBorder="1" applyAlignment="1" applyProtection="1">
      <alignment horizontal="right" vertical="distributed"/>
    </xf>
    <xf numFmtId="169" fontId="36" fillId="11" borderId="14" xfId="43" applyNumberFormat="1" applyFont="1" applyFill="1" applyBorder="1" applyAlignment="1" applyProtection="1">
      <alignment horizontal="right" vertical="distributed"/>
    </xf>
    <xf numFmtId="169" fontId="44" fillId="11" borderId="10" xfId="43" applyNumberFormat="1" applyFont="1" applyFill="1" applyBorder="1" applyAlignment="1" applyProtection="1">
      <alignment horizontal="right" vertical="distributed"/>
    </xf>
    <xf numFmtId="169" fontId="44" fillId="11" borderId="9" xfId="43" applyNumberFormat="1" applyFont="1" applyFill="1" applyBorder="1" applyAlignment="1" applyProtection="1">
      <alignment horizontal="right" vertical="distributed"/>
    </xf>
    <xf numFmtId="169" fontId="44" fillId="11" borderId="0" xfId="43" applyNumberFormat="1" applyFont="1" applyFill="1" applyBorder="1" applyAlignment="1" applyProtection="1">
      <alignment horizontal="right" vertical="distributed"/>
    </xf>
    <xf numFmtId="169" fontId="44" fillId="11" borderId="14" xfId="43" applyNumberFormat="1" applyFont="1" applyFill="1" applyBorder="1" applyAlignment="1" applyProtection="1">
      <alignment horizontal="right" vertical="distributed"/>
    </xf>
    <xf numFmtId="169" fontId="36" fillId="11" borderId="10" xfId="43" applyNumberFormat="1" applyFont="1" applyFill="1" applyBorder="1" applyAlignment="1" applyProtection="1">
      <alignment horizontal="right" vertical="distributed"/>
    </xf>
    <xf numFmtId="0" fontId="101" fillId="0" borderId="0" xfId="67" applyFont="1" applyBorder="1"/>
    <xf numFmtId="0" fontId="102" fillId="0" borderId="0" xfId="67" applyFont="1" applyFill="1" applyBorder="1" applyAlignment="1"/>
    <xf numFmtId="0" fontId="103" fillId="0" borderId="0" xfId="67" applyFont="1" applyFill="1" applyBorder="1" applyAlignment="1"/>
    <xf numFmtId="0" fontId="104" fillId="0" borderId="0" xfId="67" applyFont="1" applyFill="1" applyBorder="1" applyAlignment="1"/>
    <xf numFmtId="0" fontId="104" fillId="0" borderId="0" xfId="67" applyFont="1" applyFill="1" applyBorder="1" applyAlignment="1">
      <alignment horizontal="centerContinuous"/>
    </xf>
    <xf numFmtId="0" fontId="100" fillId="0" borderId="0" xfId="67"/>
    <xf numFmtId="0" fontId="105" fillId="0" borderId="0" xfId="67" applyFont="1" applyFill="1" applyBorder="1" applyAlignment="1"/>
    <xf numFmtId="0" fontId="106" fillId="0" borderId="0" xfId="67" applyFont="1" applyFill="1" applyBorder="1" applyAlignment="1"/>
    <xf numFmtId="0" fontId="107" fillId="0" borderId="0" xfId="67" applyFont="1" applyFill="1" applyBorder="1" applyAlignment="1">
      <alignment horizontal="center"/>
    </xf>
    <xf numFmtId="0" fontId="107" fillId="0" borderId="0" xfId="67" applyFont="1" applyFill="1" applyBorder="1" applyAlignment="1"/>
    <xf numFmtId="0" fontId="101" fillId="0" borderId="0" xfId="67" applyFont="1"/>
    <xf numFmtId="0" fontId="108" fillId="0" borderId="0" xfId="67" applyFont="1" applyFill="1" applyBorder="1" applyAlignment="1"/>
    <xf numFmtId="0" fontId="101" fillId="0" borderId="0" xfId="67" applyFont="1" applyFill="1"/>
    <xf numFmtId="0" fontId="109" fillId="0" borderId="0" xfId="67" applyFont="1" applyFill="1" applyBorder="1" applyAlignment="1">
      <alignment horizontal="left"/>
    </xf>
    <xf numFmtId="0" fontId="104" fillId="0" borderId="0" xfId="67" applyFont="1" applyFill="1" applyBorder="1" applyAlignment="1">
      <alignment horizontal="left"/>
    </xf>
    <xf numFmtId="49" fontId="110" fillId="25" borderId="52" xfId="60" applyNumberFormat="1" applyFont="1" applyFill="1" applyBorder="1" applyAlignment="1">
      <alignment horizontal="center" wrapText="1"/>
    </xf>
    <xf numFmtId="49" fontId="110" fillId="25" borderId="53" xfId="60" applyNumberFormat="1" applyFont="1" applyFill="1" applyBorder="1" applyAlignment="1">
      <alignment horizontal="center" wrapText="1"/>
    </xf>
    <xf numFmtId="49" fontId="27" fillId="26" borderId="54" xfId="60" applyNumberFormat="1" applyFont="1" applyFill="1" applyBorder="1" applyAlignment="1">
      <alignment horizontal="center" wrapText="1"/>
    </xf>
    <xf numFmtId="49" fontId="112" fillId="25" borderId="52" xfId="60" applyNumberFormat="1" applyFont="1" applyFill="1" applyBorder="1" applyAlignment="1">
      <alignment horizontal="center" wrapText="1"/>
    </xf>
    <xf numFmtId="49" fontId="104" fillId="27" borderId="54" xfId="60" applyNumberFormat="1" applyFont="1" applyFill="1" applyBorder="1" applyAlignment="1">
      <alignment horizontal="center" wrapText="1"/>
    </xf>
    <xf numFmtId="49" fontId="104" fillId="0" borderId="50" xfId="60" applyNumberFormat="1" applyFont="1" applyFill="1" applyBorder="1" applyAlignment="1">
      <alignment horizontal="center" wrapText="1"/>
    </xf>
    <xf numFmtId="0" fontId="113" fillId="0" borderId="0" xfId="67" applyFont="1"/>
    <xf numFmtId="38" fontId="101" fillId="0" borderId="0" xfId="67" applyNumberFormat="1" applyFont="1"/>
    <xf numFmtId="38" fontId="101" fillId="0" borderId="0" xfId="67" applyNumberFormat="1" applyFont="1" applyFill="1"/>
    <xf numFmtId="0" fontId="113" fillId="0" borderId="0" xfId="67" applyFont="1" applyFill="1" applyBorder="1" applyAlignment="1"/>
    <xf numFmtId="0" fontId="101" fillId="0" borderId="0" xfId="67" applyFont="1" applyFill="1" applyBorder="1" applyAlignment="1"/>
    <xf numFmtId="38" fontId="101" fillId="0" borderId="0" xfId="60" applyNumberFormat="1" applyFont="1" applyFill="1" applyBorder="1" applyAlignment="1"/>
    <xf numFmtId="38" fontId="101" fillId="20" borderId="0" xfId="60" applyNumberFormat="1" applyFont="1" applyFill="1" applyBorder="1" applyAlignment="1"/>
    <xf numFmtId="0" fontId="108" fillId="0" borderId="0" xfId="67" applyFont="1"/>
    <xf numFmtId="0" fontId="104" fillId="0" borderId="0" xfId="67" applyFont="1"/>
    <xf numFmtId="38" fontId="104" fillId="28" borderId="50" xfId="60" applyNumberFormat="1" applyFont="1" applyFill="1" applyBorder="1" applyAlignment="1"/>
    <xf numFmtId="0" fontId="114" fillId="0" borderId="0" xfId="67" applyFont="1"/>
    <xf numFmtId="0" fontId="115" fillId="0" borderId="0" xfId="67" applyFont="1"/>
    <xf numFmtId="0" fontId="116" fillId="0" borderId="0" xfId="67" applyFont="1"/>
    <xf numFmtId="169" fontId="15" fillId="0" borderId="0" xfId="68" applyNumberFormat="1" applyFont="1" applyFill="1" applyBorder="1" applyAlignment="1"/>
    <xf numFmtId="169" fontId="101" fillId="0" borderId="0" xfId="68" applyNumberFormat="1" applyFont="1" applyFill="1" applyBorder="1" applyAlignment="1">
      <alignment horizontal="center"/>
    </xf>
    <xf numFmtId="169" fontId="117" fillId="0" borderId="0" xfId="68" applyNumberFormat="1" applyFont="1" applyFill="1" applyBorder="1" applyAlignment="1">
      <alignment horizontal="right"/>
    </xf>
    <xf numFmtId="37" fontId="101" fillId="0" borderId="0" xfId="60" applyNumberFormat="1" applyFont="1" applyFill="1" applyBorder="1" applyAlignment="1"/>
    <xf numFmtId="38" fontId="101" fillId="0" borderId="3" xfId="60" applyNumberFormat="1" applyFont="1" applyFill="1" applyBorder="1" applyAlignment="1"/>
    <xf numFmtId="37" fontId="101" fillId="0" borderId="3" xfId="60" applyNumberFormat="1" applyFont="1" applyFill="1" applyBorder="1" applyAlignment="1"/>
    <xf numFmtId="0" fontId="113" fillId="0" borderId="0" xfId="67" applyFont="1" applyFill="1"/>
    <xf numFmtId="0" fontId="100" fillId="0" borderId="0" xfId="67" applyFill="1"/>
    <xf numFmtId="38" fontId="104" fillId="0" borderId="0" xfId="60" applyNumberFormat="1" applyFont="1" applyFill="1" applyBorder="1" applyAlignment="1"/>
    <xf numFmtId="0" fontId="118" fillId="0" borderId="0" xfId="67" applyFont="1" applyAlignment="1"/>
    <xf numFmtId="0" fontId="116" fillId="0" borderId="0" xfId="67" applyFont="1" applyAlignment="1"/>
    <xf numFmtId="0" fontId="114" fillId="0" borderId="0" xfId="67" applyFont="1" applyAlignment="1"/>
    <xf numFmtId="0" fontId="119" fillId="0" borderId="0" xfId="67" applyFont="1"/>
    <xf numFmtId="0" fontId="120" fillId="0" borderId="0" xfId="67" applyFont="1"/>
    <xf numFmtId="38" fontId="101" fillId="20" borderId="3" xfId="60" applyNumberFormat="1" applyFont="1" applyFill="1" applyBorder="1" applyAlignment="1"/>
    <xf numFmtId="38" fontId="104" fillId="0" borderId="40" xfId="60" applyNumberFormat="1" applyFont="1" applyFill="1" applyBorder="1" applyAlignment="1"/>
    <xf numFmtId="169" fontId="15" fillId="0" borderId="0" xfId="67" applyNumberFormat="1" applyFont="1" applyFill="1"/>
    <xf numFmtId="38" fontId="104" fillId="29" borderId="55" xfId="60" applyNumberFormat="1" applyFont="1" applyFill="1" applyBorder="1" applyAlignment="1"/>
    <xf numFmtId="38" fontId="104" fillId="28" borderId="55" xfId="60" applyNumberFormat="1" applyFont="1" applyFill="1" applyBorder="1" applyAlignment="1"/>
    <xf numFmtId="38" fontId="104" fillId="28" borderId="56" xfId="60" applyNumberFormat="1" applyFont="1" applyFill="1" applyBorder="1" applyAlignment="1"/>
    <xf numFmtId="38" fontId="104" fillId="0" borderId="54" xfId="60" applyNumberFormat="1" applyFont="1" applyFill="1" applyBorder="1" applyAlignment="1"/>
    <xf numFmtId="3" fontId="101" fillId="0" borderId="0" xfId="68" applyNumberFormat="1" applyFont="1" applyFill="1"/>
    <xf numFmtId="191" fontId="15" fillId="0" borderId="0" xfId="68" applyNumberFormat="1" applyFont="1" applyFill="1"/>
    <xf numFmtId="191" fontId="101" fillId="0" borderId="0" xfId="68" applyNumberFormat="1" applyFont="1" applyFill="1"/>
    <xf numFmtId="3" fontId="15" fillId="0" borderId="0" xfId="68" applyNumberFormat="1" applyFont="1" applyFill="1"/>
    <xf numFmtId="0" fontId="27" fillId="0" borderId="0" xfId="67" applyFont="1" applyAlignment="1">
      <alignment horizontal="left"/>
    </xf>
    <xf numFmtId="0" fontId="15" fillId="0" borderId="0" xfId="67" applyFont="1" applyFill="1"/>
    <xf numFmtId="2" fontId="104" fillId="23" borderId="54" xfId="67" applyNumberFormat="1" applyFont="1" applyFill="1" applyBorder="1" applyAlignment="1">
      <alignment horizontal="center"/>
    </xf>
    <xf numFmtId="191" fontId="15" fillId="23" borderId="54" xfId="68" applyNumberFormat="1" applyFont="1" applyFill="1" applyBorder="1"/>
    <xf numFmtId="3" fontId="15" fillId="23" borderId="54" xfId="68" applyNumberFormat="1" applyFont="1" applyFill="1" applyBorder="1"/>
    <xf numFmtId="38" fontId="104" fillId="0" borderId="50" xfId="60" applyNumberFormat="1" applyFont="1" applyFill="1" applyBorder="1" applyAlignment="1"/>
    <xf numFmtId="191" fontId="104" fillId="0" borderId="0" xfId="68" applyNumberFormat="1" applyFont="1" applyFill="1"/>
    <xf numFmtId="38" fontId="15" fillId="0" borderId="54" xfId="60" applyNumberFormat="1" applyFont="1" applyFill="1" applyBorder="1" applyAlignment="1"/>
    <xf numFmtId="0" fontId="102" fillId="30" borderId="0" xfId="67" applyFont="1" applyFill="1" applyBorder="1"/>
    <xf numFmtId="0" fontId="113" fillId="30" borderId="0" xfId="67" applyFont="1" applyFill="1"/>
    <xf numFmtId="0" fontId="101" fillId="30" borderId="0" xfId="67" applyFont="1" applyFill="1"/>
    <xf numFmtId="0" fontId="108" fillId="30" borderId="0" xfId="67" applyFont="1" applyFill="1" applyBorder="1"/>
    <xf numFmtId="0" fontId="113" fillId="30" borderId="0" xfId="67" applyFont="1" applyFill="1" applyBorder="1"/>
    <xf numFmtId="0" fontId="101" fillId="0" borderId="57" xfId="67" applyFont="1" applyBorder="1"/>
    <xf numFmtId="0" fontId="101" fillId="0" borderId="58" xfId="67" applyFont="1" applyBorder="1"/>
    <xf numFmtId="0" fontId="101" fillId="0" borderId="8" xfId="67" applyFont="1" applyBorder="1"/>
    <xf numFmtId="189" fontId="101" fillId="0" borderId="59" xfId="60" applyNumberFormat="1" applyFont="1" applyFill="1" applyBorder="1"/>
    <xf numFmtId="189" fontId="15" fillId="0" borderId="54" xfId="60" applyNumberFormat="1" applyFont="1" applyFill="1" applyBorder="1"/>
    <xf numFmtId="0" fontId="101" fillId="0" borderId="60" xfId="67" applyFont="1" applyBorder="1"/>
    <xf numFmtId="0" fontId="101" fillId="0" borderId="61" xfId="67" applyFont="1" applyBorder="1"/>
    <xf numFmtId="189" fontId="101" fillId="0" borderId="54" xfId="60" applyNumberFormat="1" applyFont="1" applyFill="1" applyBorder="1"/>
    <xf numFmtId="0" fontId="101" fillId="0" borderId="0" xfId="67" applyFont="1" applyFill="1" applyBorder="1"/>
    <xf numFmtId="189" fontId="15" fillId="22" borderId="54" xfId="60" applyNumberFormat="1" applyFont="1" applyFill="1" applyBorder="1"/>
    <xf numFmtId="0" fontId="101" fillId="0" borderId="62" xfId="67" applyFont="1" applyBorder="1"/>
    <xf numFmtId="0" fontId="101" fillId="0" borderId="3" xfId="67" applyFont="1" applyBorder="1"/>
    <xf numFmtId="0" fontId="101" fillId="0" borderId="3" xfId="67" applyFont="1" applyFill="1" applyBorder="1"/>
    <xf numFmtId="189" fontId="101" fillId="0" borderId="63" xfId="60" applyNumberFormat="1" applyFont="1" applyFill="1" applyBorder="1"/>
    <xf numFmtId="0" fontId="108" fillId="30" borderId="0" xfId="67" applyFont="1" applyFill="1"/>
    <xf numFmtId="0" fontId="108" fillId="0" borderId="0" xfId="67" applyFont="1" applyFill="1"/>
    <xf numFmtId="0" fontId="104" fillId="0" borderId="0" xfId="67" applyFont="1" applyFill="1"/>
    <xf numFmtId="189" fontId="104" fillId="30" borderId="64" xfId="60" applyNumberFormat="1" applyFont="1" applyFill="1" applyBorder="1"/>
    <xf numFmtId="0" fontId="121" fillId="0" borderId="0" xfId="67" applyFont="1"/>
    <xf numFmtId="0" fontId="122" fillId="0" borderId="0" xfId="67" applyFont="1"/>
    <xf numFmtId="0" fontId="101" fillId="30" borderId="0" xfId="67" applyFont="1" applyFill="1" applyBorder="1"/>
    <xf numFmtId="0" fontId="101" fillId="30" borderId="65" xfId="67" applyFont="1" applyFill="1" applyBorder="1"/>
    <xf numFmtId="0" fontId="113" fillId="30" borderId="66" xfId="67" applyFont="1" applyFill="1" applyBorder="1"/>
    <xf numFmtId="0" fontId="101" fillId="30" borderId="66" xfId="67" applyFont="1" applyFill="1" applyBorder="1"/>
    <xf numFmtId="0" fontId="101" fillId="30" borderId="67" xfId="67" applyFont="1" applyFill="1" applyBorder="1"/>
    <xf numFmtId="0" fontId="113" fillId="0" borderId="0" xfId="67" applyFont="1" applyFill="1" applyBorder="1"/>
    <xf numFmtId="0" fontId="108" fillId="30" borderId="67" xfId="67" applyFont="1" applyFill="1" applyBorder="1"/>
    <xf numFmtId="169" fontId="101" fillId="30" borderId="54" xfId="68" applyNumberFormat="1" applyFont="1" applyFill="1" applyBorder="1" applyAlignment="1">
      <alignment horizontal="right"/>
    </xf>
    <xf numFmtId="169" fontId="101" fillId="0" borderId="54" xfId="68" applyNumberFormat="1" applyFont="1" applyFill="1" applyBorder="1" applyAlignment="1">
      <alignment horizontal="right"/>
    </xf>
    <xf numFmtId="169" fontId="123" fillId="30" borderId="54" xfId="68" applyNumberFormat="1" applyFont="1" applyFill="1" applyBorder="1"/>
    <xf numFmtId="169" fontId="123" fillId="30" borderId="54" xfId="69" applyNumberFormat="1" applyFont="1" applyFill="1" applyBorder="1" applyAlignment="1">
      <alignment horizontal="right"/>
    </xf>
    <xf numFmtId="0" fontId="113" fillId="0" borderId="67" xfId="67" applyFont="1" applyFill="1" applyBorder="1"/>
    <xf numFmtId="0" fontId="104" fillId="30" borderId="0" xfId="67" applyFont="1" applyFill="1" applyBorder="1"/>
    <xf numFmtId="0" fontId="104" fillId="30" borderId="67" xfId="67" applyFont="1" applyFill="1" applyBorder="1"/>
    <xf numFmtId="0" fontId="108" fillId="30" borderId="0" xfId="67" applyFont="1" applyFill="1" applyBorder="1" applyAlignment="1">
      <alignment horizontal="left"/>
    </xf>
    <xf numFmtId="0" fontId="113" fillId="30" borderId="0" xfId="67" quotePrefix="1" applyFont="1" applyFill="1" applyBorder="1" applyAlignment="1">
      <alignment horizontal="left"/>
    </xf>
    <xf numFmtId="0" fontId="101" fillId="30" borderId="68" xfId="67" applyFont="1" applyFill="1" applyBorder="1"/>
    <xf numFmtId="0" fontId="113" fillId="30" borderId="69" xfId="67" applyFont="1" applyFill="1" applyBorder="1"/>
    <xf numFmtId="0" fontId="101" fillId="30" borderId="69" xfId="67" applyFont="1" applyFill="1" applyBorder="1"/>
    <xf numFmtId="0" fontId="101" fillId="0" borderId="69" xfId="67" applyFont="1" applyFill="1" applyBorder="1"/>
    <xf numFmtId="0" fontId="101" fillId="0" borderId="65" xfId="67" applyFont="1" applyFill="1" applyBorder="1"/>
    <xf numFmtId="0" fontId="113" fillId="0" borderId="66" xfId="67" applyFont="1" applyFill="1" applyBorder="1"/>
    <xf numFmtId="0" fontId="101" fillId="0" borderId="66" xfId="67" applyFont="1" applyFill="1" applyBorder="1"/>
    <xf numFmtId="0" fontId="108" fillId="0" borderId="66" xfId="67" applyFont="1" applyFill="1" applyBorder="1"/>
    <xf numFmtId="0" fontId="104" fillId="0" borderId="66" xfId="67" applyFont="1" applyFill="1" applyBorder="1"/>
    <xf numFmtId="0" fontId="101" fillId="0" borderId="67" xfId="67" applyFont="1" applyFill="1" applyBorder="1"/>
    <xf numFmtId="186" fontId="101" fillId="0" borderId="54" xfId="60" applyNumberFormat="1" applyFont="1" applyFill="1" applyBorder="1"/>
    <xf numFmtId="186" fontId="123" fillId="0" borderId="54" xfId="60" applyNumberFormat="1" applyFont="1" applyFill="1" applyBorder="1"/>
    <xf numFmtId="186" fontId="124" fillId="0" borderId="54" xfId="60" applyNumberFormat="1" applyFont="1" applyFill="1" applyBorder="1"/>
    <xf numFmtId="0" fontId="104" fillId="0" borderId="67" xfId="67" applyFont="1" applyFill="1" applyBorder="1"/>
    <xf numFmtId="0" fontId="108" fillId="0" borderId="0" xfId="67" applyFont="1" applyFill="1" applyBorder="1" applyAlignment="1">
      <alignment horizontal="left"/>
    </xf>
    <xf numFmtId="38" fontId="104" fillId="0" borderId="54" xfId="67" applyNumberFormat="1" applyFont="1" applyFill="1" applyBorder="1"/>
    <xf numFmtId="0" fontId="113" fillId="0" borderId="0" xfId="67" quotePrefix="1" applyFont="1" applyFill="1" applyBorder="1" applyAlignment="1">
      <alignment horizontal="left"/>
    </xf>
    <xf numFmtId="0" fontId="101" fillId="0" borderId="0" xfId="67" applyFont="1" applyFill="1" applyBorder="1" applyAlignment="1">
      <alignment horizontal="left"/>
    </xf>
    <xf numFmtId="192" fontId="101" fillId="0" borderId="54" xfId="67" applyNumberFormat="1" applyFont="1" applyFill="1" applyBorder="1"/>
    <xf numFmtId="0" fontId="101" fillId="0" borderId="68" xfId="67" applyFont="1" applyFill="1" applyBorder="1"/>
    <xf numFmtId="0" fontId="115" fillId="0" borderId="69" xfId="67" applyFont="1" applyFill="1" applyBorder="1" applyAlignment="1">
      <alignment horizontal="left"/>
    </xf>
    <xf numFmtId="0" fontId="101" fillId="0" borderId="69" xfId="67" applyFont="1" applyFill="1" applyBorder="1" applyAlignment="1">
      <alignment horizontal="left"/>
    </xf>
    <xf numFmtId="38" fontId="101" fillId="0" borderId="69" xfId="67" applyNumberFormat="1" applyFont="1" applyFill="1" applyBorder="1"/>
    <xf numFmtId="193" fontId="101" fillId="0" borderId="69" xfId="67" applyNumberFormat="1" applyFont="1" applyFill="1" applyBorder="1"/>
    <xf numFmtId="169" fontId="15" fillId="0" borderId="69" xfId="68" applyNumberFormat="1" applyFont="1" applyFill="1" applyBorder="1" applyAlignment="1">
      <alignment horizontal="center"/>
    </xf>
    <xf numFmtId="169" fontId="125" fillId="0" borderId="70" xfId="69" applyNumberFormat="1" applyFont="1" applyFill="1" applyBorder="1"/>
    <xf numFmtId="0" fontId="113" fillId="30" borderId="0" xfId="67" applyFont="1" applyFill="1" applyBorder="1" applyAlignment="1">
      <alignment horizontal="left"/>
    </xf>
    <xf numFmtId="0" fontId="101" fillId="30" borderId="0" xfId="67" applyFont="1" applyFill="1" applyBorder="1" applyAlignment="1">
      <alignment horizontal="left"/>
    </xf>
    <xf numFmtId="38" fontId="101" fillId="30" borderId="0" xfId="67" applyNumberFormat="1" applyFont="1" applyFill="1" applyBorder="1"/>
    <xf numFmtId="169" fontId="101" fillId="30" borderId="0" xfId="68" applyNumberFormat="1" applyFont="1" applyFill="1" applyBorder="1" applyAlignment="1">
      <alignment horizontal="center"/>
    </xf>
    <xf numFmtId="38" fontId="101" fillId="0" borderId="0" xfId="67" applyNumberFormat="1" applyFont="1" applyFill="1" applyBorder="1"/>
    <xf numFmtId="0" fontId="113" fillId="30" borderId="66" xfId="67" applyFont="1" applyFill="1" applyBorder="1" applyAlignment="1">
      <alignment horizontal="left"/>
    </xf>
    <xf numFmtId="0" fontId="101" fillId="30" borderId="66" xfId="67" applyFont="1" applyFill="1" applyBorder="1" applyAlignment="1">
      <alignment horizontal="left"/>
    </xf>
    <xf numFmtId="38" fontId="101" fillId="30" borderId="66" xfId="67" applyNumberFormat="1" applyFont="1" applyFill="1" applyBorder="1"/>
    <xf numFmtId="169" fontId="101" fillId="30" borderId="66" xfId="68" applyNumberFormat="1" applyFont="1" applyFill="1" applyBorder="1" applyAlignment="1">
      <alignment horizontal="center"/>
    </xf>
    <xf numFmtId="169" fontId="101" fillId="0" borderId="66" xfId="68" applyNumberFormat="1" applyFont="1" applyFill="1" applyBorder="1" applyAlignment="1">
      <alignment horizontal="center"/>
    </xf>
    <xf numFmtId="38" fontId="101" fillId="0" borderId="66" xfId="67" applyNumberFormat="1" applyFont="1" applyFill="1" applyBorder="1"/>
    <xf numFmtId="0" fontId="126" fillId="0" borderId="0" xfId="67" applyFont="1" applyFill="1" applyBorder="1"/>
    <xf numFmtId="0" fontId="126" fillId="30" borderId="0" xfId="67" applyFont="1" applyFill="1" applyBorder="1"/>
    <xf numFmtId="169" fontId="101" fillId="30" borderId="54" xfId="68" applyNumberFormat="1" applyFont="1" applyFill="1" applyBorder="1"/>
    <xf numFmtId="169" fontId="123" fillId="0" borderId="54" xfId="69" applyNumberFormat="1" applyFont="1" applyFill="1" applyBorder="1"/>
    <xf numFmtId="169" fontId="15" fillId="30" borderId="54" xfId="68" applyNumberFormat="1" applyFont="1" applyFill="1" applyBorder="1" applyAlignment="1">
      <alignment horizontal="right"/>
    </xf>
    <xf numFmtId="169" fontId="15" fillId="0" borderId="54" xfId="68" applyNumberFormat="1" applyFont="1" applyFill="1" applyBorder="1" applyAlignment="1">
      <alignment horizontal="right"/>
    </xf>
    <xf numFmtId="169" fontId="123" fillId="30" borderId="54" xfId="69" applyNumberFormat="1" applyFont="1" applyFill="1" applyBorder="1"/>
    <xf numFmtId="186" fontId="101" fillId="30" borderId="69" xfId="67" applyNumberFormat="1" applyFont="1" applyFill="1" applyBorder="1"/>
    <xf numFmtId="186" fontId="101" fillId="0" borderId="69" xfId="67" applyNumberFormat="1" applyFont="1" applyFill="1" applyBorder="1"/>
    <xf numFmtId="186" fontId="126" fillId="0" borderId="69" xfId="67" applyNumberFormat="1" applyFont="1" applyFill="1" applyBorder="1"/>
    <xf numFmtId="186" fontId="126" fillId="30" borderId="69" xfId="67" applyNumberFormat="1" applyFont="1" applyFill="1" applyBorder="1"/>
    <xf numFmtId="186" fontId="101" fillId="30" borderId="0" xfId="67" applyNumberFormat="1" applyFont="1" applyFill="1" applyBorder="1"/>
    <xf numFmtId="186" fontId="101" fillId="0" borderId="0" xfId="67" applyNumberFormat="1" applyFont="1" applyFill="1" applyBorder="1"/>
    <xf numFmtId="186" fontId="126" fillId="0" borderId="0" xfId="67" applyNumberFormat="1" applyFont="1" applyFill="1" applyBorder="1"/>
    <xf numFmtId="186" fontId="126" fillId="30" borderId="0" xfId="67" applyNumberFormat="1" applyFont="1" applyFill="1" applyBorder="1"/>
    <xf numFmtId="186" fontId="101" fillId="30" borderId="66" xfId="67" applyNumberFormat="1" applyFont="1" applyFill="1" applyBorder="1"/>
    <xf numFmtId="186" fontId="101" fillId="0" borderId="66" xfId="67" applyNumberFormat="1" applyFont="1" applyFill="1" applyBorder="1"/>
    <xf numFmtId="186" fontId="126" fillId="0" borderId="66" xfId="67" applyNumberFormat="1" applyFont="1" applyFill="1" applyBorder="1"/>
    <xf numFmtId="186" fontId="126" fillId="30" borderId="66" xfId="67" applyNumberFormat="1" applyFont="1" applyFill="1" applyBorder="1"/>
    <xf numFmtId="185" fontId="101" fillId="30" borderId="54" xfId="60" applyNumberFormat="1" applyFont="1" applyFill="1" applyBorder="1"/>
    <xf numFmtId="185" fontId="101" fillId="30" borderId="54" xfId="60" applyNumberFormat="1" applyFont="1" applyFill="1" applyBorder="1" applyAlignment="1"/>
    <xf numFmtId="185" fontId="101" fillId="0" borderId="54" xfId="60" applyNumberFormat="1" applyFont="1" applyFill="1" applyBorder="1" applyAlignment="1"/>
    <xf numFmtId="185" fontId="123" fillId="0" borderId="54" xfId="60" applyNumberFormat="1" applyFont="1" applyFill="1" applyBorder="1"/>
    <xf numFmtId="185" fontId="125" fillId="0" borderId="54" xfId="60" applyNumberFormat="1" applyFont="1" applyFill="1" applyBorder="1"/>
    <xf numFmtId="185" fontId="15" fillId="30" borderId="54" xfId="60" applyNumberFormat="1" applyFont="1" applyFill="1" applyBorder="1" applyAlignment="1"/>
    <xf numFmtId="185" fontId="15" fillId="0" borderId="54" xfId="60" applyNumberFormat="1" applyFont="1" applyFill="1" applyBorder="1" applyAlignment="1"/>
    <xf numFmtId="0" fontId="108" fillId="30" borderId="69" xfId="67" applyFont="1" applyFill="1" applyBorder="1" applyAlignment="1">
      <alignment horizontal="left"/>
    </xf>
    <xf numFmtId="192" fontId="101" fillId="30" borderId="54" xfId="60" applyNumberFormat="1" applyFont="1" applyFill="1" applyBorder="1"/>
    <xf numFmtId="192" fontId="101" fillId="0" borderId="54" xfId="60" applyNumberFormat="1" applyFont="1" applyFill="1" applyBorder="1"/>
    <xf numFmtId="192" fontId="101" fillId="22" borderId="54" xfId="60" applyNumberFormat="1" applyFont="1" applyFill="1" applyBorder="1"/>
    <xf numFmtId="169" fontId="104" fillId="30" borderId="0" xfId="68" applyNumberFormat="1" applyFont="1" applyFill="1" applyBorder="1" applyAlignment="1">
      <alignment horizontal="center"/>
    </xf>
    <xf numFmtId="192" fontId="104" fillId="30" borderId="54" xfId="60" applyNumberFormat="1" applyFont="1" applyFill="1" applyBorder="1"/>
    <xf numFmtId="192" fontId="104" fillId="0" borderId="54" xfId="60" applyNumberFormat="1" applyFont="1" applyFill="1" applyBorder="1"/>
    <xf numFmtId="0" fontId="108" fillId="14" borderId="0" xfId="67" applyFont="1" applyFill="1" applyBorder="1"/>
    <xf numFmtId="169" fontId="101" fillId="30" borderId="0" xfId="68" applyNumberFormat="1" applyFont="1" applyFill="1" applyBorder="1" applyAlignment="1">
      <alignment horizontal="right"/>
    </xf>
    <xf numFmtId="169" fontId="101" fillId="0" borderId="0" xfId="68" applyNumberFormat="1" applyFont="1" applyFill="1" applyBorder="1" applyAlignment="1">
      <alignment horizontal="right"/>
    </xf>
    <xf numFmtId="169" fontId="104" fillId="30" borderId="0" xfId="68" applyNumberFormat="1" applyFont="1" applyFill="1" applyBorder="1" applyAlignment="1">
      <alignment horizontal="right"/>
    </xf>
    <xf numFmtId="37" fontId="101" fillId="30" borderId="69" xfId="67" applyNumberFormat="1" applyFont="1" applyFill="1" applyBorder="1"/>
    <xf numFmtId="37" fontId="101" fillId="0" borderId="69" xfId="67" applyNumberFormat="1" applyFont="1" applyFill="1" applyBorder="1"/>
    <xf numFmtId="37" fontId="101" fillId="30" borderId="0" xfId="67" applyNumberFormat="1" applyFont="1" applyFill="1" applyBorder="1"/>
    <xf numFmtId="37" fontId="101" fillId="0" borderId="0" xfId="67" applyNumberFormat="1" applyFont="1" applyFill="1" applyBorder="1"/>
    <xf numFmtId="192" fontId="101" fillId="0" borderId="71" xfId="60" applyNumberFormat="1" applyFont="1" applyFill="1" applyBorder="1"/>
    <xf numFmtId="0" fontId="108" fillId="0" borderId="0" xfId="67" applyFont="1" applyFill="1" applyBorder="1"/>
    <xf numFmtId="0" fontId="104" fillId="0" borderId="0" xfId="67" applyFont="1" applyFill="1" applyBorder="1"/>
    <xf numFmtId="192" fontId="101" fillId="0" borderId="54" xfId="60" applyNumberFormat="1" applyFont="1" applyFill="1" applyBorder="1" applyAlignment="1">
      <alignment horizontal="center"/>
    </xf>
    <xf numFmtId="169" fontId="104" fillId="0" borderId="0" xfId="68" applyNumberFormat="1" applyFont="1" applyFill="1" applyBorder="1" applyAlignment="1">
      <alignment horizontal="right"/>
    </xf>
    <xf numFmtId="0" fontId="113" fillId="0" borderId="0" xfId="67" applyFont="1" applyFill="1" applyBorder="1" applyAlignment="1">
      <alignment horizontal="left"/>
    </xf>
    <xf numFmtId="37" fontId="101" fillId="30" borderId="69" xfId="67" applyNumberFormat="1" applyFont="1" applyFill="1" applyBorder="1" applyAlignment="1">
      <alignment horizontal="center"/>
    </xf>
    <xf numFmtId="192" fontId="101" fillId="0" borderId="0" xfId="67" applyNumberFormat="1" applyFont="1"/>
    <xf numFmtId="169" fontId="101" fillId="0" borderId="54" xfId="68" applyNumberFormat="1" applyFont="1" applyFill="1" applyBorder="1"/>
    <xf numFmtId="169" fontId="101" fillId="20" borderId="54" xfId="68" applyNumberFormat="1" applyFont="1" applyFill="1" applyBorder="1"/>
    <xf numFmtId="192" fontId="101" fillId="31" borderId="54" xfId="60" applyNumberFormat="1" applyFont="1" applyFill="1" applyBorder="1"/>
    <xf numFmtId="0" fontId="7" fillId="0" borderId="0" xfId="67" applyFont="1" applyFill="1"/>
    <xf numFmtId="0" fontId="103" fillId="0" borderId="0" xfId="67" applyFont="1" applyFill="1" applyBorder="1" applyAlignment="1">
      <alignment horizontal="right"/>
    </xf>
    <xf numFmtId="0" fontId="127" fillId="0" borderId="0" xfId="67" applyFont="1" applyFill="1" applyBorder="1" applyAlignment="1"/>
    <xf numFmtId="0" fontId="128" fillId="0" borderId="0" xfId="67" applyFont="1" applyFill="1" applyBorder="1" applyAlignment="1">
      <alignment horizontal="centerContinuous"/>
    </xf>
    <xf numFmtId="0" fontId="129" fillId="0" borderId="0" xfId="67" applyFont="1" applyFill="1" applyBorder="1" applyAlignment="1"/>
    <xf numFmtId="0" fontId="130" fillId="0" borderId="0" xfId="67" applyFont="1" applyFill="1" applyBorder="1" applyAlignment="1">
      <alignment horizontal="centerContinuous"/>
    </xf>
    <xf numFmtId="49" fontId="27" fillId="27" borderId="54" xfId="60" applyNumberFormat="1" applyFont="1" applyFill="1" applyBorder="1" applyAlignment="1">
      <alignment horizontal="center" wrapText="1"/>
    </xf>
    <xf numFmtId="0" fontId="121" fillId="0" borderId="0" xfId="67" applyFont="1" applyAlignment="1">
      <alignment horizontal="center"/>
    </xf>
    <xf numFmtId="0" fontId="120" fillId="0" borderId="0" xfId="67" applyFont="1" applyAlignment="1">
      <alignment horizontal="center"/>
    </xf>
    <xf numFmtId="0" fontId="120" fillId="0" borderId="0" xfId="67" applyFont="1" applyFill="1" applyAlignment="1">
      <alignment horizontal="center"/>
    </xf>
    <xf numFmtId="192" fontId="120" fillId="0" borderId="0" xfId="67" applyNumberFormat="1" applyFont="1" applyAlignment="1">
      <alignment horizontal="center"/>
    </xf>
    <xf numFmtId="0" fontId="104" fillId="0" borderId="0" xfId="67" applyFont="1" applyAlignment="1">
      <alignment horizontal="left"/>
    </xf>
    <xf numFmtId="192" fontId="101" fillId="30" borderId="0" xfId="67" applyNumberFormat="1" applyFont="1" applyFill="1"/>
    <xf numFmtId="192" fontId="101" fillId="0" borderId="0" xfId="67" applyNumberFormat="1" applyFont="1" applyFill="1"/>
    <xf numFmtId="192" fontId="101" fillId="20" borderId="0" xfId="67" applyNumberFormat="1" applyFont="1" applyFill="1"/>
    <xf numFmtId="192" fontId="100" fillId="0" borderId="0" xfId="67" applyNumberFormat="1"/>
    <xf numFmtId="192" fontId="101" fillId="0" borderId="3" xfId="67" applyNumberFormat="1" applyFont="1" applyFill="1" applyBorder="1"/>
    <xf numFmtId="192" fontId="101" fillId="30" borderId="3" xfId="67" applyNumberFormat="1" applyFont="1" applyFill="1" applyBorder="1"/>
    <xf numFmtId="0" fontId="7" fillId="0" borderId="0" xfId="67" applyFont="1"/>
    <xf numFmtId="192" fontId="101" fillId="0" borderId="0" xfId="67" applyNumberFormat="1" applyFont="1" applyFill="1" applyBorder="1"/>
    <xf numFmtId="192" fontId="101" fillId="30" borderId="0" xfId="67" applyNumberFormat="1" applyFont="1" applyFill="1" applyBorder="1"/>
    <xf numFmtId="192" fontId="131" fillId="0" borderId="0" xfId="67" applyNumberFormat="1" applyFont="1" applyFill="1" applyBorder="1"/>
    <xf numFmtId="192" fontId="131" fillId="0" borderId="0" xfId="67" applyNumberFormat="1" applyFont="1" applyFill="1"/>
    <xf numFmtId="192" fontId="131" fillId="30" borderId="0" xfId="67" applyNumberFormat="1" applyFont="1" applyFill="1"/>
    <xf numFmtId="0" fontId="27" fillId="0" borderId="0" xfId="67" applyFont="1"/>
    <xf numFmtId="192" fontId="104" fillId="0" borderId="0" xfId="67" applyNumberFormat="1" applyFont="1" applyFill="1" applyBorder="1"/>
    <xf numFmtId="192" fontId="104" fillId="30" borderId="0" xfId="67" applyNumberFormat="1" applyFont="1" applyFill="1" applyBorder="1"/>
    <xf numFmtId="192" fontId="104" fillId="0" borderId="40" xfId="67" applyNumberFormat="1" applyFont="1" applyFill="1" applyBorder="1"/>
    <xf numFmtId="192" fontId="104" fillId="30" borderId="40" xfId="67" applyNumberFormat="1" applyFont="1" applyFill="1" applyBorder="1"/>
    <xf numFmtId="0" fontId="132" fillId="0" borderId="0" xfId="67" applyFont="1"/>
    <xf numFmtId="192" fontId="104" fillId="0" borderId="0" xfId="67" applyNumberFormat="1" applyFont="1" applyFill="1"/>
    <xf numFmtId="192" fontId="104" fillId="30" borderId="0" xfId="67" applyNumberFormat="1" applyFont="1" applyFill="1"/>
    <xf numFmtId="37" fontId="101" fillId="0" borderId="0" xfId="67" applyNumberFormat="1" applyFont="1" applyFill="1" applyProtection="1"/>
    <xf numFmtId="192" fontId="133" fillId="0" borderId="0" xfId="67" applyNumberFormat="1" applyFont="1" applyAlignment="1"/>
    <xf numFmtId="192" fontId="134" fillId="0" borderId="0" xfId="67" applyNumberFormat="1" applyFont="1" applyFill="1" applyAlignment="1"/>
    <xf numFmtId="192" fontId="133" fillId="0" borderId="0" xfId="67" applyNumberFormat="1" applyFont="1" applyFill="1" applyAlignment="1"/>
    <xf numFmtId="192" fontId="133" fillId="0" borderId="0" xfId="67" applyNumberFormat="1" applyFont="1" applyFill="1" applyBorder="1"/>
    <xf numFmtId="192" fontId="135" fillId="0" borderId="0" xfId="67" applyNumberFormat="1" applyFont="1"/>
    <xf numFmtId="0" fontId="27" fillId="0" borderId="54" xfId="67" applyFont="1" applyFill="1" applyBorder="1"/>
    <xf numFmtId="192" fontId="27" fillId="0" borderId="54" xfId="67" applyNumberFormat="1" applyFont="1" applyFill="1" applyBorder="1"/>
    <xf numFmtId="192" fontId="136" fillId="0" borderId="54" xfId="67" applyNumberFormat="1" applyFont="1" applyFill="1" applyBorder="1"/>
    <xf numFmtId="192" fontId="136" fillId="0" borderId="0" xfId="67" applyNumberFormat="1" applyFont="1"/>
    <xf numFmtId="194" fontId="27" fillId="0" borderId="54" xfId="67" applyNumberFormat="1" applyFont="1" applyFill="1" applyBorder="1"/>
    <xf numFmtId="192" fontId="137" fillId="0" borderId="0" xfId="67" applyNumberFormat="1" applyFont="1"/>
    <xf numFmtId="192" fontId="136" fillId="0" borderId="0" xfId="67" applyNumberFormat="1" applyFont="1" applyFill="1"/>
    <xf numFmtId="192" fontId="137" fillId="0" borderId="0" xfId="67" applyNumberFormat="1" applyFont="1" applyFill="1"/>
    <xf numFmtId="194" fontId="137" fillId="0" borderId="0" xfId="67" applyNumberFormat="1" applyFont="1"/>
    <xf numFmtId="194" fontId="137" fillId="0" borderId="0" xfId="67" applyNumberFormat="1" applyFont="1" applyFill="1"/>
    <xf numFmtId="0" fontId="107" fillId="0" borderId="61" xfId="67" applyFont="1" applyFill="1" applyBorder="1" applyAlignment="1">
      <alignment horizontal="center"/>
    </xf>
    <xf numFmtId="49" fontId="138" fillId="25" borderId="52" xfId="60" applyNumberFormat="1" applyFont="1" applyFill="1" applyBorder="1" applyAlignment="1">
      <alignment horizontal="center" wrapText="1"/>
    </xf>
    <xf numFmtId="192" fontId="100" fillId="0" borderId="0" xfId="67" applyNumberFormat="1" applyFill="1"/>
    <xf numFmtId="0" fontId="103" fillId="0" borderId="56" xfId="67" applyFont="1" applyFill="1" applyBorder="1" applyAlignment="1"/>
    <xf numFmtId="192" fontId="100" fillId="0" borderId="72" xfId="67" applyNumberFormat="1" applyBorder="1"/>
    <xf numFmtId="192" fontId="130" fillId="0" borderId="0" xfId="67" applyNumberFormat="1" applyFont="1" applyFill="1" applyBorder="1" applyAlignment="1"/>
    <xf numFmtId="0" fontId="27" fillId="0" borderId="0" xfId="67" applyFont="1" applyProtection="1"/>
    <xf numFmtId="0" fontId="7" fillId="0" borderId="0" xfId="67" applyFont="1" applyProtection="1"/>
    <xf numFmtId="192" fontId="101" fillId="0" borderId="50" xfId="67" applyNumberFormat="1" applyFont="1" applyFill="1" applyBorder="1" applyAlignment="1">
      <alignment horizontal="center"/>
    </xf>
    <xf numFmtId="37" fontId="123" fillId="0" borderId="50" xfId="67" applyNumberFormat="1" applyFont="1" applyFill="1" applyBorder="1" applyAlignment="1" applyProtection="1">
      <alignment horizontal="center"/>
      <protection locked="0"/>
    </xf>
    <xf numFmtId="37" fontId="123" fillId="22" borderId="50" xfId="67" applyNumberFormat="1" applyFont="1" applyFill="1" applyBorder="1" applyAlignment="1" applyProtection="1">
      <alignment horizontal="center"/>
      <protection locked="0"/>
    </xf>
    <xf numFmtId="1" fontId="101" fillId="0" borderId="50" xfId="67" applyNumberFormat="1" applyFont="1" applyFill="1" applyBorder="1" applyAlignment="1">
      <alignment horizontal="center"/>
    </xf>
    <xf numFmtId="192" fontId="128" fillId="0" borderId="0" xfId="67" applyNumberFormat="1" applyFont="1" applyFill="1" applyBorder="1" applyAlignment="1"/>
    <xf numFmtId="0" fontId="100" fillId="0" borderId="72" xfId="67" applyBorder="1"/>
    <xf numFmtId="37" fontId="120" fillId="0" borderId="0" xfId="67" applyNumberFormat="1" applyFont="1" applyFill="1" applyAlignment="1">
      <alignment horizontal="center"/>
    </xf>
    <xf numFmtId="37" fontId="101" fillId="0" borderId="0" xfId="67" applyNumberFormat="1" applyFont="1" applyProtection="1"/>
    <xf numFmtId="37" fontId="101" fillId="0" borderId="0" xfId="67" applyNumberFormat="1" applyFont="1" applyFill="1" applyBorder="1" applyProtection="1"/>
    <xf numFmtId="37" fontId="123" fillId="0" borderId="0" xfId="67" applyNumberFormat="1" applyFont="1" applyFill="1" applyBorder="1" applyProtection="1"/>
    <xf numFmtId="37" fontId="104" fillId="0" borderId="0" xfId="67" applyNumberFormat="1" applyFont="1" applyFill="1" applyBorder="1" applyProtection="1"/>
    <xf numFmtId="37" fontId="104" fillId="0" borderId="6" xfId="67" applyNumberFormat="1" applyFont="1" applyFill="1" applyBorder="1" applyProtection="1"/>
    <xf numFmtId="37" fontId="139" fillId="0" borderId="0" xfId="67" applyNumberFormat="1" applyFont="1" applyFill="1" applyBorder="1" applyProtection="1"/>
    <xf numFmtId="0" fontId="100" fillId="0" borderId="0" xfId="67" applyBorder="1"/>
    <xf numFmtId="0" fontId="100" fillId="0" borderId="0" xfId="67" applyFill="1" applyAlignment="1">
      <alignment horizontal="center"/>
    </xf>
    <xf numFmtId="0" fontId="27" fillId="0" borderId="0" xfId="67" applyFont="1" applyFill="1"/>
    <xf numFmtId="0" fontId="100" fillId="0" borderId="0" xfId="67" applyAlignment="1">
      <alignment horizontal="center"/>
    </xf>
    <xf numFmtId="9" fontId="101" fillId="0" borderId="0" xfId="68" applyNumberFormat="1" applyFont="1" applyFill="1"/>
    <xf numFmtId="169" fontId="123" fillId="0" borderId="0" xfId="68" applyNumberFormat="1" applyFont="1" applyFill="1"/>
    <xf numFmtId="9" fontId="123" fillId="0" borderId="0" xfId="68" applyNumberFormat="1" applyFont="1" applyFill="1"/>
    <xf numFmtId="169" fontId="140" fillId="0" borderId="0" xfId="68" applyNumberFormat="1" applyFont="1" applyFill="1"/>
    <xf numFmtId="37" fontId="101" fillId="22" borderId="0" xfId="67" applyNumberFormat="1" applyFont="1" applyFill="1" applyBorder="1" applyProtection="1"/>
    <xf numFmtId="37" fontId="100" fillId="0" borderId="0" xfId="67" applyNumberFormat="1"/>
    <xf numFmtId="0" fontId="100" fillId="0" borderId="9" xfId="67" applyBorder="1"/>
    <xf numFmtId="0" fontId="100" fillId="0" borderId="0" xfId="67" applyFill="1" applyBorder="1"/>
    <xf numFmtId="0" fontId="120" fillId="0" borderId="0" xfId="67" applyFont="1" applyFill="1" applyBorder="1" applyAlignment="1">
      <alignment horizontal="center"/>
    </xf>
    <xf numFmtId="0" fontId="100" fillId="0" borderId="14" xfId="67" applyBorder="1"/>
    <xf numFmtId="0" fontId="142" fillId="0" borderId="73" xfId="67" applyFont="1" applyFill="1" applyBorder="1" applyAlignment="1"/>
    <xf numFmtId="0" fontId="7" fillId="0" borderId="0" xfId="67" applyFont="1" applyFill="1" applyBorder="1"/>
    <xf numFmtId="0" fontId="131" fillId="0" borderId="0" xfId="67" applyFont="1" applyFill="1" applyBorder="1" applyAlignment="1">
      <alignment horizontal="center"/>
    </xf>
    <xf numFmtId="0" fontId="7" fillId="0" borderId="0" xfId="67" applyFont="1" applyBorder="1"/>
    <xf numFmtId="49" fontId="27" fillId="27" borderId="74" xfId="60" applyNumberFormat="1" applyFont="1" applyFill="1" applyBorder="1" applyAlignment="1">
      <alignment horizontal="center" wrapText="1"/>
    </xf>
    <xf numFmtId="49" fontId="7" fillId="26" borderId="74" xfId="60" applyNumberFormat="1" applyFont="1" applyFill="1" applyBorder="1" applyAlignment="1">
      <alignment horizontal="center" wrapText="1"/>
    </xf>
    <xf numFmtId="0" fontId="101" fillId="0" borderId="75" xfId="67" applyFont="1" applyFill="1" applyBorder="1"/>
    <xf numFmtId="0" fontId="101" fillId="0" borderId="54" xfId="67" applyFont="1" applyFill="1" applyBorder="1"/>
    <xf numFmtId="0" fontId="7" fillId="0" borderId="54" xfId="67" applyFont="1" applyFill="1" applyBorder="1"/>
    <xf numFmtId="0" fontId="131" fillId="0" borderId="54" xfId="67" applyFont="1" applyFill="1" applyBorder="1" applyAlignment="1">
      <alignment horizontal="center"/>
    </xf>
    <xf numFmtId="186" fontId="101" fillId="0" borderId="54" xfId="60" applyNumberFormat="1" applyFont="1" applyFill="1" applyBorder="1" applyProtection="1"/>
    <xf numFmtId="186" fontId="101" fillId="0" borderId="76" xfId="60" applyNumberFormat="1" applyFont="1" applyFill="1" applyBorder="1" applyProtection="1"/>
    <xf numFmtId="0" fontId="101" fillId="0" borderId="77" xfId="67" applyFont="1" applyFill="1" applyBorder="1"/>
    <xf numFmtId="0" fontId="101" fillId="0" borderId="63" xfId="67" applyFont="1" applyFill="1" applyBorder="1"/>
    <xf numFmtId="0" fontId="7" fillId="0" borderId="63" xfId="67" applyFont="1" applyFill="1" applyBorder="1"/>
    <xf numFmtId="0" fontId="131" fillId="0" borderId="63" xfId="67" applyFont="1" applyFill="1" applyBorder="1" applyAlignment="1">
      <alignment horizontal="center"/>
    </xf>
    <xf numFmtId="186" fontId="101" fillId="0" borderId="63" xfId="60" applyNumberFormat="1" applyFont="1" applyFill="1" applyBorder="1" applyProtection="1"/>
    <xf numFmtId="0" fontId="131" fillId="0" borderId="0" xfId="67" applyFont="1" applyFill="1" applyAlignment="1">
      <alignment horizontal="center"/>
    </xf>
    <xf numFmtId="186" fontId="101" fillId="0" borderId="51" xfId="60" applyNumberFormat="1" applyFont="1" applyFill="1" applyBorder="1" applyProtection="1"/>
    <xf numFmtId="0" fontId="104" fillId="0" borderId="29" xfId="67" applyFont="1" applyFill="1" applyBorder="1" applyAlignment="1">
      <alignment horizontal="left"/>
    </xf>
    <xf numFmtId="195" fontId="104" fillId="30" borderId="40" xfId="70" applyNumberFormat="1" applyFont="1" applyFill="1" applyBorder="1" applyProtection="1"/>
    <xf numFmtId="0" fontId="100" fillId="30" borderId="0" xfId="67" applyFill="1"/>
    <xf numFmtId="195" fontId="100" fillId="0" borderId="0" xfId="67" applyNumberFormat="1"/>
    <xf numFmtId="43" fontId="0" fillId="0" borderId="0" xfId="60" applyFont="1"/>
    <xf numFmtId="43" fontId="27" fillId="0" borderId="0" xfId="60" applyFont="1"/>
    <xf numFmtId="195" fontId="27" fillId="0" borderId="0" xfId="67" applyNumberFormat="1" applyFont="1"/>
    <xf numFmtId="0" fontId="143" fillId="0" borderId="0" xfId="67" applyFont="1"/>
    <xf numFmtId="0" fontId="143" fillId="0" borderId="0" xfId="67" applyFont="1" applyFill="1"/>
    <xf numFmtId="0" fontId="128" fillId="0" borderId="0" xfId="67" applyFont="1" applyFill="1" applyBorder="1" applyAlignment="1"/>
    <xf numFmtId="0" fontId="144" fillId="0" borderId="0" xfId="67" applyFont="1"/>
    <xf numFmtId="0" fontId="104" fillId="0" borderId="0" xfId="67" applyFont="1" applyFill="1" applyBorder="1" applyAlignment="1" applyProtection="1">
      <alignment horizontal="center"/>
    </xf>
    <xf numFmtId="0" fontId="104" fillId="0" borderId="0" xfId="67" applyFont="1" applyProtection="1"/>
    <xf numFmtId="0" fontId="101" fillId="0" borderId="0" xfId="67" applyFont="1" applyProtection="1"/>
    <xf numFmtId="37" fontId="101" fillId="0" borderId="0" xfId="67" applyNumberFormat="1" applyFont="1"/>
    <xf numFmtId="37" fontId="101" fillId="0" borderId="3" xfId="67" applyNumberFormat="1" applyFont="1" applyFill="1" applyBorder="1" applyProtection="1"/>
    <xf numFmtId="37" fontId="104" fillId="0" borderId="0" xfId="67" applyNumberFormat="1" applyFont="1" applyProtection="1"/>
    <xf numFmtId="37" fontId="104" fillId="30" borderId="0" xfId="67" applyNumberFormat="1" applyFont="1" applyFill="1" applyBorder="1" applyProtection="1"/>
    <xf numFmtId="37" fontId="101" fillId="30" borderId="0" xfId="67" applyNumberFormat="1" applyFont="1" applyFill="1" applyProtection="1"/>
    <xf numFmtId="37" fontId="104" fillId="0" borderId="0" xfId="67" applyNumberFormat="1" applyFont="1" applyFill="1" applyProtection="1"/>
    <xf numFmtId="37" fontId="104" fillId="30" borderId="0" xfId="67" applyNumberFormat="1" applyFont="1" applyFill="1" applyProtection="1"/>
    <xf numFmtId="37" fontId="101" fillId="0" borderId="78" xfId="67" applyNumberFormat="1" applyFont="1" applyFill="1" applyBorder="1" applyProtection="1"/>
    <xf numFmtId="37" fontId="104" fillId="0" borderId="79" xfId="67" applyNumberFormat="1" applyFont="1" applyFill="1" applyBorder="1" applyProtection="1"/>
    <xf numFmtId="0" fontId="145" fillId="0" borderId="0" xfId="67" applyFont="1" applyFill="1" applyProtection="1"/>
    <xf numFmtId="1" fontId="145" fillId="0" borderId="0" xfId="67" applyNumberFormat="1" applyFont="1" applyFill="1" applyProtection="1"/>
    <xf numFmtId="37" fontId="101" fillId="0" borderId="0" xfId="67" applyNumberFormat="1" applyFont="1" applyFill="1"/>
    <xf numFmtId="0" fontId="101" fillId="24" borderId="0" xfId="67" applyFont="1" applyFill="1"/>
    <xf numFmtId="0" fontId="146" fillId="24" borderId="0" xfId="67" applyFont="1" applyFill="1" applyBorder="1" applyAlignment="1"/>
    <xf numFmtId="0" fontId="101" fillId="24" borderId="0" xfId="67" applyFont="1" applyFill="1" applyBorder="1" applyAlignment="1"/>
    <xf numFmtId="38" fontId="101" fillId="24" borderId="0" xfId="60" applyNumberFormat="1" applyFont="1" applyFill="1" applyBorder="1" applyAlignment="1"/>
    <xf numFmtId="9" fontId="101" fillId="24" borderId="0" xfId="68" applyFont="1" applyFill="1" applyBorder="1" applyAlignment="1"/>
    <xf numFmtId="0" fontId="115" fillId="24" borderId="0" xfId="67" applyFont="1" applyFill="1"/>
    <xf numFmtId="169" fontId="15" fillId="24" borderId="0" xfId="68" applyNumberFormat="1" applyFont="1" applyFill="1" applyBorder="1" applyAlignment="1">
      <alignment horizontal="center"/>
    </xf>
    <xf numFmtId="169" fontId="15" fillId="24" borderId="0" xfId="68" applyNumberFormat="1" applyFont="1" applyFill="1" applyBorder="1" applyAlignment="1">
      <alignment horizontal="right"/>
    </xf>
    <xf numFmtId="0" fontId="114" fillId="24" borderId="0" xfId="67" applyFont="1" applyFill="1"/>
    <xf numFmtId="169" fontId="15" fillId="24" borderId="0" xfId="68" applyNumberFormat="1" applyFont="1" applyFill="1" applyBorder="1" applyAlignment="1"/>
    <xf numFmtId="37" fontId="101" fillId="24" borderId="0" xfId="67" applyNumberFormat="1" applyFont="1" applyFill="1" applyProtection="1"/>
    <xf numFmtId="37" fontId="104" fillId="24" borderId="0" xfId="67" applyNumberFormat="1" applyFont="1" applyFill="1" applyBorder="1" applyProtection="1"/>
    <xf numFmtId="169" fontId="104" fillId="24" borderId="0" xfId="40" applyNumberFormat="1" applyFont="1" applyFill="1" applyBorder="1" applyProtection="1"/>
    <xf numFmtId="192" fontId="101" fillId="24" borderId="0" xfId="67" applyNumberFormat="1" applyFont="1" applyFill="1"/>
    <xf numFmtId="0" fontId="147" fillId="24" borderId="0" xfId="67" applyFont="1" applyFill="1"/>
    <xf numFmtId="9" fontId="147" fillId="24" borderId="0" xfId="40" applyFont="1" applyFill="1"/>
    <xf numFmtId="0" fontId="113" fillId="24" borderId="0" xfId="67" applyFont="1" applyFill="1"/>
    <xf numFmtId="169" fontId="147" fillId="24" borderId="0" xfId="40" applyNumberFormat="1" applyFont="1" applyFill="1" applyBorder="1" applyAlignment="1"/>
    <xf numFmtId="171" fontId="88" fillId="0" borderId="20" xfId="47" applyNumberFormat="1" applyFont="1" applyFill="1" applyBorder="1"/>
    <xf numFmtId="37" fontId="101" fillId="24" borderId="0" xfId="60" applyNumberFormat="1" applyFont="1" applyFill="1" applyBorder="1" applyAlignment="1"/>
    <xf numFmtId="10" fontId="101" fillId="24" borderId="0" xfId="40" applyNumberFormat="1" applyFont="1" applyFill="1" applyBorder="1" applyAlignment="1"/>
    <xf numFmtId="0" fontId="100" fillId="24" borderId="0" xfId="67" applyFill="1"/>
    <xf numFmtId="10" fontId="78" fillId="11" borderId="22" xfId="48" applyNumberFormat="1" applyFont="1" applyFill="1" applyBorder="1"/>
    <xf numFmtId="10" fontId="78" fillId="11" borderId="23" xfId="48" applyNumberFormat="1" applyFont="1" applyFill="1" applyBorder="1"/>
    <xf numFmtId="0" fontId="97" fillId="0" borderId="17" xfId="46" applyFont="1" applyFill="1" applyBorder="1"/>
    <xf numFmtId="0" fontId="97" fillId="0" borderId="18" xfId="46" applyFont="1" applyFill="1" applyBorder="1"/>
    <xf numFmtId="0" fontId="92" fillId="0" borderId="18" xfId="46" applyFont="1" applyFill="1" applyBorder="1"/>
    <xf numFmtId="173" fontId="98" fillId="0" borderId="18" xfId="44" applyNumberFormat="1" applyFont="1" applyFill="1" applyBorder="1" applyProtection="1"/>
    <xf numFmtId="173" fontId="91" fillId="0" borderId="18" xfId="44" applyNumberFormat="1" applyFont="1" applyFill="1" applyBorder="1" applyProtection="1"/>
    <xf numFmtId="173" fontId="91" fillId="0" borderId="19" xfId="44" applyNumberFormat="1" applyFont="1" applyFill="1" applyBorder="1" applyProtection="1"/>
    <xf numFmtId="0" fontId="76" fillId="0" borderId="80" xfId="46" applyFont="1" applyFill="1" applyBorder="1"/>
    <xf numFmtId="43" fontId="76" fillId="22" borderId="0" xfId="50" applyNumberFormat="1" applyFont="1" applyFill="1" applyBorder="1"/>
    <xf numFmtId="171" fontId="79" fillId="22" borderId="0" xfId="44" applyNumberFormat="1" applyFont="1" applyFill="1" applyBorder="1" applyProtection="1"/>
    <xf numFmtId="0" fontId="76" fillId="22" borderId="0" xfId="46" applyFont="1" applyFill="1" applyBorder="1"/>
    <xf numFmtId="9" fontId="44" fillId="0" borderId="6" xfId="43" applyFont="1" applyFill="1" applyBorder="1" applyAlignment="1" applyProtection="1">
      <alignment horizontal="right" vertical="distributed"/>
    </xf>
    <xf numFmtId="169" fontId="44" fillId="11" borderId="81" xfId="43" applyNumberFormat="1" applyFont="1" applyFill="1" applyBorder="1" applyAlignment="1" applyProtection="1">
      <alignment horizontal="right" vertical="distributed"/>
    </xf>
    <xf numFmtId="169" fontId="44" fillId="11" borderId="82" xfId="43" applyNumberFormat="1" applyFont="1" applyFill="1" applyBorder="1" applyAlignment="1" applyProtection="1">
      <alignment horizontal="right" vertical="distributed"/>
    </xf>
    <xf numFmtId="169" fontId="36" fillId="11" borderId="81" xfId="43" applyNumberFormat="1" applyFont="1" applyFill="1" applyBorder="1" applyAlignment="1" applyProtection="1">
      <alignment horizontal="right" vertical="distributed"/>
    </xf>
    <xf numFmtId="169" fontId="75" fillId="11" borderId="81" xfId="43" applyNumberFormat="1" applyFont="1" applyFill="1" applyBorder="1" applyAlignment="1" applyProtection="1">
      <alignment horizontal="right" vertical="distributed"/>
    </xf>
    <xf numFmtId="169" fontId="75" fillId="11" borderId="82" xfId="43" applyNumberFormat="1" applyFont="1" applyFill="1" applyBorder="1" applyAlignment="1" applyProtection="1">
      <alignment horizontal="right" vertical="distributed"/>
    </xf>
    <xf numFmtId="169" fontId="89" fillId="22" borderId="0" xfId="48" applyNumberFormat="1" applyFont="1" applyFill="1" applyBorder="1" applyAlignment="1">
      <alignment horizontal="right"/>
    </xf>
    <xf numFmtId="169" fontId="89" fillId="32" borderId="0" xfId="48" applyNumberFormat="1" applyFont="1" applyFill="1" applyBorder="1" applyAlignment="1">
      <alignment horizontal="right"/>
    </xf>
    <xf numFmtId="169" fontId="93" fillId="22" borderId="0" xfId="48" applyNumberFormat="1" applyFont="1" applyFill="1" applyBorder="1" applyAlignment="1">
      <alignment horizontal="right"/>
    </xf>
    <xf numFmtId="0" fontId="41" fillId="0" borderId="0" xfId="44" applyFont="1" applyFill="1" applyBorder="1" applyAlignment="1" applyProtection="1">
      <alignment vertical="center"/>
    </xf>
    <xf numFmtId="169" fontId="101" fillId="0" borderId="0" xfId="40" applyNumberFormat="1" applyFont="1"/>
    <xf numFmtId="9" fontId="101" fillId="20" borderId="0" xfId="68" applyFont="1" applyFill="1" applyBorder="1" applyAlignment="1"/>
    <xf numFmtId="169" fontId="148" fillId="11" borderId="0" xfId="48" applyNumberFormat="1" applyFont="1" applyFill="1" applyBorder="1"/>
    <xf numFmtId="170" fontId="82" fillId="8" borderId="0" xfId="45" applyFont="1" applyFill="1" applyBorder="1" applyAlignment="1" applyProtection="1">
      <alignment horizontal="center" vertical="center"/>
    </xf>
    <xf numFmtId="0" fontId="107" fillId="25" borderId="0" xfId="67" applyFont="1" applyFill="1" applyBorder="1" applyAlignment="1">
      <alignment horizontal="center"/>
    </xf>
    <xf numFmtId="0" fontId="107" fillId="25" borderId="61" xfId="67" applyFont="1" applyFill="1" applyBorder="1" applyAlignment="1">
      <alignment horizontal="center"/>
    </xf>
    <xf numFmtId="0" fontId="141" fillId="25" borderId="9" xfId="67" applyFont="1" applyFill="1" applyBorder="1" applyAlignment="1">
      <alignment horizontal="center" wrapText="1"/>
    </xf>
    <xf numFmtId="0" fontId="141" fillId="25" borderId="0" xfId="67" applyFont="1" applyFill="1" applyBorder="1" applyAlignment="1">
      <alignment horizontal="center" wrapText="1"/>
    </xf>
  </cellXfs>
  <cellStyles count="71">
    <cellStyle name="_x000a_386grabber=M" xfId="47" xr:uid="{00000000-0005-0000-0000-000000000000}"/>
    <cellStyle name="_x000a_386grabber=M 2" xfId="52" xr:uid="{00000000-0005-0000-0000-000001000000}"/>
    <cellStyle name="AFE" xfId="45" xr:uid="{00000000-0005-0000-0000-000002000000}"/>
    <cellStyle name="AFE 2" xfId="42" xr:uid="{00000000-0005-0000-0000-000003000000}"/>
    <cellStyle name="AFE 3" xfId="53" xr:uid="{00000000-0005-0000-0000-000004000000}"/>
    <cellStyle name="ANCLAS,REZONES Y SUS PARTES,DE FUNDICION,DE HIERRO O DE ACERO" xfId="6" xr:uid="{00000000-0005-0000-0000-000005000000}"/>
    <cellStyle name="Cálculo" xfId="4" builtinId="22" customBuiltin="1"/>
    <cellStyle name="Celda de comprobación" xfId="5" builtinId="23" customBuiltin="1"/>
    <cellStyle name="Comma 2" xfId="35" xr:uid="{00000000-0005-0000-0000-000008000000}"/>
    <cellStyle name="Date" xfId="7" xr:uid="{00000000-0005-0000-0000-000009000000}"/>
    <cellStyle name="Date 2" xfId="8" xr:uid="{00000000-0005-0000-0000-00000A000000}"/>
    <cellStyle name="Encabezado 1" xfId="1" builtinId="16" customBuiltin="1"/>
    <cellStyle name="Heading 1 2" xfId="9" xr:uid="{00000000-0005-0000-0000-00000C000000}"/>
    <cellStyle name="Heading 1 3" xfId="31" xr:uid="{00000000-0005-0000-0000-00000D000000}"/>
    <cellStyle name="Heading 22" xfId="10" xr:uid="{00000000-0005-0000-0000-00000E000000}"/>
    <cellStyle name="heading2" xfId="11" xr:uid="{00000000-0005-0000-0000-00000F000000}"/>
    <cellStyle name="Hipervínculo visitado" xfId="36" builtinId="9" hidden="1"/>
    <cellStyle name="Hipervínculo visitado" xfId="37" builtinId="9" hidden="1"/>
    <cellStyle name="Hipervínculo visitado" xfId="39" builtinId="9" hidden="1"/>
    <cellStyle name="Millares [0] 2" xfId="66" xr:uid="{00000000-0005-0000-0000-000013000000}"/>
    <cellStyle name="Millares 2" xfId="61" xr:uid="{00000000-0005-0000-0000-000014000000}"/>
    <cellStyle name="Millares 3" xfId="64" xr:uid="{00000000-0005-0000-0000-000015000000}"/>
    <cellStyle name="Millares 3 3" xfId="49" xr:uid="{00000000-0005-0000-0000-000016000000}"/>
    <cellStyle name="Millares 4 2" xfId="60" xr:uid="{00000000-0005-0000-0000-000017000000}"/>
    <cellStyle name="Moneda 2" xfId="70" xr:uid="{00000000-0005-0000-0000-000018000000}"/>
    <cellStyle name="multiple2" xfId="12" xr:uid="{00000000-0005-0000-0000-000019000000}"/>
    <cellStyle name="name" xfId="13" xr:uid="{00000000-0005-0000-0000-00001A000000}"/>
    <cellStyle name="Normal" xfId="0" builtinId="0" customBuiltin="1"/>
    <cellStyle name="Normal 10" xfId="57" xr:uid="{00000000-0005-0000-0000-00001C000000}"/>
    <cellStyle name="Normal 11" xfId="62" xr:uid="{00000000-0005-0000-0000-00001D000000}"/>
    <cellStyle name="Normal 12" xfId="14" xr:uid="{00000000-0005-0000-0000-00001E000000}"/>
    <cellStyle name="Normal 12 2" xfId="15" xr:uid="{00000000-0005-0000-0000-00001F000000}"/>
    <cellStyle name="Normal 13" xfId="67" xr:uid="{00000000-0005-0000-0000-000020000000}"/>
    <cellStyle name="Normal 2" xfId="16" xr:uid="{00000000-0005-0000-0000-000021000000}"/>
    <cellStyle name="Normal 2 2" xfId="17" xr:uid="{00000000-0005-0000-0000-000022000000}"/>
    <cellStyle name="Normal 2 3" xfId="65" xr:uid="{00000000-0005-0000-0000-000023000000}"/>
    <cellStyle name="Normal 2 3 2" xfId="18" xr:uid="{00000000-0005-0000-0000-000024000000}"/>
    <cellStyle name="Normal 3" xfId="19" xr:uid="{00000000-0005-0000-0000-000025000000}"/>
    <cellStyle name="Normal 3 2" xfId="59" xr:uid="{00000000-0005-0000-0000-000026000000}"/>
    <cellStyle name="Normal 3 2 3" xfId="20" xr:uid="{00000000-0005-0000-0000-000027000000}"/>
    <cellStyle name="Normal 3 44" xfId="54" xr:uid="{00000000-0005-0000-0000-000028000000}"/>
    <cellStyle name="Normal 38" xfId="21" xr:uid="{00000000-0005-0000-0000-000029000000}"/>
    <cellStyle name="Normal 4" xfId="22" xr:uid="{00000000-0005-0000-0000-00002A000000}"/>
    <cellStyle name="Normal 5" xfId="23" xr:uid="{00000000-0005-0000-0000-00002B000000}"/>
    <cellStyle name="Normal 6" xfId="30" xr:uid="{00000000-0005-0000-0000-00002C000000}"/>
    <cellStyle name="Normal 6 2" xfId="34" xr:uid="{00000000-0005-0000-0000-00002D000000}"/>
    <cellStyle name="Normal 7" xfId="38" xr:uid="{00000000-0005-0000-0000-00002E000000}"/>
    <cellStyle name="Normal 7 3 2 3" xfId="24" xr:uid="{00000000-0005-0000-0000-00002F000000}"/>
    <cellStyle name="Normal 8" xfId="50" xr:uid="{00000000-0005-0000-0000-000030000000}"/>
    <cellStyle name="Normal 8 2" xfId="41" xr:uid="{00000000-0005-0000-0000-000031000000}"/>
    <cellStyle name="Normal 8 3" xfId="46" xr:uid="{00000000-0005-0000-0000-000032000000}"/>
    <cellStyle name="Normal 9" xfId="55" xr:uid="{00000000-0005-0000-0000-000033000000}"/>
    <cellStyle name="Normal_Ch01 Pics v2.2" xfId="44" xr:uid="{00000000-0005-0000-0000-000034000000}"/>
    <cellStyle name="Output 2" xfId="32" xr:uid="{00000000-0005-0000-0000-000035000000}"/>
    <cellStyle name="Percent 2" xfId="25" xr:uid="{00000000-0005-0000-0000-000036000000}"/>
    <cellStyle name="Percent 2 2" xfId="69" xr:uid="{00000000-0005-0000-0000-000037000000}"/>
    <cellStyle name="Percent 3" xfId="26" xr:uid="{00000000-0005-0000-0000-000038000000}"/>
    <cellStyle name="Percent 4" xfId="33" xr:uid="{00000000-0005-0000-0000-000039000000}"/>
    <cellStyle name="Porcentaje" xfId="40" builtinId="5"/>
    <cellStyle name="Porcentaje 2" xfId="51" xr:uid="{00000000-0005-0000-0000-00003B000000}"/>
    <cellStyle name="Porcentaje 2 2" xfId="43" xr:uid="{00000000-0005-0000-0000-00003C000000}"/>
    <cellStyle name="Porcentaje 2 3" xfId="48" xr:uid="{00000000-0005-0000-0000-00003D000000}"/>
    <cellStyle name="Porcentaje 3" xfId="56" xr:uid="{00000000-0005-0000-0000-00003E000000}"/>
    <cellStyle name="Porcentaje 4" xfId="58" xr:uid="{00000000-0005-0000-0000-00003F000000}"/>
    <cellStyle name="Porcentaje 5" xfId="63" xr:uid="{00000000-0005-0000-0000-000040000000}"/>
    <cellStyle name="Porcentaje 6" xfId="68" xr:uid="{00000000-0005-0000-0000-000041000000}"/>
    <cellStyle name="Salida" xfId="3" builtinId="21" customBuiltin="1"/>
    <cellStyle name="Style 1" xfId="27" xr:uid="{00000000-0005-0000-0000-000043000000}"/>
    <cellStyle name="Style 2" xfId="28" xr:uid="{00000000-0005-0000-0000-000044000000}"/>
    <cellStyle name="title2" xfId="29" xr:uid="{00000000-0005-0000-0000-000045000000}"/>
    <cellStyle name="Título 2" xfId="2" builtinId="17" customBuiltin="1"/>
  </cellStyles>
  <dxfs count="0"/>
  <tableStyles count="0" defaultTableStyle="TableStyleMedium2" defaultPivotStyle="PivotStyleLight16"/>
  <colors>
    <mruColors>
      <color rgb="FF0000FF"/>
      <color rgb="FFFFFFCC"/>
      <color rgb="FF0037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Índice</a:t>
            </a:r>
            <a:r>
              <a:rPr lang="en-US" baseline="0"/>
              <a:t> de Cobertura del Servicio de la Deuda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Resumen!$B$95</c:f>
              <c:strCache>
                <c:ptCount val="1"/>
                <c:pt idx="0">
                  <c:v>Índice de Cobertura del Servicio de la Deuda (UAFIRDA/Servicio de Deuda)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Resumen!$F$95:$O$95</c:f>
              <c:numCache>
                <c:formatCode>0.00"x"</c:formatCode>
                <c:ptCount val="10"/>
                <c:pt idx="0">
                  <c:v>1.7139757627080627</c:v>
                </c:pt>
                <c:pt idx="1">
                  <c:v>1.5739113832908043</c:v>
                </c:pt>
                <c:pt idx="2">
                  <c:v>1.6007991032127458</c:v>
                </c:pt>
                <c:pt idx="3">
                  <c:v>1.5052151123224196</c:v>
                </c:pt>
                <c:pt idx="4">
                  <c:v>1.3248927959426655</c:v>
                </c:pt>
                <c:pt idx="5">
                  <c:v>1.9855537504704679</c:v>
                </c:pt>
                <c:pt idx="6">
                  <c:v>1.6359693658888537</c:v>
                </c:pt>
                <c:pt idx="7">
                  <c:v>4.2721637371162675</c:v>
                </c:pt>
                <c:pt idx="8">
                  <c:v>4.7951612428158565</c:v>
                </c:pt>
                <c:pt idx="9">
                  <c:v>5.2286588161086156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[3]Resumen!$F$55:$P$55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  <c:pt idx="9">
                        <c:v>2026</c:v>
                      </c:pt>
                      <c:pt idx="10">
                        <c:v>2027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0CF8-4190-AB46-7602398270CB}"/>
            </c:ext>
          </c:extLst>
        </c:ser>
        <c:ser>
          <c:idx val="1"/>
          <c:order val="1"/>
          <c:tx>
            <c:strRef>
              <c:f>Resumen!$B$166</c:f>
              <c:strCache>
                <c:ptCount val="1"/>
                <c:pt idx="0">
                  <c:v>Índice de Cobertura del SD Mínimo</c:v>
                </c:pt>
              </c:strCache>
            </c:strRef>
          </c:tx>
          <c:spPr>
            <a:ln w="28575">
              <a:solidFill>
                <a:sysClr val="windowText" lastClr="000000"/>
              </a:solidFill>
            </a:ln>
          </c:spPr>
          <c:marker>
            <c:spPr>
              <a:solidFill>
                <a:schemeClr val="tx1"/>
              </a:solidFill>
              <a:ln w="28575">
                <a:solidFill>
                  <a:sysClr val="windowText" lastClr="000000"/>
                </a:solidFill>
              </a:ln>
            </c:spPr>
          </c:marker>
          <c:val>
            <c:numRef>
              <c:f>Resumen!$F$166:$O$166</c:f>
              <c:numCache>
                <c:formatCode>0.0"x"</c:formatCode>
                <c:ptCount val="1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F8-4190-AB46-760239827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95960080"/>
        <c:axId val="-995961712"/>
      </c:lineChart>
      <c:catAx>
        <c:axId val="-99596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US"/>
          </a:p>
        </c:txPr>
        <c:crossAx val="-995961712"/>
        <c:crosses val="autoZero"/>
        <c:auto val="1"/>
        <c:lblAlgn val="ctr"/>
        <c:lblOffset val="100"/>
        <c:noMultiLvlLbl val="0"/>
      </c:catAx>
      <c:valAx>
        <c:axId val="-995961712"/>
        <c:scaling>
          <c:orientation val="minMax"/>
        </c:scaling>
        <c:delete val="0"/>
        <c:axPos val="l"/>
        <c:majorGridlines/>
        <c:numFmt formatCode="0.00&quot;x&quot;" sourceLinked="1"/>
        <c:majorTickMark val="out"/>
        <c:minorTickMark val="none"/>
        <c:tickLblPos val="nextTo"/>
        <c:txPr>
          <a:bodyPr/>
          <a:lstStyle/>
          <a:p>
            <a:pPr>
              <a:defRPr sz="1050" b="1"/>
            </a:pPr>
            <a:endParaRPr lang="es-US"/>
          </a:p>
        </c:txPr>
        <c:crossAx val="-99596008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100" b="1"/>
          </a:pPr>
          <a:endParaRPr lang="es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Índice</a:t>
            </a:r>
            <a:r>
              <a:rPr lang="en-US" baseline="0"/>
              <a:t> de Cobertura de Deuda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Resumen!$B$99</c:f>
              <c:strCache>
                <c:ptCount val="1"/>
                <c:pt idx="0">
                  <c:v>Índice de Cobertura de Deuda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Resumen!$F$99:$P$99</c:f>
              <c:numCache>
                <c:formatCode>0.0"x"</c:formatCode>
                <c:ptCount val="11"/>
                <c:pt idx="0">
                  <c:v>3.1</c:v>
                </c:pt>
                <c:pt idx="1">
                  <c:v>3</c:v>
                </c:pt>
                <c:pt idx="2">
                  <c:v>2.1</c:v>
                </c:pt>
                <c:pt idx="3">
                  <c:v>1.8</c:v>
                </c:pt>
                <c:pt idx="4">
                  <c:v>1.4</c:v>
                </c:pt>
                <c:pt idx="5">
                  <c:v>0.9</c:v>
                </c:pt>
                <c:pt idx="6">
                  <c:v>0.7</c:v>
                </c:pt>
                <c:pt idx="7">
                  <c:v>0.3</c:v>
                </c:pt>
                <c:pt idx="8">
                  <c:v>0.3</c:v>
                </c:pt>
                <c:pt idx="9">
                  <c:v>0.2</c:v>
                </c:pt>
                <c:pt idx="10">
                  <c:v>0.1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[3]Resumen!$F$55:$P$55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  <c:pt idx="9">
                        <c:v>2026</c:v>
                      </c:pt>
                      <c:pt idx="10">
                        <c:v>2027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BD9E-402A-B709-D4DDA92488D0}"/>
            </c:ext>
          </c:extLst>
        </c:ser>
        <c:ser>
          <c:idx val="1"/>
          <c:order val="1"/>
          <c:tx>
            <c:strRef>
              <c:f>Resumen!$B$167</c:f>
              <c:strCache>
                <c:ptCount val="1"/>
                <c:pt idx="0">
                  <c:v>Índice de Cobertura de Deuda Máximo</c:v>
                </c:pt>
              </c:strCache>
            </c:strRef>
          </c:tx>
          <c:spPr>
            <a:ln w="28575">
              <a:solidFill>
                <a:sysClr val="windowText" lastClr="000000"/>
              </a:solidFill>
            </a:ln>
          </c:spPr>
          <c:marker>
            <c:spPr>
              <a:solidFill>
                <a:schemeClr val="tx1"/>
              </a:solidFill>
              <a:ln w="28575">
                <a:solidFill>
                  <a:sysClr val="windowText" lastClr="000000"/>
                </a:solidFill>
              </a:ln>
            </c:spPr>
          </c:marker>
          <c:val>
            <c:numRef>
              <c:f>Resumen!$F$167:$P$167</c:f>
              <c:numCache>
                <c:formatCode>0.0"x"</c:formatCode>
                <c:ptCount val="11"/>
                <c:pt idx="0">
                  <c:v>4</c:v>
                </c:pt>
                <c:pt idx="1">
                  <c:v>3.5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9E-402A-B709-D4DDA9248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95959536"/>
        <c:axId val="-995966064"/>
      </c:lineChart>
      <c:catAx>
        <c:axId val="-99595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US"/>
          </a:p>
        </c:txPr>
        <c:crossAx val="-995966064"/>
        <c:crosses val="autoZero"/>
        <c:auto val="1"/>
        <c:lblAlgn val="ctr"/>
        <c:lblOffset val="100"/>
        <c:noMultiLvlLbl val="0"/>
      </c:catAx>
      <c:valAx>
        <c:axId val="-995966064"/>
        <c:scaling>
          <c:orientation val="minMax"/>
        </c:scaling>
        <c:delete val="0"/>
        <c:axPos val="l"/>
        <c:majorGridlines/>
        <c:numFmt formatCode="0.0&quot;x&quot;" sourceLinked="1"/>
        <c:majorTickMark val="out"/>
        <c:minorTickMark val="none"/>
        <c:tickLblPos val="nextTo"/>
        <c:txPr>
          <a:bodyPr/>
          <a:lstStyle/>
          <a:p>
            <a:pPr>
              <a:defRPr sz="1050" b="1"/>
            </a:pPr>
            <a:endParaRPr lang="es-US"/>
          </a:p>
        </c:txPr>
        <c:crossAx val="-99595953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100" b="1"/>
          </a:pPr>
          <a:endParaRPr lang="es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Índice</a:t>
            </a:r>
            <a:r>
              <a:rPr lang="en-US" baseline="0"/>
              <a:t> de Cobertura de Intereses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Resumen!$B$100</c:f>
              <c:strCache>
                <c:ptCount val="1"/>
                <c:pt idx="0">
                  <c:v>Índice de Cobertura de Intereses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Resumen!$F$100:$P$100</c:f>
              <c:numCache>
                <c:formatCode>0.0"x"</c:formatCode>
                <c:ptCount val="11"/>
                <c:pt idx="0">
                  <c:v>4</c:v>
                </c:pt>
                <c:pt idx="1">
                  <c:v>3.7</c:v>
                </c:pt>
                <c:pt idx="2">
                  <c:v>5.0999999999999996</c:v>
                </c:pt>
                <c:pt idx="3">
                  <c:v>6.2</c:v>
                </c:pt>
                <c:pt idx="4">
                  <c:v>8</c:v>
                </c:pt>
                <c:pt idx="5">
                  <c:v>11</c:v>
                </c:pt>
                <c:pt idx="6">
                  <c:v>17.600000000000001</c:v>
                </c:pt>
                <c:pt idx="7">
                  <c:v>31.9</c:v>
                </c:pt>
                <c:pt idx="8">
                  <c:v>113.2</c:v>
                </c:pt>
                <c:pt idx="9">
                  <c:v>888.8</c:v>
                </c:pt>
                <c:pt idx="10">
                  <c:v>103.1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[3]Resumen!$F$55:$P$55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  <c:pt idx="9">
                        <c:v>2026</c:v>
                      </c:pt>
                      <c:pt idx="10">
                        <c:v>2027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FAE0-4628-B81B-E3CBF5F2FEE4}"/>
            </c:ext>
          </c:extLst>
        </c:ser>
        <c:ser>
          <c:idx val="1"/>
          <c:order val="1"/>
          <c:tx>
            <c:strRef>
              <c:f>Resumen!$B$168</c:f>
              <c:strCache>
                <c:ptCount val="1"/>
                <c:pt idx="0">
                  <c:v>Índice de Cobertura de Intereses Mínimo</c:v>
                </c:pt>
              </c:strCache>
            </c:strRef>
          </c:tx>
          <c:spPr>
            <a:ln w="28575">
              <a:solidFill>
                <a:sysClr val="windowText" lastClr="000000"/>
              </a:solidFill>
            </a:ln>
          </c:spPr>
          <c:marker>
            <c:spPr>
              <a:solidFill>
                <a:schemeClr val="tx1"/>
              </a:solidFill>
              <a:ln w="28575">
                <a:solidFill>
                  <a:sysClr val="windowText" lastClr="000000"/>
                </a:solidFill>
              </a:ln>
            </c:spPr>
          </c:marker>
          <c:val>
            <c:numRef>
              <c:f>Resumen!$F$168:$P$168</c:f>
              <c:numCache>
                <c:formatCode>0.0"x"</c:formatCode>
                <c:ptCount val="11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0-4628-B81B-E3CBF5F2F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7385488"/>
        <c:axId val="-985181024"/>
      </c:lineChart>
      <c:catAx>
        <c:axId val="-98738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s-US"/>
          </a:p>
        </c:txPr>
        <c:crossAx val="-985181024"/>
        <c:crosses val="autoZero"/>
        <c:auto val="1"/>
        <c:lblAlgn val="ctr"/>
        <c:lblOffset val="100"/>
        <c:noMultiLvlLbl val="0"/>
      </c:catAx>
      <c:valAx>
        <c:axId val="-985181024"/>
        <c:scaling>
          <c:orientation val="minMax"/>
        </c:scaling>
        <c:delete val="0"/>
        <c:axPos val="l"/>
        <c:majorGridlines/>
        <c:numFmt formatCode="0.0&quot;x&quot;" sourceLinked="1"/>
        <c:majorTickMark val="out"/>
        <c:minorTickMark val="none"/>
        <c:tickLblPos val="nextTo"/>
        <c:txPr>
          <a:bodyPr/>
          <a:lstStyle/>
          <a:p>
            <a:pPr>
              <a:defRPr sz="1050" b="1"/>
            </a:pPr>
            <a:endParaRPr lang="es-US"/>
          </a:p>
        </c:txPr>
        <c:crossAx val="-98738548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100" b="1"/>
          </a:pPr>
          <a:endParaRPr lang="es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714374</xdr:colOff>
      <xdr:row>120</xdr:row>
      <xdr:rowOff>130968</xdr:rowOff>
    </xdr:from>
    <xdr:to>
      <xdr:col>6</xdr:col>
      <xdr:colOff>476250</xdr:colOff>
      <xdr:row>141</xdr:row>
      <xdr:rowOff>73818</xdr:rowOff>
    </xdr:to>
    <xdr:graphicFrame macro="">
      <xdr:nvGraphicFramePr>
        <xdr:cNvPr id="2" name="2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142</xdr:row>
      <xdr:rowOff>0</xdr:rowOff>
    </xdr:from>
    <xdr:to>
      <xdr:col>6</xdr:col>
      <xdr:colOff>488157</xdr:colOff>
      <xdr:row>162</xdr:row>
      <xdr:rowOff>133350</xdr:rowOff>
    </xdr:to>
    <xdr:graphicFrame macro="">
      <xdr:nvGraphicFramePr>
        <xdr:cNvPr id="3" name="3 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559593</xdr:colOff>
      <xdr:row>120</xdr:row>
      <xdr:rowOff>130969</xdr:rowOff>
    </xdr:from>
    <xdr:to>
      <xdr:col>15</xdr:col>
      <xdr:colOff>583406</xdr:colOff>
      <xdr:row>141</xdr:row>
      <xdr:rowOff>73819</xdr:rowOff>
    </xdr:to>
    <xdr:graphicFrame macro="">
      <xdr:nvGraphicFramePr>
        <xdr:cNvPr id="4" name="4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09%20Corp%20Eg%20Sep%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ggarcia/AppData/Roaming/Skype/My%20Skype%20Received%20Files/3.Maquinados%20Format%202009-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Financiamiento%20Estructurado/Sindicados/Invekra/Debt%20Domain/Resumen%20Proyecciones%20Invekra%20INFO%20MEMO%201710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_Reports"/>
      <sheetName val="Quarterly_Reports"/>
      <sheetName val="Actual"/>
      <sheetName val="Forecast"/>
      <sheetName val="Budget"/>
      <sheetName val="Last_Year"/>
      <sheetName val="Op_Bal"/>
      <sheetName val="Module1"/>
      <sheetName val="Monthreps"/>
      <sheetName val="Qtrreps"/>
      <sheetName val="Rollreps"/>
    </sheetNames>
    <sheetDataSet>
      <sheetData sheetId="0">
        <row r="4">
          <cell r="B4">
            <v>9</v>
          </cell>
        </row>
      </sheetData>
      <sheetData sheetId="1" refreshError="1"/>
      <sheetData sheetId="2" refreshError="1"/>
      <sheetData sheetId="3">
        <row r="3">
          <cell r="C3">
            <v>0</v>
          </cell>
          <cell r="D3" t="str">
            <v>Jan - Ytd</v>
          </cell>
          <cell r="E3" t="str">
            <v>Feb - Ytd</v>
          </cell>
          <cell r="F3" t="str">
            <v>Mar - Ytd</v>
          </cell>
          <cell r="G3" t="str">
            <v>Apr - Ytd</v>
          </cell>
          <cell r="H3" t="str">
            <v>May -Ytd</v>
          </cell>
          <cell r="I3" t="str">
            <v>Jun -Ytd</v>
          </cell>
          <cell r="J3" t="str">
            <v>Jul - Ytd</v>
          </cell>
          <cell r="K3" t="str">
            <v>Aug - Ytd</v>
          </cell>
          <cell r="L3" t="str">
            <v>Sep - Ytd</v>
          </cell>
          <cell r="M3" t="str">
            <v>Oct - Ytd</v>
          </cell>
          <cell r="N3" t="str">
            <v>Nov - Ytd</v>
          </cell>
          <cell r="O3" t="str">
            <v>Dec -Ytd</v>
          </cell>
          <cell r="P3" t="str">
            <v>Jan 03</v>
          </cell>
          <cell r="Q3" t="str">
            <v>Feb 03</v>
          </cell>
          <cell r="R3" t="str">
            <v>Mar 03</v>
          </cell>
          <cell r="S3" t="str">
            <v>Apr 03</v>
          </cell>
          <cell r="T3" t="str">
            <v>May 03</v>
          </cell>
          <cell r="U3" t="str">
            <v>Jun 03</v>
          </cell>
          <cell r="V3" t="str">
            <v>Jul 03</v>
          </cell>
          <cell r="W3" t="str">
            <v>Aug 03</v>
          </cell>
          <cell r="X3" t="str">
            <v>Sep 03</v>
          </cell>
          <cell r="Y3" t="str">
            <v>Oct 03</v>
          </cell>
          <cell r="Z3" t="str">
            <v>Nov 03</v>
          </cell>
          <cell r="AA3" t="str">
            <v>Dec 03</v>
          </cell>
          <cell r="AB3" t="str">
            <v>Qtr 1</v>
          </cell>
          <cell r="AC3" t="str">
            <v>Qtr 2</v>
          </cell>
          <cell r="AD3" t="str">
            <v>Qtr 3</v>
          </cell>
          <cell r="AE3" t="str">
            <v>Qtr 4</v>
          </cell>
          <cell r="AF3" t="str">
            <v>Cur Qtr</v>
          </cell>
        </row>
        <row r="6">
          <cell r="C6">
            <v>200</v>
          </cell>
          <cell r="D6">
            <v>36965</v>
          </cell>
          <cell r="E6">
            <v>81366</v>
          </cell>
          <cell r="F6">
            <v>134089</v>
          </cell>
          <cell r="G6">
            <v>170231</v>
          </cell>
          <cell r="H6">
            <v>205287</v>
          </cell>
          <cell r="I6">
            <v>251568</v>
          </cell>
          <cell r="J6">
            <v>291465</v>
          </cell>
          <cell r="K6">
            <v>350067</v>
          </cell>
          <cell r="L6">
            <v>386589</v>
          </cell>
          <cell r="P6">
            <v>36965</v>
          </cell>
          <cell r="Q6">
            <v>44401</v>
          </cell>
          <cell r="R6">
            <v>52723</v>
          </cell>
          <cell r="S6">
            <v>36142</v>
          </cell>
          <cell r="T6">
            <v>35056</v>
          </cell>
          <cell r="U6">
            <v>46281</v>
          </cell>
          <cell r="V6">
            <v>39897</v>
          </cell>
          <cell r="W6">
            <v>58602</v>
          </cell>
          <cell r="X6">
            <v>36522</v>
          </cell>
          <cell r="Y6">
            <v>-386589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135021</v>
          </cell>
          <cell r="AE6">
            <v>0</v>
          </cell>
          <cell r="AF6">
            <v>135021</v>
          </cell>
        </row>
        <row r="7">
          <cell r="C7">
            <v>201</v>
          </cell>
          <cell r="D7">
            <v>862</v>
          </cell>
          <cell r="E7">
            <v>1575</v>
          </cell>
          <cell r="F7">
            <v>2283</v>
          </cell>
          <cell r="G7">
            <v>2775</v>
          </cell>
          <cell r="H7">
            <v>3459</v>
          </cell>
          <cell r="I7">
            <v>3655</v>
          </cell>
          <cell r="J7">
            <v>3970</v>
          </cell>
          <cell r="K7">
            <v>4782</v>
          </cell>
          <cell r="L7">
            <v>5016</v>
          </cell>
          <cell r="P7">
            <v>862</v>
          </cell>
          <cell r="Q7">
            <v>713</v>
          </cell>
          <cell r="R7">
            <v>708</v>
          </cell>
          <cell r="S7">
            <v>492</v>
          </cell>
          <cell r="T7">
            <v>684</v>
          </cell>
          <cell r="U7">
            <v>196</v>
          </cell>
          <cell r="V7">
            <v>315</v>
          </cell>
          <cell r="W7">
            <v>812</v>
          </cell>
          <cell r="X7">
            <v>234</v>
          </cell>
          <cell r="Y7">
            <v>-5016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1361</v>
          </cell>
          <cell r="AE7">
            <v>0</v>
          </cell>
          <cell r="AF7">
            <v>1361</v>
          </cell>
        </row>
        <row r="8">
          <cell r="C8">
            <v>5</v>
          </cell>
          <cell r="D8">
            <v>422</v>
          </cell>
          <cell r="E8">
            <v>884</v>
          </cell>
          <cell r="F8">
            <v>1480</v>
          </cell>
          <cell r="G8">
            <v>2011</v>
          </cell>
          <cell r="H8">
            <v>2775</v>
          </cell>
          <cell r="I8">
            <v>3698</v>
          </cell>
          <cell r="J8">
            <v>4429</v>
          </cell>
          <cell r="K8">
            <v>5113</v>
          </cell>
          <cell r="L8">
            <v>6698</v>
          </cell>
          <cell r="P8">
            <v>422</v>
          </cell>
          <cell r="Q8">
            <v>462</v>
          </cell>
          <cell r="R8">
            <v>596</v>
          </cell>
          <cell r="S8">
            <v>531</v>
          </cell>
          <cell r="T8">
            <v>764</v>
          </cell>
          <cell r="U8">
            <v>923</v>
          </cell>
          <cell r="V8">
            <v>731</v>
          </cell>
          <cell r="W8">
            <v>684</v>
          </cell>
          <cell r="X8">
            <v>1585</v>
          </cell>
          <cell r="Y8">
            <v>-6698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3000</v>
          </cell>
          <cell r="AE8">
            <v>0</v>
          </cell>
          <cell r="AF8">
            <v>3000</v>
          </cell>
        </row>
        <row r="9">
          <cell r="C9">
            <v>6</v>
          </cell>
          <cell r="D9">
            <v>442</v>
          </cell>
          <cell r="E9">
            <v>1259</v>
          </cell>
          <cell r="F9">
            <v>2111</v>
          </cell>
          <cell r="G9">
            <v>2748</v>
          </cell>
          <cell r="H9">
            <v>2946</v>
          </cell>
          <cell r="I9">
            <v>4304</v>
          </cell>
          <cell r="J9">
            <v>5057</v>
          </cell>
          <cell r="K9">
            <v>6126</v>
          </cell>
          <cell r="L9">
            <v>6891</v>
          </cell>
          <cell r="P9">
            <v>442</v>
          </cell>
          <cell r="Q9">
            <v>817</v>
          </cell>
          <cell r="R9">
            <v>852</v>
          </cell>
          <cell r="S9">
            <v>637</v>
          </cell>
          <cell r="T9">
            <v>198</v>
          </cell>
          <cell r="U9">
            <v>1358</v>
          </cell>
          <cell r="V9">
            <v>753</v>
          </cell>
          <cell r="W9">
            <v>1069</v>
          </cell>
          <cell r="X9">
            <v>765</v>
          </cell>
          <cell r="Y9">
            <v>-6891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2587</v>
          </cell>
          <cell r="AE9">
            <v>0</v>
          </cell>
          <cell r="AF9">
            <v>2587</v>
          </cell>
        </row>
        <row r="10">
          <cell r="C10">
            <v>7</v>
          </cell>
          <cell r="D10">
            <v>130</v>
          </cell>
          <cell r="E10">
            <v>260</v>
          </cell>
          <cell r="F10">
            <v>390</v>
          </cell>
          <cell r="G10">
            <v>390</v>
          </cell>
          <cell r="H10">
            <v>519</v>
          </cell>
          <cell r="I10">
            <v>660</v>
          </cell>
          <cell r="J10">
            <v>800</v>
          </cell>
          <cell r="K10">
            <v>800</v>
          </cell>
          <cell r="L10">
            <v>800</v>
          </cell>
          <cell r="P10">
            <v>130</v>
          </cell>
          <cell r="Q10">
            <v>130</v>
          </cell>
          <cell r="R10">
            <v>130</v>
          </cell>
          <cell r="S10">
            <v>0</v>
          </cell>
          <cell r="T10">
            <v>129</v>
          </cell>
          <cell r="U10">
            <v>141</v>
          </cell>
          <cell r="V10">
            <v>140</v>
          </cell>
          <cell r="W10">
            <v>0</v>
          </cell>
          <cell r="X10">
            <v>0</v>
          </cell>
          <cell r="Y10">
            <v>-800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140</v>
          </cell>
          <cell r="AE10">
            <v>0</v>
          </cell>
          <cell r="AF10">
            <v>140</v>
          </cell>
        </row>
        <row r="11">
          <cell r="C11">
            <v>8</v>
          </cell>
          <cell r="D11">
            <v>101</v>
          </cell>
          <cell r="E11">
            <v>152</v>
          </cell>
          <cell r="F11">
            <v>170</v>
          </cell>
          <cell r="G11">
            <v>250</v>
          </cell>
          <cell r="H11">
            <v>617</v>
          </cell>
          <cell r="I11">
            <v>377</v>
          </cell>
          <cell r="J11">
            <v>546</v>
          </cell>
          <cell r="K11">
            <v>667</v>
          </cell>
          <cell r="L11">
            <v>919</v>
          </cell>
          <cell r="P11">
            <v>101</v>
          </cell>
          <cell r="Q11">
            <v>51</v>
          </cell>
          <cell r="R11">
            <v>18</v>
          </cell>
          <cell r="S11">
            <v>80</v>
          </cell>
          <cell r="T11">
            <v>367</v>
          </cell>
          <cell r="U11">
            <v>-240</v>
          </cell>
          <cell r="V11">
            <v>169</v>
          </cell>
          <cell r="W11">
            <v>121</v>
          </cell>
          <cell r="X11">
            <v>252</v>
          </cell>
          <cell r="Y11">
            <v>-919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542</v>
          </cell>
          <cell r="AE11">
            <v>0</v>
          </cell>
          <cell r="AF11">
            <v>542</v>
          </cell>
        </row>
        <row r="12">
          <cell r="C12">
            <v>9</v>
          </cell>
          <cell r="D12">
            <v>1444</v>
          </cell>
          <cell r="E12">
            <v>1731</v>
          </cell>
          <cell r="F12">
            <v>-1056</v>
          </cell>
          <cell r="G12">
            <v>-1942</v>
          </cell>
          <cell r="H12">
            <v>-2006</v>
          </cell>
          <cell r="I12">
            <v>-1081</v>
          </cell>
          <cell r="J12">
            <v>1711</v>
          </cell>
          <cell r="K12">
            <v>-83</v>
          </cell>
          <cell r="L12">
            <v>-106</v>
          </cell>
          <cell r="P12">
            <v>1444</v>
          </cell>
          <cell r="Q12">
            <v>287</v>
          </cell>
          <cell r="R12">
            <v>-2787</v>
          </cell>
          <cell r="S12">
            <v>-886</v>
          </cell>
          <cell r="T12">
            <v>-64</v>
          </cell>
          <cell r="U12">
            <v>925</v>
          </cell>
          <cell r="V12">
            <v>2792</v>
          </cell>
          <cell r="W12">
            <v>-1794</v>
          </cell>
          <cell r="X12">
            <v>-23</v>
          </cell>
          <cell r="Y12">
            <v>106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975</v>
          </cell>
          <cell r="AE12">
            <v>0</v>
          </cell>
          <cell r="AF12">
            <v>975</v>
          </cell>
        </row>
        <row r="13">
          <cell r="C13">
            <v>10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</row>
        <row r="14">
          <cell r="C14">
            <v>11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C15">
            <v>12</v>
          </cell>
          <cell r="D15">
            <v>6</v>
          </cell>
          <cell r="E15">
            <v>12</v>
          </cell>
          <cell r="F15">
            <v>18</v>
          </cell>
          <cell r="G15">
            <v>18</v>
          </cell>
          <cell r="H15">
            <v>24</v>
          </cell>
          <cell r="I15">
            <v>29</v>
          </cell>
          <cell r="J15">
            <v>36</v>
          </cell>
          <cell r="K15">
            <v>41</v>
          </cell>
          <cell r="L15">
            <v>47</v>
          </cell>
          <cell r="P15">
            <v>6</v>
          </cell>
          <cell r="Q15">
            <v>6</v>
          </cell>
          <cell r="R15">
            <v>6</v>
          </cell>
          <cell r="S15">
            <v>0</v>
          </cell>
          <cell r="T15">
            <v>6</v>
          </cell>
          <cell r="U15">
            <v>5</v>
          </cell>
          <cell r="V15">
            <v>7</v>
          </cell>
          <cell r="W15">
            <v>5</v>
          </cell>
          <cell r="X15">
            <v>6</v>
          </cell>
          <cell r="Y15">
            <v>-47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18</v>
          </cell>
          <cell r="AE15">
            <v>0</v>
          </cell>
          <cell r="AF15">
            <v>18</v>
          </cell>
        </row>
        <row r="16">
          <cell r="C16">
            <v>13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C17">
            <v>14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C18">
            <v>15</v>
          </cell>
          <cell r="D18">
            <v>150</v>
          </cell>
          <cell r="E18">
            <v>299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P18">
            <v>150</v>
          </cell>
          <cell r="Q18">
            <v>149</v>
          </cell>
          <cell r="R18">
            <v>-299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C19">
            <v>16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C20">
            <v>17</v>
          </cell>
          <cell r="D20">
            <v>66</v>
          </cell>
          <cell r="E20">
            <v>184</v>
          </cell>
          <cell r="F20">
            <v>480</v>
          </cell>
          <cell r="G20">
            <v>559</v>
          </cell>
          <cell r="H20">
            <v>481</v>
          </cell>
          <cell r="I20">
            <v>545</v>
          </cell>
          <cell r="J20">
            <v>610</v>
          </cell>
          <cell r="K20">
            <v>751</v>
          </cell>
          <cell r="L20">
            <v>829</v>
          </cell>
          <cell r="P20">
            <v>66</v>
          </cell>
          <cell r="Q20">
            <v>118</v>
          </cell>
          <cell r="R20">
            <v>296</v>
          </cell>
          <cell r="S20">
            <v>79</v>
          </cell>
          <cell r="T20">
            <v>-78</v>
          </cell>
          <cell r="U20">
            <v>64</v>
          </cell>
          <cell r="V20">
            <v>65</v>
          </cell>
          <cell r="W20">
            <v>141</v>
          </cell>
          <cell r="X20">
            <v>78</v>
          </cell>
          <cell r="Y20">
            <v>-829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284</v>
          </cell>
          <cell r="AE20">
            <v>0</v>
          </cell>
          <cell r="AF20">
            <v>284</v>
          </cell>
        </row>
        <row r="23">
          <cell r="C23">
            <v>19</v>
          </cell>
          <cell r="D23">
            <v>147794</v>
          </cell>
          <cell r="E23">
            <v>147794</v>
          </cell>
          <cell r="F23">
            <v>147794</v>
          </cell>
          <cell r="G23">
            <v>147794</v>
          </cell>
          <cell r="H23">
            <v>147794</v>
          </cell>
          <cell r="I23">
            <v>147794</v>
          </cell>
          <cell r="J23">
            <v>186463</v>
          </cell>
          <cell r="K23">
            <v>186289</v>
          </cell>
          <cell r="L23">
            <v>189284</v>
          </cell>
          <cell r="P23">
            <v>147794</v>
          </cell>
          <cell r="Q23">
            <v>147794</v>
          </cell>
          <cell r="R23">
            <v>147794</v>
          </cell>
          <cell r="S23">
            <v>147794</v>
          </cell>
          <cell r="T23">
            <v>147794</v>
          </cell>
          <cell r="U23">
            <v>147794</v>
          </cell>
          <cell r="V23">
            <v>186463</v>
          </cell>
          <cell r="W23">
            <v>186289</v>
          </cell>
          <cell r="X23">
            <v>189284</v>
          </cell>
          <cell r="Y23">
            <v>0</v>
          </cell>
          <cell r="Z23">
            <v>0</v>
          </cell>
          <cell r="AA23">
            <v>0</v>
          </cell>
        </row>
        <row r="24">
          <cell r="C24">
            <v>20</v>
          </cell>
          <cell r="D24">
            <v>540</v>
          </cell>
          <cell r="E24">
            <v>540</v>
          </cell>
          <cell r="F24">
            <v>540</v>
          </cell>
          <cell r="G24">
            <v>540</v>
          </cell>
          <cell r="H24">
            <v>540</v>
          </cell>
          <cell r="I24">
            <v>540</v>
          </cell>
          <cell r="J24">
            <v>536</v>
          </cell>
          <cell r="K24">
            <v>504</v>
          </cell>
          <cell r="L24">
            <v>516</v>
          </cell>
          <cell r="P24">
            <v>540</v>
          </cell>
          <cell r="Q24">
            <v>540</v>
          </cell>
          <cell r="R24">
            <v>540</v>
          </cell>
          <cell r="S24">
            <v>540</v>
          </cell>
          <cell r="T24">
            <v>540</v>
          </cell>
          <cell r="U24">
            <v>540</v>
          </cell>
          <cell r="V24">
            <v>536</v>
          </cell>
          <cell r="W24">
            <v>504</v>
          </cell>
          <cell r="X24">
            <v>516</v>
          </cell>
          <cell r="Y24">
            <v>0</v>
          </cell>
          <cell r="Z24">
            <v>0</v>
          </cell>
          <cell r="AA24">
            <v>0</v>
          </cell>
        </row>
        <row r="25">
          <cell r="C25">
            <v>21</v>
          </cell>
          <cell r="D25">
            <v>313</v>
          </cell>
          <cell r="E25">
            <v>313</v>
          </cell>
          <cell r="F25">
            <v>313</v>
          </cell>
          <cell r="G25">
            <v>313</v>
          </cell>
          <cell r="H25">
            <v>313</v>
          </cell>
          <cell r="I25">
            <v>313</v>
          </cell>
          <cell r="J25">
            <v>288</v>
          </cell>
          <cell r="K25">
            <v>237</v>
          </cell>
          <cell r="L25">
            <v>219</v>
          </cell>
          <cell r="P25">
            <v>313</v>
          </cell>
          <cell r="Q25">
            <v>313</v>
          </cell>
          <cell r="R25">
            <v>313</v>
          </cell>
          <cell r="S25">
            <v>313</v>
          </cell>
          <cell r="T25">
            <v>313</v>
          </cell>
          <cell r="U25">
            <v>313</v>
          </cell>
          <cell r="V25">
            <v>288</v>
          </cell>
          <cell r="W25">
            <v>237</v>
          </cell>
          <cell r="X25">
            <v>219</v>
          </cell>
          <cell r="Y25">
            <v>0</v>
          </cell>
          <cell r="Z25">
            <v>0</v>
          </cell>
          <cell r="AA25">
            <v>0</v>
          </cell>
        </row>
        <row r="28">
          <cell r="C28">
            <v>22</v>
          </cell>
          <cell r="D28">
            <v>13711</v>
          </cell>
          <cell r="E28">
            <v>16822</v>
          </cell>
          <cell r="F28">
            <v>22401</v>
          </cell>
          <cell r="G28">
            <v>32767</v>
          </cell>
          <cell r="H28">
            <v>20150</v>
          </cell>
          <cell r="I28">
            <v>8609</v>
          </cell>
          <cell r="J28">
            <v>10056</v>
          </cell>
          <cell r="K28">
            <v>12256</v>
          </cell>
          <cell r="L28">
            <v>5277</v>
          </cell>
          <cell r="P28">
            <v>13711</v>
          </cell>
          <cell r="Q28">
            <v>16822</v>
          </cell>
          <cell r="R28">
            <v>22401</v>
          </cell>
          <cell r="S28">
            <v>32767</v>
          </cell>
          <cell r="T28">
            <v>20150</v>
          </cell>
          <cell r="U28">
            <v>8609</v>
          </cell>
          <cell r="V28">
            <v>10056</v>
          </cell>
          <cell r="W28">
            <v>12256</v>
          </cell>
          <cell r="X28">
            <v>5277</v>
          </cell>
          <cell r="Y28">
            <v>0</v>
          </cell>
          <cell r="Z28">
            <v>0</v>
          </cell>
          <cell r="AA28">
            <v>0</v>
          </cell>
        </row>
        <row r="29">
          <cell r="C29">
            <v>23</v>
          </cell>
          <cell r="D29">
            <v>66764</v>
          </cell>
          <cell r="E29">
            <v>63179</v>
          </cell>
          <cell r="F29">
            <v>96688</v>
          </cell>
          <cell r="G29">
            <v>68198</v>
          </cell>
          <cell r="H29">
            <v>69163</v>
          </cell>
          <cell r="I29">
            <v>97345</v>
          </cell>
          <cell r="J29">
            <v>86198</v>
          </cell>
          <cell r="K29">
            <v>79228</v>
          </cell>
          <cell r="L29">
            <v>80695</v>
          </cell>
          <cell r="P29">
            <v>66764</v>
          </cell>
          <cell r="Q29">
            <v>63179</v>
          </cell>
          <cell r="R29">
            <v>96688</v>
          </cell>
          <cell r="S29">
            <v>68198</v>
          </cell>
          <cell r="T29">
            <v>69163</v>
          </cell>
          <cell r="U29">
            <v>97345</v>
          </cell>
          <cell r="V29">
            <v>86198</v>
          </cell>
          <cell r="W29">
            <v>79228</v>
          </cell>
          <cell r="X29">
            <v>80695</v>
          </cell>
          <cell r="Y29">
            <v>0</v>
          </cell>
          <cell r="Z29">
            <v>0</v>
          </cell>
          <cell r="AA29">
            <v>0</v>
          </cell>
        </row>
        <row r="30">
          <cell r="C30">
            <v>24</v>
          </cell>
          <cell r="D30">
            <v>2655</v>
          </cell>
          <cell r="E30">
            <v>3487</v>
          </cell>
          <cell r="F30">
            <v>3435</v>
          </cell>
          <cell r="G30">
            <v>4374</v>
          </cell>
          <cell r="H30">
            <v>5046</v>
          </cell>
          <cell r="I30">
            <v>5853</v>
          </cell>
          <cell r="J30">
            <v>6221</v>
          </cell>
          <cell r="K30">
            <v>7262</v>
          </cell>
          <cell r="L30">
            <v>7836</v>
          </cell>
          <cell r="P30">
            <v>2655</v>
          </cell>
          <cell r="Q30">
            <v>3487</v>
          </cell>
          <cell r="R30">
            <v>3435</v>
          </cell>
          <cell r="S30">
            <v>4374</v>
          </cell>
          <cell r="T30">
            <v>5046</v>
          </cell>
          <cell r="U30">
            <v>5853</v>
          </cell>
          <cell r="V30">
            <v>6221</v>
          </cell>
          <cell r="W30">
            <v>7262</v>
          </cell>
          <cell r="X30">
            <v>7836</v>
          </cell>
          <cell r="Y30">
            <v>0</v>
          </cell>
          <cell r="Z30">
            <v>0</v>
          </cell>
          <cell r="AA30">
            <v>0</v>
          </cell>
        </row>
        <row r="31">
          <cell r="C31">
            <v>25</v>
          </cell>
          <cell r="D31">
            <v>6819</v>
          </cell>
          <cell r="E31">
            <v>5262</v>
          </cell>
          <cell r="F31">
            <v>11318</v>
          </cell>
          <cell r="G31">
            <v>6679</v>
          </cell>
          <cell r="H31">
            <v>10796</v>
          </cell>
          <cell r="I31">
            <v>10361</v>
          </cell>
          <cell r="J31">
            <v>11555</v>
          </cell>
          <cell r="K31">
            <v>13855</v>
          </cell>
          <cell r="L31">
            <v>10678</v>
          </cell>
          <cell r="P31">
            <v>6819</v>
          </cell>
          <cell r="Q31">
            <v>5262</v>
          </cell>
          <cell r="R31">
            <v>11318</v>
          </cell>
          <cell r="S31">
            <v>6679</v>
          </cell>
          <cell r="T31">
            <v>10796</v>
          </cell>
          <cell r="U31">
            <v>10361</v>
          </cell>
          <cell r="V31">
            <v>11555</v>
          </cell>
          <cell r="W31">
            <v>13855</v>
          </cell>
          <cell r="X31">
            <v>10678</v>
          </cell>
          <cell r="Y31">
            <v>0</v>
          </cell>
          <cell r="Z31">
            <v>0</v>
          </cell>
          <cell r="AA31">
            <v>0</v>
          </cell>
        </row>
        <row r="32">
          <cell r="C32">
            <v>26</v>
          </cell>
          <cell r="D32">
            <v>21478</v>
          </cell>
          <cell r="E32">
            <v>23027</v>
          </cell>
          <cell r="F32">
            <v>26621</v>
          </cell>
          <cell r="G32">
            <v>28097</v>
          </cell>
          <cell r="H32">
            <v>10169</v>
          </cell>
          <cell r="I32">
            <v>10045</v>
          </cell>
          <cell r="J32">
            <v>11146</v>
          </cell>
          <cell r="K32">
            <v>13239</v>
          </cell>
          <cell r="L32">
            <v>12219</v>
          </cell>
          <cell r="P32">
            <v>21478</v>
          </cell>
          <cell r="Q32">
            <v>23027</v>
          </cell>
          <cell r="R32">
            <v>26621</v>
          </cell>
          <cell r="S32">
            <v>28097</v>
          </cell>
          <cell r="T32">
            <v>10169</v>
          </cell>
          <cell r="U32">
            <v>10045</v>
          </cell>
          <cell r="V32">
            <v>11146</v>
          </cell>
          <cell r="W32">
            <v>13239</v>
          </cell>
          <cell r="X32">
            <v>12219</v>
          </cell>
          <cell r="Y32">
            <v>0</v>
          </cell>
          <cell r="Z32">
            <v>0</v>
          </cell>
          <cell r="AA32">
            <v>0</v>
          </cell>
        </row>
        <row r="33">
          <cell r="C33">
            <v>27</v>
          </cell>
          <cell r="D33">
            <v>53582</v>
          </cell>
          <cell r="E33">
            <v>74485</v>
          </cell>
          <cell r="F33">
            <v>65169</v>
          </cell>
          <cell r="G33">
            <v>61179</v>
          </cell>
          <cell r="H33">
            <v>59837</v>
          </cell>
          <cell r="I33">
            <v>60118</v>
          </cell>
          <cell r="J33">
            <v>58581</v>
          </cell>
          <cell r="K33">
            <v>72301</v>
          </cell>
          <cell r="L33">
            <v>77761</v>
          </cell>
          <cell r="P33">
            <v>53582</v>
          </cell>
          <cell r="Q33">
            <v>74485</v>
          </cell>
          <cell r="R33">
            <v>65169</v>
          </cell>
          <cell r="S33">
            <v>61179</v>
          </cell>
          <cell r="T33">
            <v>59837</v>
          </cell>
          <cell r="U33">
            <v>60118</v>
          </cell>
          <cell r="V33">
            <v>58581</v>
          </cell>
          <cell r="W33">
            <v>72301</v>
          </cell>
          <cell r="X33">
            <v>77761</v>
          </cell>
          <cell r="Y33">
            <v>0</v>
          </cell>
          <cell r="Z33">
            <v>0</v>
          </cell>
          <cell r="AA33">
            <v>0</v>
          </cell>
        </row>
        <row r="34">
          <cell r="C34">
            <v>166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C35">
            <v>28</v>
          </cell>
          <cell r="D35">
            <v>95244</v>
          </cell>
          <cell r="E35">
            <v>88422</v>
          </cell>
          <cell r="F35">
            <v>89269</v>
          </cell>
          <cell r="G35">
            <v>89619</v>
          </cell>
          <cell r="H35">
            <v>110672</v>
          </cell>
          <cell r="I35">
            <v>111842</v>
          </cell>
          <cell r="J35">
            <v>111806</v>
          </cell>
          <cell r="K35">
            <v>116607</v>
          </cell>
          <cell r="L35">
            <v>118370</v>
          </cell>
          <cell r="P35">
            <v>95244</v>
          </cell>
          <cell r="Q35">
            <v>88422</v>
          </cell>
          <cell r="R35">
            <v>89269</v>
          </cell>
          <cell r="S35">
            <v>89619</v>
          </cell>
          <cell r="T35">
            <v>110672</v>
          </cell>
          <cell r="U35">
            <v>111842</v>
          </cell>
          <cell r="V35">
            <v>111806</v>
          </cell>
          <cell r="W35">
            <v>116607</v>
          </cell>
          <cell r="X35">
            <v>118370</v>
          </cell>
          <cell r="Y35">
            <v>0</v>
          </cell>
          <cell r="Z35">
            <v>0</v>
          </cell>
          <cell r="AA35">
            <v>0</v>
          </cell>
        </row>
        <row r="36">
          <cell r="C36">
            <v>167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C37">
            <v>29</v>
          </cell>
          <cell r="D37">
            <v>43810</v>
          </cell>
          <cell r="E37">
            <v>43731</v>
          </cell>
          <cell r="F37">
            <v>37939</v>
          </cell>
          <cell r="G37">
            <v>29569</v>
          </cell>
          <cell r="H37">
            <v>32534</v>
          </cell>
          <cell r="I37">
            <v>35655</v>
          </cell>
          <cell r="J37">
            <v>30802</v>
          </cell>
          <cell r="K37">
            <v>29465</v>
          </cell>
          <cell r="L37">
            <v>31313</v>
          </cell>
          <cell r="P37">
            <v>43810</v>
          </cell>
          <cell r="Q37">
            <v>43731</v>
          </cell>
          <cell r="R37">
            <v>37939</v>
          </cell>
          <cell r="S37">
            <v>29569</v>
          </cell>
          <cell r="T37">
            <v>32534</v>
          </cell>
          <cell r="U37">
            <v>35655</v>
          </cell>
          <cell r="V37">
            <v>30802</v>
          </cell>
          <cell r="W37">
            <v>29465</v>
          </cell>
          <cell r="X37">
            <v>31313</v>
          </cell>
          <cell r="Y37">
            <v>0</v>
          </cell>
          <cell r="Z37">
            <v>0</v>
          </cell>
          <cell r="AA37">
            <v>0</v>
          </cell>
        </row>
        <row r="38">
          <cell r="C38">
            <v>168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C39">
            <v>30</v>
          </cell>
          <cell r="D39">
            <v>17853</v>
          </cell>
          <cell r="E39">
            <v>18059</v>
          </cell>
          <cell r="F39">
            <v>18534</v>
          </cell>
          <cell r="G39">
            <v>22305</v>
          </cell>
          <cell r="H39">
            <v>19991</v>
          </cell>
          <cell r="I39">
            <v>19507</v>
          </cell>
          <cell r="J39">
            <v>18896</v>
          </cell>
          <cell r="K39">
            <v>21703</v>
          </cell>
          <cell r="L39">
            <v>21543</v>
          </cell>
          <cell r="P39">
            <v>17853</v>
          </cell>
          <cell r="Q39">
            <v>18059</v>
          </cell>
          <cell r="R39">
            <v>18534</v>
          </cell>
          <cell r="S39">
            <v>22305</v>
          </cell>
          <cell r="T39">
            <v>19991</v>
          </cell>
          <cell r="U39">
            <v>19507</v>
          </cell>
          <cell r="V39">
            <v>18896</v>
          </cell>
          <cell r="W39">
            <v>21703</v>
          </cell>
          <cell r="X39">
            <v>21543</v>
          </cell>
          <cell r="Y39">
            <v>0</v>
          </cell>
          <cell r="Z39">
            <v>0</v>
          </cell>
          <cell r="AA39">
            <v>0</v>
          </cell>
        </row>
        <row r="40">
          <cell r="C40">
            <v>31</v>
          </cell>
          <cell r="D40">
            <v>72239</v>
          </cell>
          <cell r="E40">
            <v>72274</v>
          </cell>
          <cell r="F40">
            <v>72331</v>
          </cell>
          <cell r="G40">
            <v>72424</v>
          </cell>
          <cell r="H40">
            <v>72530</v>
          </cell>
          <cell r="I40">
            <v>72573</v>
          </cell>
          <cell r="J40">
            <v>72643</v>
          </cell>
          <cell r="K40">
            <v>72735</v>
          </cell>
          <cell r="L40">
            <v>73212</v>
          </cell>
          <cell r="P40">
            <v>72239</v>
          </cell>
          <cell r="Q40">
            <v>72274</v>
          </cell>
          <cell r="R40">
            <v>72331</v>
          </cell>
          <cell r="S40">
            <v>72424</v>
          </cell>
          <cell r="T40">
            <v>72530</v>
          </cell>
          <cell r="U40">
            <v>72573</v>
          </cell>
          <cell r="V40">
            <v>72643</v>
          </cell>
          <cell r="W40">
            <v>72735</v>
          </cell>
          <cell r="X40">
            <v>73212</v>
          </cell>
          <cell r="Y40">
            <v>0</v>
          </cell>
          <cell r="Z40">
            <v>0</v>
          </cell>
          <cell r="AA40">
            <v>0</v>
          </cell>
        </row>
        <row r="41">
          <cell r="C41">
            <v>32</v>
          </cell>
          <cell r="D41">
            <v>220085</v>
          </cell>
          <cell r="E41">
            <v>220401</v>
          </cell>
          <cell r="F41">
            <v>221530</v>
          </cell>
          <cell r="G41">
            <v>223283</v>
          </cell>
          <cell r="H41">
            <v>223187</v>
          </cell>
          <cell r="I41">
            <v>224115</v>
          </cell>
          <cell r="J41">
            <v>227649</v>
          </cell>
          <cell r="K41">
            <v>230028</v>
          </cell>
          <cell r="L41">
            <v>230564</v>
          </cell>
          <cell r="P41">
            <v>220085</v>
          </cell>
          <cell r="Q41">
            <v>220401</v>
          </cell>
          <cell r="R41">
            <v>221530</v>
          </cell>
          <cell r="S41">
            <v>223283</v>
          </cell>
          <cell r="T41">
            <v>223187</v>
          </cell>
          <cell r="U41">
            <v>224115</v>
          </cell>
          <cell r="V41">
            <v>227649</v>
          </cell>
          <cell r="W41">
            <v>230028</v>
          </cell>
          <cell r="X41">
            <v>230564</v>
          </cell>
          <cell r="Y41">
            <v>0</v>
          </cell>
          <cell r="Z41">
            <v>0</v>
          </cell>
          <cell r="AA41">
            <v>0</v>
          </cell>
        </row>
        <row r="42">
          <cell r="C42">
            <v>33</v>
          </cell>
          <cell r="D42">
            <v>6962</v>
          </cell>
          <cell r="E42">
            <v>7006</v>
          </cell>
          <cell r="F42">
            <v>7051</v>
          </cell>
          <cell r="G42">
            <v>7096</v>
          </cell>
          <cell r="H42">
            <v>7108</v>
          </cell>
          <cell r="I42">
            <v>7165</v>
          </cell>
          <cell r="J42">
            <v>7211</v>
          </cell>
          <cell r="K42">
            <v>7211</v>
          </cell>
          <cell r="L42">
            <v>7429</v>
          </cell>
          <cell r="P42">
            <v>6962</v>
          </cell>
          <cell r="Q42">
            <v>7006</v>
          </cell>
          <cell r="R42">
            <v>7051</v>
          </cell>
          <cell r="S42">
            <v>7096</v>
          </cell>
          <cell r="T42">
            <v>7108</v>
          </cell>
          <cell r="U42">
            <v>7165</v>
          </cell>
          <cell r="V42">
            <v>7211</v>
          </cell>
          <cell r="W42">
            <v>7211</v>
          </cell>
          <cell r="X42">
            <v>7429</v>
          </cell>
          <cell r="Y42">
            <v>0</v>
          </cell>
          <cell r="Z42">
            <v>0</v>
          </cell>
          <cell r="AA42">
            <v>0</v>
          </cell>
        </row>
        <row r="43">
          <cell r="C43">
            <v>34</v>
          </cell>
          <cell r="D43">
            <v>119407</v>
          </cell>
          <cell r="E43">
            <v>121097</v>
          </cell>
          <cell r="F43">
            <v>122558</v>
          </cell>
          <cell r="G43">
            <v>124354</v>
          </cell>
          <cell r="H43">
            <v>125006</v>
          </cell>
          <cell r="I43">
            <v>126870</v>
          </cell>
          <cell r="J43">
            <v>127505</v>
          </cell>
          <cell r="K43">
            <v>129232</v>
          </cell>
          <cell r="L43">
            <v>130287</v>
          </cell>
          <cell r="P43">
            <v>119407</v>
          </cell>
          <cell r="Q43">
            <v>121097</v>
          </cell>
          <cell r="R43">
            <v>122558</v>
          </cell>
          <cell r="S43">
            <v>124354</v>
          </cell>
          <cell r="T43">
            <v>125006</v>
          </cell>
          <cell r="U43">
            <v>126870</v>
          </cell>
          <cell r="V43">
            <v>127505</v>
          </cell>
          <cell r="W43">
            <v>129232</v>
          </cell>
          <cell r="X43">
            <v>130287</v>
          </cell>
          <cell r="Y43">
            <v>0</v>
          </cell>
          <cell r="Z43">
            <v>0</v>
          </cell>
          <cell r="AA43">
            <v>0</v>
          </cell>
        </row>
        <row r="44">
          <cell r="C44">
            <v>35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</row>
        <row r="45">
          <cell r="C45">
            <v>36</v>
          </cell>
          <cell r="D45">
            <v>4081</v>
          </cell>
          <cell r="E45">
            <v>4030</v>
          </cell>
          <cell r="F45">
            <v>3551</v>
          </cell>
          <cell r="G45">
            <v>1367</v>
          </cell>
          <cell r="H45">
            <v>2870</v>
          </cell>
          <cell r="I45">
            <v>1356</v>
          </cell>
          <cell r="J45">
            <v>1583</v>
          </cell>
          <cell r="K45">
            <v>1419</v>
          </cell>
          <cell r="L45">
            <v>1412</v>
          </cell>
          <cell r="P45">
            <v>4081</v>
          </cell>
          <cell r="Q45">
            <v>4030</v>
          </cell>
          <cell r="R45">
            <v>3551</v>
          </cell>
          <cell r="S45">
            <v>1367</v>
          </cell>
          <cell r="T45">
            <v>2870</v>
          </cell>
          <cell r="U45">
            <v>1356</v>
          </cell>
          <cell r="V45">
            <v>1583</v>
          </cell>
          <cell r="W45">
            <v>1419</v>
          </cell>
          <cell r="X45">
            <v>1412</v>
          </cell>
          <cell r="Y45">
            <v>0</v>
          </cell>
          <cell r="Z45">
            <v>0</v>
          </cell>
          <cell r="AA45">
            <v>0</v>
          </cell>
        </row>
        <row r="46">
          <cell r="C46">
            <v>37</v>
          </cell>
          <cell r="D46">
            <v>113349</v>
          </cell>
          <cell r="E46">
            <v>124945</v>
          </cell>
          <cell r="F46">
            <v>125718</v>
          </cell>
          <cell r="G46">
            <v>133631</v>
          </cell>
          <cell r="H46">
            <v>118701</v>
          </cell>
          <cell r="I46">
            <v>124172</v>
          </cell>
          <cell r="J46">
            <v>121278</v>
          </cell>
          <cell r="K46">
            <v>131798</v>
          </cell>
          <cell r="L46">
            <v>138288</v>
          </cell>
          <cell r="P46">
            <v>113349</v>
          </cell>
          <cell r="Q46">
            <v>124945</v>
          </cell>
          <cell r="R46">
            <v>125718</v>
          </cell>
          <cell r="S46">
            <v>133631</v>
          </cell>
          <cell r="T46">
            <v>118701</v>
          </cell>
          <cell r="U46">
            <v>124172</v>
          </cell>
          <cell r="V46">
            <v>121278</v>
          </cell>
          <cell r="W46">
            <v>131798</v>
          </cell>
          <cell r="X46">
            <v>138288</v>
          </cell>
          <cell r="Y46">
            <v>0</v>
          </cell>
          <cell r="Z46">
            <v>0</v>
          </cell>
          <cell r="AA46">
            <v>0</v>
          </cell>
        </row>
        <row r="47">
          <cell r="C47">
            <v>38</v>
          </cell>
          <cell r="D47">
            <v>48150</v>
          </cell>
          <cell r="E47">
            <v>51698</v>
          </cell>
          <cell r="F47">
            <v>81174</v>
          </cell>
          <cell r="G47">
            <v>68419</v>
          </cell>
          <cell r="H47">
            <v>61976</v>
          </cell>
          <cell r="I47">
            <v>70291</v>
          </cell>
          <cell r="J47">
            <v>68781</v>
          </cell>
          <cell r="K47">
            <v>78691</v>
          </cell>
          <cell r="L47">
            <v>77338</v>
          </cell>
          <cell r="P47">
            <v>48150</v>
          </cell>
          <cell r="Q47">
            <v>51698</v>
          </cell>
          <cell r="R47">
            <v>81174</v>
          </cell>
          <cell r="S47">
            <v>68419</v>
          </cell>
          <cell r="T47">
            <v>61976</v>
          </cell>
          <cell r="U47">
            <v>70291</v>
          </cell>
          <cell r="V47">
            <v>68781</v>
          </cell>
          <cell r="W47">
            <v>78691</v>
          </cell>
          <cell r="X47">
            <v>77338</v>
          </cell>
          <cell r="Y47">
            <v>0</v>
          </cell>
          <cell r="Z47">
            <v>0</v>
          </cell>
          <cell r="AA47">
            <v>0</v>
          </cell>
        </row>
        <row r="48">
          <cell r="C48">
            <v>39</v>
          </cell>
          <cell r="D48">
            <v>974</v>
          </cell>
          <cell r="E48">
            <v>1042</v>
          </cell>
          <cell r="F48">
            <v>1101</v>
          </cell>
          <cell r="G48">
            <v>1123</v>
          </cell>
          <cell r="H48">
            <v>1127</v>
          </cell>
          <cell r="I48">
            <v>1138</v>
          </cell>
          <cell r="J48">
            <v>1152</v>
          </cell>
          <cell r="K48">
            <v>1206</v>
          </cell>
          <cell r="L48">
            <v>1213</v>
          </cell>
          <cell r="P48">
            <v>974</v>
          </cell>
          <cell r="Q48">
            <v>1042</v>
          </cell>
          <cell r="R48">
            <v>1101</v>
          </cell>
          <cell r="S48">
            <v>1123</v>
          </cell>
          <cell r="T48">
            <v>1127</v>
          </cell>
          <cell r="U48">
            <v>1138</v>
          </cell>
          <cell r="V48">
            <v>1152</v>
          </cell>
          <cell r="W48">
            <v>1206</v>
          </cell>
          <cell r="X48">
            <v>1213</v>
          </cell>
          <cell r="Y48">
            <v>0</v>
          </cell>
          <cell r="Z48">
            <v>0</v>
          </cell>
          <cell r="AA48">
            <v>0</v>
          </cell>
        </row>
        <row r="49">
          <cell r="C49">
            <v>40</v>
          </cell>
          <cell r="D49">
            <v>66794</v>
          </cell>
          <cell r="E49">
            <v>63774</v>
          </cell>
          <cell r="F49">
            <v>62488</v>
          </cell>
          <cell r="G49">
            <v>60675</v>
          </cell>
          <cell r="H49">
            <v>72437</v>
          </cell>
          <cell r="I49">
            <v>71981</v>
          </cell>
          <cell r="J49">
            <v>69643</v>
          </cell>
          <cell r="K49">
            <v>68437</v>
          </cell>
          <cell r="L49">
            <v>61397</v>
          </cell>
          <cell r="P49">
            <v>66794</v>
          </cell>
          <cell r="Q49">
            <v>63774</v>
          </cell>
          <cell r="R49">
            <v>62488</v>
          </cell>
          <cell r="S49">
            <v>60675</v>
          </cell>
          <cell r="T49">
            <v>72437</v>
          </cell>
          <cell r="U49">
            <v>71981</v>
          </cell>
          <cell r="V49">
            <v>69643</v>
          </cell>
          <cell r="W49">
            <v>68437</v>
          </cell>
          <cell r="X49">
            <v>61397</v>
          </cell>
          <cell r="Y49">
            <v>0</v>
          </cell>
          <cell r="Z49">
            <v>0</v>
          </cell>
          <cell r="AA49">
            <v>0</v>
          </cell>
        </row>
        <row r="50">
          <cell r="C50">
            <v>41</v>
          </cell>
          <cell r="D50">
            <v>9919</v>
          </cell>
          <cell r="E50">
            <v>10073</v>
          </cell>
          <cell r="F50">
            <v>3207</v>
          </cell>
          <cell r="G50">
            <v>2517</v>
          </cell>
          <cell r="H50">
            <v>-259</v>
          </cell>
          <cell r="I50">
            <v>-308</v>
          </cell>
          <cell r="J50">
            <v>-138</v>
          </cell>
          <cell r="K50">
            <v>-468</v>
          </cell>
          <cell r="L50">
            <v>-295</v>
          </cell>
          <cell r="P50">
            <v>9919</v>
          </cell>
          <cell r="Q50">
            <v>10073</v>
          </cell>
          <cell r="R50">
            <v>3207</v>
          </cell>
          <cell r="S50">
            <v>2517</v>
          </cell>
          <cell r="T50">
            <v>-259</v>
          </cell>
          <cell r="U50">
            <v>-308</v>
          </cell>
          <cell r="V50">
            <v>-138</v>
          </cell>
          <cell r="W50">
            <v>-468</v>
          </cell>
          <cell r="X50">
            <v>-295</v>
          </cell>
          <cell r="Y50">
            <v>0</v>
          </cell>
          <cell r="Z50">
            <v>0</v>
          </cell>
          <cell r="AA50">
            <v>0</v>
          </cell>
        </row>
        <row r="51">
          <cell r="C51">
            <v>42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C52">
            <v>43</v>
          </cell>
          <cell r="D52">
            <v>11327</v>
          </cell>
          <cell r="E52">
            <v>11439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P52">
            <v>11327</v>
          </cell>
          <cell r="Q52">
            <v>11439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C53">
            <v>44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C54">
            <v>45</v>
          </cell>
          <cell r="D54">
            <v>51605</v>
          </cell>
          <cell r="E54">
            <v>51741</v>
          </cell>
          <cell r="F54">
            <v>48692</v>
          </cell>
          <cell r="G54">
            <v>47183</v>
          </cell>
          <cell r="H54">
            <v>47070</v>
          </cell>
          <cell r="I54">
            <v>44728</v>
          </cell>
          <cell r="J54">
            <v>44460</v>
          </cell>
          <cell r="K54">
            <v>45089</v>
          </cell>
          <cell r="L54">
            <v>43849</v>
          </cell>
          <cell r="P54">
            <v>51605</v>
          </cell>
          <cell r="Q54">
            <v>51741</v>
          </cell>
          <cell r="R54">
            <v>48692</v>
          </cell>
          <cell r="S54">
            <v>47183</v>
          </cell>
          <cell r="T54">
            <v>47070</v>
          </cell>
          <cell r="U54">
            <v>44728</v>
          </cell>
          <cell r="V54">
            <v>44460</v>
          </cell>
          <cell r="W54">
            <v>45089</v>
          </cell>
          <cell r="X54">
            <v>43849</v>
          </cell>
          <cell r="Y54">
            <v>0</v>
          </cell>
          <cell r="Z54">
            <v>0</v>
          </cell>
          <cell r="AA54">
            <v>0</v>
          </cell>
        </row>
        <row r="55">
          <cell r="C55">
            <v>46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C56">
            <v>47</v>
          </cell>
          <cell r="D56">
            <v>-873</v>
          </cell>
          <cell r="E56">
            <v>-873</v>
          </cell>
          <cell r="F56">
            <v>-873</v>
          </cell>
          <cell r="G56">
            <v>-873</v>
          </cell>
          <cell r="H56">
            <v>-873</v>
          </cell>
          <cell r="I56">
            <v>-873</v>
          </cell>
          <cell r="J56">
            <v>-873</v>
          </cell>
          <cell r="K56">
            <v>-873</v>
          </cell>
          <cell r="L56">
            <v>-873</v>
          </cell>
          <cell r="P56">
            <v>-873</v>
          </cell>
          <cell r="Q56">
            <v>-873</v>
          </cell>
          <cell r="R56">
            <v>-873</v>
          </cell>
          <cell r="S56">
            <v>-873</v>
          </cell>
          <cell r="T56">
            <v>-873</v>
          </cell>
          <cell r="U56">
            <v>-873</v>
          </cell>
          <cell r="V56">
            <v>-873</v>
          </cell>
          <cell r="W56">
            <v>-873</v>
          </cell>
          <cell r="X56">
            <v>-873</v>
          </cell>
          <cell r="Y56">
            <v>0</v>
          </cell>
          <cell r="Z56">
            <v>0</v>
          </cell>
          <cell r="AA56">
            <v>0</v>
          </cell>
        </row>
        <row r="57">
          <cell r="C57">
            <v>48</v>
          </cell>
          <cell r="D57">
            <v>7171</v>
          </cell>
          <cell r="E57">
            <v>7394</v>
          </cell>
          <cell r="F57">
            <v>7361</v>
          </cell>
          <cell r="G57">
            <v>7430</v>
          </cell>
          <cell r="H57">
            <v>7842</v>
          </cell>
          <cell r="I57">
            <v>8061</v>
          </cell>
          <cell r="J57">
            <v>8149</v>
          </cell>
          <cell r="K57">
            <v>8373</v>
          </cell>
          <cell r="L57">
            <v>9354</v>
          </cell>
          <cell r="P57">
            <v>7171</v>
          </cell>
          <cell r="Q57">
            <v>7394</v>
          </cell>
          <cell r="R57">
            <v>7361</v>
          </cell>
          <cell r="S57">
            <v>7430</v>
          </cell>
          <cell r="T57">
            <v>7842</v>
          </cell>
          <cell r="U57">
            <v>8061</v>
          </cell>
          <cell r="V57">
            <v>8149</v>
          </cell>
          <cell r="W57">
            <v>8373</v>
          </cell>
          <cell r="X57">
            <v>9354</v>
          </cell>
          <cell r="Y57">
            <v>0</v>
          </cell>
          <cell r="Z57">
            <v>0</v>
          </cell>
          <cell r="AA57">
            <v>0</v>
          </cell>
        </row>
        <row r="58">
          <cell r="C58">
            <v>49</v>
          </cell>
          <cell r="D58">
            <v>335</v>
          </cell>
          <cell r="E58">
            <v>335</v>
          </cell>
          <cell r="F58">
            <v>335</v>
          </cell>
          <cell r="G58">
            <v>335</v>
          </cell>
          <cell r="H58">
            <v>335</v>
          </cell>
          <cell r="I58">
            <v>335</v>
          </cell>
          <cell r="J58">
            <v>335</v>
          </cell>
          <cell r="K58">
            <v>335</v>
          </cell>
          <cell r="L58">
            <v>335</v>
          </cell>
          <cell r="P58">
            <v>335</v>
          </cell>
          <cell r="Q58">
            <v>335</v>
          </cell>
          <cell r="R58">
            <v>335</v>
          </cell>
          <cell r="S58">
            <v>335</v>
          </cell>
          <cell r="T58">
            <v>335</v>
          </cell>
          <cell r="U58">
            <v>335</v>
          </cell>
          <cell r="V58">
            <v>335</v>
          </cell>
          <cell r="W58">
            <v>335</v>
          </cell>
          <cell r="X58">
            <v>335</v>
          </cell>
          <cell r="Y58">
            <v>0</v>
          </cell>
          <cell r="Z58">
            <v>0</v>
          </cell>
          <cell r="AA58">
            <v>0</v>
          </cell>
        </row>
        <row r="59">
          <cell r="D59">
            <v>115282</v>
          </cell>
          <cell r="E59">
            <v>115282</v>
          </cell>
          <cell r="F59">
            <v>141546</v>
          </cell>
          <cell r="G59">
            <v>141546</v>
          </cell>
          <cell r="H59">
            <v>141546</v>
          </cell>
          <cell r="I59">
            <v>141546</v>
          </cell>
          <cell r="J59">
            <v>141546</v>
          </cell>
          <cell r="K59">
            <v>141546</v>
          </cell>
          <cell r="L59">
            <v>141546</v>
          </cell>
          <cell r="P59">
            <v>115282</v>
          </cell>
          <cell r="Q59">
            <v>115282</v>
          </cell>
          <cell r="R59">
            <v>141546</v>
          </cell>
          <cell r="S59">
            <v>141546</v>
          </cell>
          <cell r="T59">
            <v>141546</v>
          </cell>
          <cell r="U59">
            <v>141546</v>
          </cell>
          <cell r="V59">
            <v>141546</v>
          </cell>
          <cell r="W59">
            <v>141546</v>
          </cell>
          <cell r="X59">
            <v>141546</v>
          </cell>
          <cell r="Y59">
            <v>0</v>
          </cell>
          <cell r="Z59">
            <v>0</v>
          </cell>
          <cell r="AA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</row>
        <row r="61">
          <cell r="C61">
            <v>165</v>
          </cell>
          <cell r="D61">
            <v>-9699</v>
          </cell>
          <cell r="E61">
            <v>-9976</v>
          </cell>
          <cell r="F61">
            <v>-659</v>
          </cell>
          <cell r="G61">
            <v>68</v>
          </cell>
          <cell r="H61">
            <v>47</v>
          </cell>
          <cell r="I61">
            <v>358</v>
          </cell>
          <cell r="J61">
            <v>458</v>
          </cell>
          <cell r="K61">
            <v>-333</v>
          </cell>
          <cell r="L61">
            <v>1561</v>
          </cell>
        </row>
        <row r="62">
          <cell r="C62">
            <v>51</v>
          </cell>
          <cell r="D62">
            <v>8907</v>
          </cell>
          <cell r="E62">
            <v>8907</v>
          </cell>
          <cell r="F62">
            <v>8907</v>
          </cell>
          <cell r="G62">
            <v>8907</v>
          </cell>
          <cell r="H62">
            <v>8907</v>
          </cell>
          <cell r="I62">
            <v>8907</v>
          </cell>
          <cell r="J62">
            <v>8907</v>
          </cell>
          <cell r="K62">
            <v>8907</v>
          </cell>
          <cell r="L62">
            <v>8907</v>
          </cell>
          <cell r="P62">
            <v>8907</v>
          </cell>
          <cell r="Q62">
            <v>8907</v>
          </cell>
          <cell r="R62">
            <v>8907</v>
          </cell>
          <cell r="S62">
            <v>8907</v>
          </cell>
          <cell r="T62">
            <v>8907</v>
          </cell>
          <cell r="U62">
            <v>8907</v>
          </cell>
          <cell r="V62">
            <v>8907</v>
          </cell>
          <cell r="W62">
            <v>8907</v>
          </cell>
          <cell r="X62">
            <v>8907</v>
          </cell>
          <cell r="Y62">
            <v>0</v>
          </cell>
          <cell r="Z62">
            <v>0</v>
          </cell>
          <cell r="AA62">
            <v>0</v>
          </cell>
        </row>
        <row r="63">
          <cell r="C63" t="str">
            <v xml:space="preserve"> </v>
          </cell>
        </row>
        <row r="64">
          <cell r="C64">
            <v>53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C65">
            <v>54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8">
          <cell r="C68">
            <v>55</v>
          </cell>
          <cell r="D68">
            <v>2677</v>
          </cell>
          <cell r="E68">
            <v>7161</v>
          </cell>
          <cell r="F68">
            <v>11006</v>
          </cell>
          <cell r="G68">
            <v>15772</v>
          </cell>
          <cell r="H68">
            <v>18233</v>
          </cell>
          <cell r="I68">
            <v>22226</v>
          </cell>
          <cell r="J68">
            <v>24027</v>
          </cell>
          <cell r="K68">
            <v>28427</v>
          </cell>
          <cell r="L68">
            <v>30603</v>
          </cell>
          <cell r="P68">
            <v>2677</v>
          </cell>
          <cell r="Q68">
            <v>4484</v>
          </cell>
          <cell r="R68">
            <v>3845</v>
          </cell>
          <cell r="S68">
            <v>4766</v>
          </cell>
          <cell r="T68">
            <v>2461</v>
          </cell>
          <cell r="U68">
            <v>3993</v>
          </cell>
          <cell r="V68">
            <v>1801</v>
          </cell>
          <cell r="W68">
            <v>4400</v>
          </cell>
          <cell r="X68">
            <v>2176</v>
          </cell>
          <cell r="Y68">
            <v>-30603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8377</v>
          </cell>
          <cell r="AE68">
            <v>0</v>
          </cell>
          <cell r="AF68">
            <v>8377</v>
          </cell>
        </row>
        <row r="69">
          <cell r="C69">
            <v>56</v>
          </cell>
          <cell r="D69">
            <v>13535</v>
          </cell>
          <cell r="E69">
            <v>25150</v>
          </cell>
          <cell r="F69">
            <v>42421</v>
          </cell>
          <cell r="G69">
            <v>51038</v>
          </cell>
          <cell r="H69">
            <v>63355</v>
          </cell>
          <cell r="I69">
            <v>80871</v>
          </cell>
          <cell r="J69">
            <v>98778</v>
          </cell>
          <cell r="K69">
            <v>119114</v>
          </cell>
          <cell r="L69">
            <v>130600</v>
          </cell>
          <cell r="P69">
            <v>13535</v>
          </cell>
          <cell r="Q69">
            <v>11615</v>
          </cell>
          <cell r="R69">
            <v>17271</v>
          </cell>
          <cell r="S69">
            <v>8617</v>
          </cell>
          <cell r="T69">
            <v>12317</v>
          </cell>
          <cell r="U69">
            <v>17516</v>
          </cell>
          <cell r="V69">
            <v>17907</v>
          </cell>
          <cell r="W69">
            <v>20336</v>
          </cell>
          <cell r="X69">
            <v>11486</v>
          </cell>
          <cell r="Y69">
            <v>-130600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49729</v>
          </cell>
          <cell r="AE69">
            <v>0</v>
          </cell>
          <cell r="AF69">
            <v>49729</v>
          </cell>
        </row>
        <row r="70">
          <cell r="C70">
            <v>57</v>
          </cell>
          <cell r="D70">
            <v>1</v>
          </cell>
          <cell r="E70">
            <v>23</v>
          </cell>
          <cell r="F70">
            <v>23</v>
          </cell>
          <cell r="G70">
            <v>23</v>
          </cell>
          <cell r="H70">
            <v>23</v>
          </cell>
          <cell r="I70">
            <v>23</v>
          </cell>
          <cell r="J70">
            <v>23</v>
          </cell>
          <cell r="K70">
            <v>23</v>
          </cell>
          <cell r="L70">
            <v>23</v>
          </cell>
          <cell r="P70">
            <v>1</v>
          </cell>
          <cell r="Q70">
            <v>22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-23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C71">
            <v>58</v>
          </cell>
          <cell r="D71">
            <v>16719</v>
          </cell>
          <cell r="E71">
            <v>35340</v>
          </cell>
          <cell r="F71">
            <v>52053</v>
          </cell>
          <cell r="G71">
            <v>68866</v>
          </cell>
          <cell r="H71">
            <v>77531</v>
          </cell>
          <cell r="I71">
            <v>89895</v>
          </cell>
          <cell r="J71">
            <v>97593</v>
          </cell>
          <cell r="K71">
            <v>112266</v>
          </cell>
          <cell r="L71">
            <v>125291</v>
          </cell>
          <cell r="P71">
            <v>16719</v>
          </cell>
          <cell r="Q71">
            <v>18621</v>
          </cell>
          <cell r="R71">
            <v>16713</v>
          </cell>
          <cell r="S71">
            <v>16813</v>
          </cell>
          <cell r="T71">
            <v>8665</v>
          </cell>
          <cell r="U71">
            <v>12364</v>
          </cell>
          <cell r="V71">
            <v>7698</v>
          </cell>
          <cell r="W71">
            <v>14673</v>
          </cell>
          <cell r="X71">
            <v>13025</v>
          </cell>
          <cell r="Y71">
            <v>-125291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35396</v>
          </cell>
          <cell r="AE71">
            <v>0</v>
          </cell>
          <cell r="AF71">
            <v>35396</v>
          </cell>
        </row>
        <row r="72">
          <cell r="C72">
            <v>59</v>
          </cell>
          <cell r="D72">
            <v>795</v>
          </cell>
          <cell r="E72">
            <v>2036</v>
          </cell>
          <cell r="F72">
            <v>3099</v>
          </cell>
          <cell r="G72">
            <v>4589</v>
          </cell>
          <cell r="H72">
            <v>4889</v>
          </cell>
          <cell r="I72">
            <v>6382</v>
          </cell>
          <cell r="J72">
            <v>6647</v>
          </cell>
          <cell r="K72">
            <v>8058</v>
          </cell>
          <cell r="L72">
            <v>9476</v>
          </cell>
          <cell r="P72">
            <v>795</v>
          </cell>
          <cell r="Q72">
            <v>1241</v>
          </cell>
          <cell r="R72">
            <v>1063</v>
          </cell>
          <cell r="S72">
            <v>1490</v>
          </cell>
          <cell r="T72">
            <v>300</v>
          </cell>
          <cell r="U72">
            <v>1493</v>
          </cell>
          <cell r="V72">
            <v>265</v>
          </cell>
          <cell r="W72">
            <v>1411</v>
          </cell>
          <cell r="X72">
            <v>1418</v>
          </cell>
          <cell r="Y72">
            <v>-9476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3094</v>
          </cell>
          <cell r="AE72">
            <v>0</v>
          </cell>
          <cell r="AF72">
            <v>3094</v>
          </cell>
        </row>
        <row r="73">
          <cell r="C73">
            <v>60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</row>
        <row r="74">
          <cell r="C74">
            <v>61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</row>
        <row r="75">
          <cell r="C75">
            <v>160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6">
          <cell r="C76">
            <v>161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</row>
        <row r="77">
          <cell r="C77">
            <v>62</v>
          </cell>
          <cell r="D77">
            <v>593</v>
          </cell>
          <cell r="E77">
            <v>681</v>
          </cell>
          <cell r="F77">
            <v>681</v>
          </cell>
          <cell r="G77">
            <v>681</v>
          </cell>
          <cell r="H77">
            <v>750</v>
          </cell>
          <cell r="I77">
            <v>750</v>
          </cell>
          <cell r="J77">
            <v>750</v>
          </cell>
          <cell r="K77">
            <v>2107</v>
          </cell>
          <cell r="L77">
            <v>3767</v>
          </cell>
          <cell r="P77">
            <v>593</v>
          </cell>
          <cell r="Q77">
            <v>88</v>
          </cell>
          <cell r="R77">
            <v>0</v>
          </cell>
          <cell r="S77">
            <v>0</v>
          </cell>
          <cell r="T77">
            <v>69</v>
          </cell>
          <cell r="U77">
            <v>0</v>
          </cell>
          <cell r="V77">
            <v>0</v>
          </cell>
          <cell r="W77">
            <v>1357</v>
          </cell>
          <cell r="X77">
            <v>1660</v>
          </cell>
          <cell r="Y77">
            <v>-3767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3017</v>
          </cell>
          <cell r="AE77">
            <v>0</v>
          </cell>
          <cell r="AF77">
            <v>3017</v>
          </cell>
        </row>
        <row r="80">
          <cell r="C80">
            <v>130</v>
          </cell>
          <cell r="D80">
            <v>1779</v>
          </cell>
          <cell r="E80">
            <v>3603</v>
          </cell>
          <cell r="F80">
            <v>5302</v>
          </cell>
          <cell r="G80">
            <v>7027</v>
          </cell>
          <cell r="H80">
            <v>8730</v>
          </cell>
          <cell r="I80">
            <v>10720</v>
          </cell>
          <cell r="J80">
            <v>12239</v>
          </cell>
          <cell r="K80">
            <v>13688</v>
          </cell>
          <cell r="L80">
            <v>15326</v>
          </cell>
          <cell r="P80">
            <v>1779</v>
          </cell>
          <cell r="Q80">
            <v>1824</v>
          </cell>
          <cell r="R80">
            <v>1699</v>
          </cell>
          <cell r="S80">
            <v>1725</v>
          </cell>
          <cell r="T80">
            <v>1703</v>
          </cell>
          <cell r="U80">
            <v>1990</v>
          </cell>
          <cell r="V80">
            <v>1519</v>
          </cell>
          <cell r="W80">
            <v>1449</v>
          </cell>
          <cell r="X80">
            <v>1638</v>
          </cell>
          <cell r="Y80">
            <v>-15326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4606</v>
          </cell>
          <cell r="AE80">
            <v>0</v>
          </cell>
          <cell r="AF80">
            <v>4606</v>
          </cell>
        </row>
        <row r="81">
          <cell r="C81">
            <v>131</v>
          </cell>
          <cell r="D81">
            <v>1172</v>
          </cell>
          <cell r="E81">
            <v>1570</v>
          </cell>
          <cell r="F81">
            <v>2326</v>
          </cell>
          <cell r="G81">
            <v>3205</v>
          </cell>
          <cell r="H81">
            <v>4000</v>
          </cell>
          <cell r="I81">
            <v>5252</v>
          </cell>
          <cell r="J81">
            <v>6067</v>
          </cell>
          <cell r="K81">
            <v>7078</v>
          </cell>
          <cell r="L81">
            <v>7777</v>
          </cell>
          <cell r="P81">
            <v>1172</v>
          </cell>
          <cell r="Q81">
            <v>398</v>
          </cell>
          <cell r="R81">
            <v>756</v>
          </cell>
          <cell r="S81">
            <v>879</v>
          </cell>
          <cell r="T81">
            <v>795</v>
          </cell>
          <cell r="U81">
            <v>1252</v>
          </cell>
          <cell r="V81">
            <v>815</v>
          </cell>
          <cell r="W81">
            <v>1011</v>
          </cell>
          <cell r="X81">
            <v>699</v>
          </cell>
          <cell r="Y81">
            <v>-7777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2525</v>
          </cell>
          <cell r="AE81">
            <v>0</v>
          </cell>
          <cell r="AF81">
            <v>2525</v>
          </cell>
        </row>
        <row r="82">
          <cell r="C82">
            <v>132</v>
          </cell>
          <cell r="D82">
            <v>197</v>
          </cell>
          <cell r="E82">
            <v>369</v>
          </cell>
          <cell r="F82">
            <v>572</v>
          </cell>
          <cell r="G82">
            <v>896</v>
          </cell>
          <cell r="H82">
            <v>1071</v>
          </cell>
          <cell r="I82">
            <v>1148</v>
          </cell>
          <cell r="J82">
            <v>1280</v>
          </cell>
          <cell r="K82">
            <v>1524</v>
          </cell>
          <cell r="L82">
            <v>1637</v>
          </cell>
          <cell r="P82">
            <v>197</v>
          </cell>
          <cell r="Q82">
            <v>172</v>
          </cell>
          <cell r="R82">
            <v>203</v>
          </cell>
          <cell r="S82">
            <v>324</v>
          </cell>
          <cell r="T82">
            <v>175</v>
          </cell>
          <cell r="U82">
            <v>77</v>
          </cell>
          <cell r="V82">
            <v>132</v>
          </cell>
          <cell r="W82">
            <v>244</v>
          </cell>
          <cell r="X82">
            <v>113</v>
          </cell>
          <cell r="Y82">
            <v>-1637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489</v>
          </cell>
          <cell r="AE82">
            <v>0</v>
          </cell>
          <cell r="AF82">
            <v>489</v>
          </cell>
        </row>
        <row r="83">
          <cell r="C83">
            <v>133</v>
          </cell>
          <cell r="D83">
            <v>75</v>
          </cell>
          <cell r="E83">
            <v>151</v>
          </cell>
          <cell r="F83">
            <v>222</v>
          </cell>
          <cell r="G83">
            <v>297</v>
          </cell>
          <cell r="H83">
            <v>367</v>
          </cell>
          <cell r="I83">
            <v>437</v>
          </cell>
          <cell r="J83">
            <v>503</v>
          </cell>
          <cell r="K83">
            <v>571</v>
          </cell>
          <cell r="L83">
            <v>630</v>
          </cell>
          <cell r="P83">
            <v>75</v>
          </cell>
          <cell r="Q83">
            <v>76</v>
          </cell>
          <cell r="R83">
            <v>71</v>
          </cell>
          <cell r="S83">
            <v>75</v>
          </cell>
          <cell r="T83">
            <v>70</v>
          </cell>
          <cell r="U83">
            <v>70</v>
          </cell>
          <cell r="V83">
            <v>66</v>
          </cell>
          <cell r="W83">
            <v>68</v>
          </cell>
          <cell r="X83">
            <v>59</v>
          </cell>
          <cell r="Y83">
            <v>-630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193</v>
          </cell>
          <cell r="AE83">
            <v>0</v>
          </cell>
          <cell r="AF83">
            <v>193</v>
          </cell>
        </row>
        <row r="84">
          <cell r="C84">
            <v>134</v>
          </cell>
          <cell r="D84">
            <v>919</v>
          </cell>
          <cell r="E84">
            <v>1474</v>
          </cell>
          <cell r="F84">
            <v>1908</v>
          </cell>
          <cell r="G84">
            <v>2372</v>
          </cell>
          <cell r="H84">
            <v>2887</v>
          </cell>
          <cell r="I84">
            <v>3175</v>
          </cell>
          <cell r="J84">
            <v>3894</v>
          </cell>
          <cell r="K84">
            <v>4513</v>
          </cell>
          <cell r="L84">
            <v>5090</v>
          </cell>
          <cell r="P84">
            <v>919</v>
          </cell>
          <cell r="Q84">
            <v>555</v>
          </cell>
          <cell r="R84">
            <v>434</v>
          </cell>
          <cell r="S84">
            <v>464</v>
          </cell>
          <cell r="T84">
            <v>515</v>
          </cell>
          <cell r="U84">
            <v>288</v>
          </cell>
          <cell r="V84">
            <v>719</v>
          </cell>
          <cell r="W84">
            <v>619</v>
          </cell>
          <cell r="X84">
            <v>577</v>
          </cell>
          <cell r="Y84">
            <v>-5090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1915</v>
          </cell>
          <cell r="AE84">
            <v>0</v>
          </cell>
          <cell r="AF84">
            <v>1915</v>
          </cell>
        </row>
        <row r="85">
          <cell r="C85">
            <v>135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</row>
        <row r="86">
          <cell r="C86">
            <v>136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C87">
            <v>137</v>
          </cell>
          <cell r="D87">
            <v>131</v>
          </cell>
          <cell r="E87">
            <v>132</v>
          </cell>
          <cell r="F87">
            <v>134</v>
          </cell>
          <cell r="G87">
            <v>151</v>
          </cell>
          <cell r="H87">
            <v>168</v>
          </cell>
          <cell r="I87">
            <v>179</v>
          </cell>
          <cell r="J87">
            <v>181</v>
          </cell>
          <cell r="K87">
            <v>184</v>
          </cell>
          <cell r="L87">
            <v>200</v>
          </cell>
          <cell r="P87">
            <v>131</v>
          </cell>
          <cell r="Q87">
            <v>1</v>
          </cell>
          <cell r="R87">
            <v>2</v>
          </cell>
          <cell r="S87">
            <v>17</v>
          </cell>
          <cell r="T87">
            <v>17</v>
          </cell>
          <cell r="U87">
            <v>11</v>
          </cell>
          <cell r="V87">
            <v>2</v>
          </cell>
          <cell r="W87">
            <v>3</v>
          </cell>
          <cell r="X87">
            <v>16</v>
          </cell>
          <cell r="Y87">
            <v>-200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21</v>
          </cell>
          <cell r="AE87">
            <v>0</v>
          </cell>
          <cell r="AF87">
            <v>21</v>
          </cell>
        </row>
        <row r="88">
          <cell r="C88">
            <v>138</v>
          </cell>
          <cell r="D88">
            <v>113</v>
          </cell>
          <cell r="E88">
            <v>484</v>
          </cell>
          <cell r="F88">
            <v>674</v>
          </cell>
          <cell r="G88">
            <v>1012</v>
          </cell>
          <cell r="H88">
            <v>1391</v>
          </cell>
          <cell r="I88">
            <v>1831</v>
          </cell>
          <cell r="J88">
            <v>2165</v>
          </cell>
          <cell r="K88">
            <v>2461</v>
          </cell>
          <cell r="L88">
            <v>2952</v>
          </cell>
          <cell r="P88">
            <v>113</v>
          </cell>
          <cell r="Q88">
            <v>371</v>
          </cell>
          <cell r="R88">
            <v>190</v>
          </cell>
          <cell r="S88">
            <v>338</v>
          </cell>
          <cell r="T88">
            <v>379</v>
          </cell>
          <cell r="U88">
            <v>440</v>
          </cell>
          <cell r="V88">
            <v>334</v>
          </cell>
          <cell r="W88">
            <v>296</v>
          </cell>
          <cell r="X88">
            <v>491</v>
          </cell>
          <cell r="Y88">
            <v>-2952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1121</v>
          </cell>
          <cell r="AE88">
            <v>0</v>
          </cell>
          <cell r="AF88">
            <v>1121</v>
          </cell>
        </row>
        <row r="89">
          <cell r="C89">
            <v>139</v>
          </cell>
          <cell r="D89">
            <v>125</v>
          </cell>
          <cell r="E89">
            <v>255</v>
          </cell>
          <cell r="F89">
            <v>364</v>
          </cell>
          <cell r="G89">
            <v>463</v>
          </cell>
          <cell r="H89">
            <v>624</v>
          </cell>
          <cell r="I89">
            <v>757</v>
          </cell>
          <cell r="J89">
            <v>913</v>
          </cell>
          <cell r="K89">
            <v>1036</v>
          </cell>
          <cell r="L89">
            <v>1162</v>
          </cell>
          <cell r="P89">
            <v>125</v>
          </cell>
          <cell r="Q89">
            <v>130</v>
          </cell>
          <cell r="R89">
            <v>109</v>
          </cell>
          <cell r="S89">
            <v>99</v>
          </cell>
          <cell r="T89">
            <v>161</v>
          </cell>
          <cell r="U89">
            <v>133</v>
          </cell>
          <cell r="V89">
            <v>156</v>
          </cell>
          <cell r="W89">
            <v>123</v>
          </cell>
          <cell r="X89">
            <v>126</v>
          </cell>
          <cell r="Y89">
            <v>-1162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405</v>
          </cell>
          <cell r="AE89">
            <v>0</v>
          </cell>
          <cell r="AF89">
            <v>405</v>
          </cell>
        </row>
        <row r="90">
          <cell r="C90">
            <v>162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</row>
        <row r="91">
          <cell r="C91">
            <v>169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</row>
        <row r="92">
          <cell r="C92">
            <v>140</v>
          </cell>
          <cell r="D92">
            <v>857</v>
          </cell>
          <cell r="E92">
            <v>1639</v>
          </cell>
          <cell r="F92">
            <v>2066</v>
          </cell>
          <cell r="G92">
            <v>2899</v>
          </cell>
          <cell r="H92">
            <v>3781</v>
          </cell>
          <cell r="I92">
            <v>4674</v>
          </cell>
          <cell r="J92">
            <v>5415</v>
          </cell>
          <cell r="K92">
            <v>6416</v>
          </cell>
          <cell r="L92">
            <v>7355</v>
          </cell>
          <cell r="P92">
            <v>857</v>
          </cell>
          <cell r="Q92">
            <v>782</v>
          </cell>
          <cell r="R92">
            <v>427</v>
          </cell>
          <cell r="S92">
            <v>833</v>
          </cell>
          <cell r="T92">
            <v>882</v>
          </cell>
          <cell r="U92">
            <v>893</v>
          </cell>
          <cell r="V92">
            <v>741</v>
          </cell>
          <cell r="W92">
            <v>1001</v>
          </cell>
          <cell r="X92">
            <v>939</v>
          </cell>
          <cell r="Y92">
            <v>-7355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2681</v>
          </cell>
          <cell r="AE92">
            <v>0</v>
          </cell>
          <cell r="AF92">
            <v>2681</v>
          </cell>
        </row>
        <row r="95">
          <cell r="C95">
            <v>141</v>
          </cell>
          <cell r="D95">
            <v>1711</v>
          </cell>
          <cell r="E95">
            <v>3199</v>
          </cell>
          <cell r="F95">
            <v>4917</v>
          </cell>
          <cell r="G95">
            <v>6384</v>
          </cell>
          <cell r="H95">
            <v>7858</v>
          </cell>
          <cell r="I95">
            <v>9208</v>
          </cell>
          <cell r="J95">
            <v>10618</v>
          </cell>
          <cell r="K95">
            <v>12161</v>
          </cell>
          <cell r="L95">
            <v>13681</v>
          </cell>
          <cell r="P95">
            <v>1711</v>
          </cell>
          <cell r="Q95">
            <v>1488</v>
          </cell>
          <cell r="R95">
            <v>1718</v>
          </cell>
          <cell r="S95">
            <v>1467</v>
          </cell>
          <cell r="T95">
            <v>1474</v>
          </cell>
          <cell r="U95">
            <v>1350</v>
          </cell>
          <cell r="V95">
            <v>1410</v>
          </cell>
          <cell r="W95">
            <v>1543</v>
          </cell>
          <cell r="X95">
            <v>1520</v>
          </cell>
          <cell r="Y95">
            <v>-13681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4473</v>
          </cell>
          <cell r="AE95">
            <v>0</v>
          </cell>
          <cell r="AF95">
            <v>4473</v>
          </cell>
        </row>
        <row r="96">
          <cell r="C96">
            <v>142</v>
          </cell>
          <cell r="D96">
            <v>316</v>
          </cell>
          <cell r="E96">
            <v>690</v>
          </cell>
          <cell r="F96">
            <v>1046</v>
          </cell>
          <cell r="G96">
            <v>1294</v>
          </cell>
          <cell r="H96">
            <v>1575</v>
          </cell>
          <cell r="I96">
            <v>1878</v>
          </cell>
          <cell r="J96">
            <v>2181</v>
          </cell>
          <cell r="K96">
            <v>2429</v>
          </cell>
          <cell r="L96">
            <v>2807</v>
          </cell>
          <cell r="P96">
            <v>316</v>
          </cell>
          <cell r="Q96">
            <v>374</v>
          </cell>
          <cell r="R96">
            <v>356</v>
          </cell>
          <cell r="S96">
            <v>248</v>
          </cell>
          <cell r="T96">
            <v>281</v>
          </cell>
          <cell r="U96">
            <v>303</v>
          </cell>
          <cell r="V96">
            <v>303</v>
          </cell>
          <cell r="W96">
            <v>248</v>
          </cell>
          <cell r="X96">
            <v>378</v>
          </cell>
          <cell r="Y96">
            <v>-2807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929</v>
          </cell>
          <cell r="AE96">
            <v>0</v>
          </cell>
          <cell r="AF96">
            <v>929</v>
          </cell>
        </row>
        <row r="97">
          <cell r="C97">
            <v>143</v>
          </cell>
          <cell r="D97">
            <v>0</v>
          </cell>
          <cell r="E97">
            <v>-1102</v>
          </cell>
          <cell r="F97">
            <v>-1102</v>
          </cell>
          <cell r="G97">
            <v>-998</v>
          </cell>
          <cell r="H97">
            <v>-895</v>
          </cell>
          <cell r="I97">
            <v>-791</v>
          </cell>
          <cell r="J97">
            <v>-686</v>
          </cell>
          <cell r="K97">
            <v>-576</v>
          </cell>
          <cell r="L97">
            <v>-466</v>
          </cell>
          <cell r="P97">
            <v>0</v>
          </cell>
          <cell r="Q97">
            <v>-1102</v>
          </cell>
          <cell r="R97">
            <v>0</v>
          </cell>
          <cell r="S97">
            <v>104</v>
          </cell>
          <cell r="T97">
            <v>103</v>
          </cell>
          <cell r="U97">
            <v>104</v>
          </cell>
          <cell r="V97">
            <v>105</v>
          </cell>
          <cell r="W97">
            <v>110</v>
          </cell>
          <cell r="X97">
            <v>110</v>
          </cell>
          <cell r="Y97">
            <v>466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325</v>
          </cell>
          <cell r="AE97">
            <v>0</v>
          </cell>
          <cell r="AF97">
            <v>325</v>
          </cell>
        </row>
        <row r="98">
          <cell r="C98">
            <v>144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62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62</v>
          </cell>
          <cell r="Y98">
            <v>-62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62</v>
          </cell>
          <cell r="AE98">
            <v>0</v>
          </cell>
          <cell r="AF98">
            <v>62</v>
          </cell>
        </row>
        <row r="99">
          <cell r="C99">
            <v>145</v>
          </cell>
          <cell r="D99">
            <v>61</v>
          </cell>
          <cell r="E99">
            <v>210</v>
          </cell>
          <cell r="F99">
            <v>304</v>
          </cell>
          <cell r="G99">
            <v>569</v>
          </cell>
          <cell r="H99">
            <v>650</v>
          </cell>
          <cell r="I99">
            <v>762</v>
          </cell>
          <cell r="J99">
            <v>827</v>
          </cell>
          <cell r="K99">
            <v>896</v>
          </cell>
          <cell r="L99">
            <v>966</v>
          </cell>
          <cell r="P99">
            <v>61</v>
          </cell>
          <cell r="Q99">
            <v>149</v>
          </cell>
          <cell r="R99">
            <v>94</v>
          </cell>
          <cell r="S99">
            <v>265</v>
          </cell>
          <cell r="T99">
            <v>81</v>
          </cell>
          <cell r="U99">
            <v>112</v>
          </cell>
          <cell r="V99">
            <v>65</v>
          </cell>
          <cell r="W99">
            <v>69</v>
          </cell>
          <cell r="X99">
            <v>70</v>
          </cell>
          <cell r="Y99">
            <v>-966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204</v>
          </cell>
          <cell r="AE99">
            <v>0</v>
          </cell>
          <cell r="AF99">
            <v>204</v>
          </cell>
        </row>
        <row r="100">
          <cell r="C100">
            <v>146</v>
          </cell>
          <cell r="D100">
            <v>126</v>
          </cell>
          <cell r="E100">
            <v>287</v>
          </cell>
          <cell r="F100">
            <v>420</v>
          </cell>
          <cell r="G100">
            <v>554</v>
          </cell>
          <cell r="H100">
            <v>693</v>
          </cell>
          <cell r="I100">
            <v>851</v>
          </cell>
          <cell r="J100">
            <v>998</v>
          </cell>
          <cell r="K100">
            <v>1320</v>
          </cell>
          <cell r="L100">
            <v>1440</v>
          </cell>
          <cell r="P100">
            <v>126</v>
          </cell>
          <cell r="Q100">
            <v>161</v>
          </cell>
          <cell r="R100">
            <v>133</v>
          </cell>
          <cell r="S100">
            <v>134</v>
          </cell>
          <cell r="T100">
            <v>139</v>
          </cell>
          <cell r="U100">
            <v>158</v>
          </cell>
          <cell r="V100">
            <v>147</v>
          </cell>
          <cell r="W100">
            <v>322</v>
          </cell>
          <cell r="X100">
            <v>120</v>
          </cell>
          <cell r="Y100">
            <v>-1440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589</v>
          </cell>
          <cell r="AE100">
            <v>0</v>
          </cell>
          <cell r="AF100">
            <v>589</v>
          </cell>
        </row>
        <row r="101">
          <cell r="C101">
            <v>147</v>
          </cell>
          <cell r="D101">
            <v>115</v>
          </cell>
          <cell r="E101">
            <v>187</v>
          </cell>
          <cell r="F101">
            <v>202</v>
          </cell>
          <cell r="G101">
            <v>233</v>
          </cell>
          <cell r="H101">
            <v>261</v>
          </cell>
          <cell r="I101">
            <v>316</v>
          </cell>
          <cell r="J101">
            <v>358</v>
          </cell>
          <cell r="K101">
            <v>382</v>
          </cell>
          <cell r="L101">
            <v>570</v>
          </cell>
          <cell r="P101">
            <v>115</v>
          </cell>
          <cell r="Q101">
            <v>72</v>
          </cell>
          <cell r="R101">
            <v>15</v>
          </cell>
          <cell r="S101">
            <v>31</v>
          </cell>
          <cell r="T101">
            <v>28</v>
          </cell>
          <cell r="U101">
            <v>55</v>
          </cell>
          <cell r="V101">
            <v>42</v>
          </cell>
          <cell r="W101">
            <v>24</v>
          </cell>
          <cell r="X101">
            <v>188</v>
          </cell>
          <cell r="Y101">
            <v>-570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254</v>
          </cell>
          <cell r="AE101">
            <v>0</v>
          </cell>
          <cell r="AF101">
            <v>254</v>
          </cell>
        </row>
        <row r="102">
          <cell r="C102">
            <v>148</v>
          </cell>
          <cell r="D102">
            <v>0</v>
          </cell>
          <cell r="E102">
            <v>0</v>
          </cell>
          <cell r="F102">
            <v>32</v>
          </cell>
          <cell r="G102">
            <v>53</v>
          </cell>
          <cell r="H102">
            <v>73</v>
          </cell>
          <cell r="I102">
            <v>94</v>
          </cell>
          <cell r="J102">
            <v>115</v>
          </cell>
          <cell r="K102">
            <v>170</v>
          </cell>
          <cell r="L102">
            <v>247</v>
          </cell>
          <cell r="P102">
            <v>0</v>
          </cell>
          <cell r="Q102">
            <v>0</v>
          </cell>
          <cell r="R102">
            <v>32</v>
          </cell>
          <cell r="S102">
            <v>21</v>
          </cell>
          <cell r="T102">
            <v>20</v>
          </cell>
          <cell r="U102">
            <v>21</v>
          </cell>
          <cell r="V102">
            <v>21</v>
          </cell>
          <cell r="W102">
            <v>55</v>
          </cell>
          <cell r="X102">
            <v>77</v>
          </cell>
          <cell r="Y102">
            <v>-247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153</v>
          </cell>
          <cell r="AE102">
            <v>0</v>
          </cell>
          <cell r="AF102">
            <v>153</v>
          </cell>
        </row>
        <row r="103">
          <cell r="C103">
            <v>149</v>
          </cell>
          <cell r="D103">
            <v>17</v>
          </cell>
          <cell r="E103">
            <v>31</v>
          </cell>
          <cell r="F103">
            <v>171</v>
          </cell>
          <cell r="G103">
            <v>192</v>
          </cell>
          <cell r="H103">
            <v>206</v>
          </cell>
          <cell r="I103">
            <v>234</v>
          </cell>
          <cell r="J103">
            <v>265</v>
          </cell>
          <cell r="K103">
            <v>299</v>
          </cell>
          <cell r="L103">
            <v>334</v>
          </cell>
          <cell r="P103">
            <v>17</v>
          </cell>
          <cell r="Q103">
            <v>14</v>
          </cell>
          <cell r="R103">
            <v>140</v>
          </cell>
          <cell r="S103">
            <v>21</v>
          </cell>
          <cell r="T103">
            <v>14</v>
          </cell>
          <cell r="U103">
            <v>28</v>
          </cell>
          <cell r="V103">
            <v>31</v>
          </cell>
          <cell r="W103">
            <v>34</v>
          </cell>
          <cell r="X103">
            <v>35</v>
          </cell>
          <cell r="Y103">
            <v>-334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100</v>
          </cell>
          <cell r="AE103">
            <v>0</v>
          </cell>
          <cell r="AF103">
            <v>100</v>
          </cell>
        </row>
        <row r="104">
          <cell r="C104">
            <v>163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  <row r="105">
          <cell r="C105">
            <v>164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</row>
        <row r="106">
          <cell r="C106">
            <v>150</v>
          </cell>
          <cell r="D106">
            <v>1107</v>
          </cell>
          <cell r="E106">
            <v>2511</v>
          </cell>
          <cell r="F106">
            <v>3762</v>
          </cell>
          <cell r="G106">
            <v>5512</v>
          </cell>
          <cell r="H106">
            <v>7268</v>
          </cell>
          <cell r="I106">
            <v>8383</v>
          </cell>
          <cell r="J106">
            <v>10069</v>
          </cell>
          <cell r="K106">
            <v>11616</v>
          </cell>
          <cell r="L106">
            <v>12847</v>
          </cell>
          <cell r="P106">
            <v>1107</v>
          </cell>
          <cell r="Q106">
            <v>1404</v>
          </cell>
          <cell r="R106">
            <v>1251</v>
          </cell>
          <cell r="S106">
            <v>1750</v>
          </cell>
          <cell r="T106">
            <v>1756</v>
          </cell>
          <cell r="U106">
            <v>1115</v>
          </cell>
          <cell r="V106">
            <v>1686</v>
          </cell>
          <cell r="W106">
            <v>1547</v>
          </cell>
          <cell r="X106">
            <v>1231</v>
          </cell>
          <cell r="Y106">
            <v>-12847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4464</v>
          </cell>
          <cell r="AE106">
            <v>0</v>
          </cell>
          <cell r="AF106">
            <v>4464</v>
          </cell>
        </row>
        <row r="109">
          <cell r="C109">
            <v>98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</row>
        <row r="112">
          <cell r="C112">
            <v>501</v>
          </cell>
          <cell r="D112">
            <v>-5630</v>
          </cell>
          <cell r="E112">
            <v>-5595</v>
          </cell>
          <cell r="F112">
            <v>-5538</v>
          </cell>
          <cell r="G112">
            <v>-5445</v>
          </cell>
          <cell r="H112">
            <v>-5339</v>
          </cell>
          <cell r="I112">
            <v>-5296</v>
          </cell>
          <cell r="J112">
            <v>-5226</v>
          </cell>
          <cell r="K112">
            <v>-5134</v>
          </cell>
          <cell r="L112">
            <v>-4657</v>
          </cell>
          <cell r="M112">
            <v>-77869</v>
          </cell>
          <cell r="N112">
            <v>-77869</v>
          </cell>
          <cell r="O112">
            <v>-77869</v>
          </cell>
          <cell r="P112">
            <v>-5630</v>
          </cell>
          <cell r="Q112">
            <v>35</v>
          </cell>
          <cell r="R112">
            <v>57</v>
          </cell>
          <cell r="S112">
            <v>93</v>
          </cell>
          <cell r="T112">
            <v>106</v>
          </cell>
          <cell r="U112">
            <v>43</v>
          </cell>
          <cell r="V112">
            <v>70</v>
          </cell>
          <cell r="W112">
            <v>92</v>
          </cell>
          <cell r="X112">
            <v>477</v>
          </cell>
          <cell r="Y112">
            <v>-73212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639</v>
          </cell>
          <cell r="AE112">
            <v>0</v>
          </cell>
          <cell r="AF112">
            <v>639</v>
          </cell>
        </row>
        <row r="113">
          <cell r="C113">
            <v>500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</row>
        <row r="114">
          <cell r="C114">
            <v>502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</row>
        <row r="115">
          <cell r="C115">
            <v>503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</row>
        <row r="116">
          <cell r="C116">
            <v>504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</row>
        <row r="117">
          <cell r="C117">
            <v>506</v>
          </cell>
          <cell r="D117">
            <v>1530</v>
          </cell>
          <cell r="E117">
            <v>1846</v>
          </cell>
          <cell r="F117">
            <v>2975</v>
          </cell>
          <cell r="G117">
            <v>4728</v>
          </cell>
          <cell r="H117">
            <v>4632</v>
          </cell>
          <cell r="I117">
            <v>5560</v>
          </cell>
          <cell r="J117">
            <v>9094</v>
          </cell>
          <cell r="K117">
            <v>11473</v>
          </cell>
          <cell r="L117">
            <v>12009</v>
          </cell>
          <cell r="M117">
            <v>-218555</v>
          </cell>
          <cell r="N117">
            <v>-218555</v>
          </cell>
          <cell r="O117">
            <v>-218555</v>
          </cell>
          <cell r="P117">
            <v>1530</v>
          </cell>
          <cell r="Q117">
            <v>316</v>
          </cell>
          <cell r="R117">
            <v>1129</v>
          </cell>
          <cell r="S117">
            <v>1753</v>
          </cell>
          <cell r="T117">
            <v>-96</v>
          </cell>
          <cell r="U117">
            <v>928</v>
          </cell>
          <cell r="V117">
            <v>3534</v>
          </cell>
          <cell r="W117">
            <v>2379</v>
          </cell>
          <cell r="X117">
            <v>536</v>
          </cell>
          <cell r="Y117">
            <v>-230564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6449</v>
          </cell>
          <cell r="AE117">
            <v>0</v>
          </cell>
          <cell r="AF117">
            <v>6449</v>
          </cell>
        </row>
        <row r="118">
          <cell r="C118">
            <v>505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</row>
        <row r="119">
          <cell r="C119">
            <v>507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</row>
        <row r="120">
          <cell r="C120">
            <v>508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</row>
        <row r="121">
          <cell r="C121">
            <v>509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</row>
        <row r="122">
          <cell r="C122">
            <v>511</v>
          </cell>
          <cell r="D122">
            <v>0</v>
          </cell>
          <cell r="E122">
            <v>44</v>
          </cell>
          <cell r="F122">
            <v>89</v>
          </cell>
          <cell r="G122">
            <v>134</v>
          </cell>
          <cell r="H122">
            <v>146</v>
          </cell>
          <cell r="I122">
            <v>203</v>
          </cell>
          <cell r="J122">
            <v>249</v>
          </cell>
          <cell r="K122">
            <v>249</v>
          </cell>
          <cell r="L122">
            <v>467</v>
          </cell>
          <cell r="M122">
            <v>-6962</v>
          </cell>
          <cell r="N122">
            <v>-6962</v>
          </cell>
          <cell r="O122">
            <v>-6962</v>
          </cell>
          <cell r="P122">
            <v>0</v>
          </cell>
          <cell r="Q122">
            <v>44</v>
          </cell>
          <cell r="R122">
            <v>45</v>
          </cell>
          <cell r="S122">
            <v>45</v>
          </cell>
          <cell r="T122">
            <v>12</v>
          </cell>
          <cell r="U122">
            <v>57</v>
          </cell>
          <cell r="V122">
            <v>46</v>
          </cell>
          <cell r="W122">
            <v>0</v>
          </cell>
          <cell r="X122">
            <v>218</v>
          </cell>
          <cell r="Y122">
            <v>-7429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264</v>
          </cell>
          <cell r="AE122">
            <v>0</v>
          </cell>
          <cell r="AF122">
            <v>264</v>
          </cell>
        </row>
        <row r="123">
          <cell r="C123">
            <v>510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</row>
        <row r="124">
          <cell r="C124">
            <v>512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</row>
        <row r="125">
          <cell r="C125">
            <v>513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</row>
        <row r="126">
          <cell r="C126">
            <v>514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</row>
        <row r="127">
          <cell r="C127">
            <v>515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</row>
        <row r="128">
          <cell r="C128">
            <v>516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</row>
        <row r="129">
          <cell r="C129">
            <v>517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</row>
        <row r="130">
          <cell r="C130">
            <v>518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</row>
        <row r="131">
          <cell r="C131">
            <v>519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</row>
        <row r="132">
          <cell r="C132">
            <v>520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</row>
        <row r="133">
          <cell r="C133">
            <v>521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</row>
        <row r="134">
          <cell r="C134">
            <v>522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</row>
        <row r="135">
          <cell r="C135">
            <v>523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</row>
        <row r="136">
          <cell r="C136">
            <v>524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</row>
        <row r="137">
          <cell r="C137">
            <v>525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</row>
        <row r="138">
          <cell r="C138">
            <v>526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</row>
        <row r="139">
          <cell r="C139">
            <v>527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</row>
        <row r="140">
          <cell r="C140">
            <v>528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</row>
        <row r="141">
          <cell r="C141">
            <v>529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</row>
        <row r="142">
          <cell r="C142">
            <v>530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</row>
        <row r="143">
          <cell r="C143">
            <v>531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</row>
        <row r="144">
          <cell r="C144">
            <v>532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</row>
        <row r="145">
          <cell r="C145">
            <v>533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</row>
        <row r="146">
          <cell r="C146">
            <v>534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</row>
        <row r="147">
          <cell r="C147">
            <v>535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</row>
        <row r="148">
          <cell r="C148">
            <v>537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</row>
        <row r="149">
          <cell r="C149">
            <v>538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</row>
        <row r="150">
          <cell r="C150">
            <v>539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</row>
        <row r="151">
          <cell r="C151">
            <v>536</v>
          </cell>
          <cell r="D151">
            <v>2367</v>
          </cell>
          <cell r="E151">
            <v>2316</v>
          </cell>
          <cell r="F151">
            <v>1837</v>
          </cell>
          <cell r="G151">
            <v>-347</v>
          </cell>
          <cell r="H151">
            <v>1156</v>
          </cell>
          <cell r="I151">
            <v>-358</v>
          </cell>
          <cell r="J151">
            <v>-131</v>
          </cell>
          <cell r="K151">
            <v>-295</v>
          </cell>
          <cell r="L151">
            <v>-302</v>
          </cell>
          <cell r="M151">
            <v>-1714</v>
          </cell>
          <cell r="N151">
            <v>-1714</v>
          </cell>
          <cell r="O151">
            <v>-1714</v>
          </cell>
          <cell r="P151">
            <v>2367</v>
          </cell>
          <cell r="Q151">
            <v>-51</v>
          </cell>
          <cell r="R151">
            <v>-479</v>
          </cell>
          <cell r="S151">
            <v>-2184</v>
          </cell>
          <cell r="T151">
            <v>1503</v>
          </cell>
          <cell r="U151">
            <v>-1514</v>
          </cell>
          <cell r="V151">
            <v>227</v>
          </cell>
          <cell r="W151">
            <v>-164</v>
          </cell>
          <cell r="X151">
            <v>-7</v>
          </cell>
          <cell r="Y151">
            <v>-1412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56</v>
          </cell>
          <cell r="AE151">
            <v>0</v>
          </cell>
          <cell r="AF151">
            <v>56</v>
          </cell>
        </row>
        <row r="152">
          <cell r="C152">
            <v>541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</row>
        <row r="153">
          <cell r="C153">
            <v>540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</row>
        <row r="154">
          <cell r="C154">
            <v>542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</row>
        <row r="155">
          <cell r="C155">
            <v>543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</row>
        <row r="156">
          <cell r="C156">
            <v>544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</row>
        <row r="157">
          <cell r="C157">
            <v>546</v>
          </cell>
          <cell r="D157">
            <v>5860</v>
          </cell>
          <cell r="E157">
            <v>5996</v>
          </cell>
          <cell r="F157">
            <v>2947</v>
          </cell>
          <cell r="G157">
            <v>1438</v>
          </cell>
          <cell r="H157">
            <v>1325</v>
          </cell>
          <cell r="I157">
            <v>-1017</v>
          </cell>
          <cell r="J157">
            <v>-1285</v>
          </cell>
          <cell r="K157">
            <v>-656</v>
          </cell>
          <cell r="L157">
            <v>-1896</v>
          </cell>
          <cell r="M157">
            <v>-45745</v>
          </cell>
          <cell r="N157">
            <v>-45745</v>
          </cell>
          <cell r="O157">
            <v>-45745</v>
          </cell>
          <cell r="P157">
            <v>5860</v>
          </cell>
          <cell r="Q157">
            <v>136</v>
          </cell>
          <cell r="R157">
            <v>-3049</v>
          </cell>
          <cell r="S157">
            <v>-1509</v>
          </cell>
          <cell r="T157">
            <v>-113</v>
          </cell>
          <cell r="U157">
            <v>-2342</v>
          </cell>
          <cell r="V157">
            <v>-268</v>
          </cell>
          <cell r="W157">
            <v>629</v>
          </cell>
          <cell r="X157">
            <v>-1240</v>
          </cell>
          <cell r="Y157">
            <v>-43849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-879</v>
          </cell>
          <cell r="AE157">
            <v>0</v>
          </cell>
          <cell r="AF157">
            <v>-879</v>
          </cell>
        </row>
        <row r="158">
          <cell r="C158">
            <v>545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</row>
        <row r="159">
          <cell r="C159">
            <v>547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</row>
        <row r="160">
          <cell r="C160">
            <v>548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</row>
        <row r="161">
          <cell r="C161">
            <v>549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</row>
        <row r="162">
          <cell r="C162">
            <v>551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</row>
        <row r="163">
          <cell r="C163">
            <v>550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</row>
        <row r="164">
          <cell r="C164">
            <v>552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</row>
        <row r="165">
          <cell r="C165">
            <v>553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</row>
        <row r="166">
          <cell r="C166">
            <v>554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873</v>
          </cell>
          <cell r="N166">
            <v>873</v>
          </cell>
          <cell r="O166">
            <v>873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873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</row>
        <row r="167">
          <cell r="C167">
            <v>556</v>
          </cell>
          <cell r="D167">
            <v>66</v>
          </cell>
          <cell r="E167">
            <v>184</v>
          </cell>
          <cell r="F167">
            <v>480</v>
          </cell>
          <cell r="G167">
            <v>559</v>
          </cell>
          <cell r="H167">
            <v>481</v>
          </cell>
          <cell r="I167">
            <v>545</v>
          </cell>
          <cell r="J167">
            <v>610</v>
          </cell>
          <cell r="K167">
            <v>751</v>
          </cell>
          <cell r="L167">
            <v>829</v>
          </cell>
          <cell r="M167">
            <v>0</v>
          </cell>
          <cell r="N167">
            <v>0</v>
          </cell>
          <cell r="O167">
            <v>0</v>
          </cell>
          <cell r="P167">
            <v>66</v>
          </cell>
          <cell r="Q167">
            <v>118</v>
          </cell>
          <cell r="R167">
            <v>296</v>
          </cell>
          <cell r="S167">
            <v>79</v>
          </cell>
          <cell r="T167">
            <v>-78</v>
          </cell>
          <cell r="U167">
            <v>64</v>
          </cell>
          <cell r="V167">
            <v>65</v>
          </cell>
          <cell r="W167">
            <v>141</v>
          </cell>
          <cell r="X167">
            <v>78</v>
          </cell>
          <cell r="Y167">
            <v>-829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284</v>
          </cell>
          <cell r="AE167">
            <v>0</v>
          </cell>
          <cell r="AF167">
            <v>284</v>
          </cell>
        </row>
        <row r="168">
          <cell r="C168">
            <v>555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</row>
        <row r="169">
          <cell r="C169">
            <v>557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</row>
        <row r="170">
          <cell r="C170">
            <v>558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</row>
        <row r="171">
          <cell r="C171">
            <v>559</v>
          </cell>
          <cell r="D171">
            <v>359</v>
          </cell>
          <cell r="E171">
            <v>464</v>
          </cell>
          <cell r="F171">
            <v>135</v>
          </cell>
          <cell r="G171">
            <v>125</v>
          </cell>
          <cell r="H171">
            <v>615</v>
          </cell>
          <cell r="I171">
            <v>770</v>
          </cell>
          <cell r="J171">
            <v>793</v>
          </cell>
          <cell r="K171">
            <v>876</v>
          </cell>
          <cell r="L171">
            <v>1779</v>
          </cell>
          <cell r="M171">
            <v>-6746</v>
          </cell>
          <cell r="N171">
            <v>-6746</v>
          </cell>
          <cell r="O171">
            <v>-6746</v>
          </cell>
          <cell r="P171">
            <v>359</v>
          </cell>
          <cell r="Q171">
            <v>105</v>
          </cell>
          <cell r="R171">
            <v>-329</v>
          </cell>
          <cell r="S171">
            <v>-10</v>
          </cell>
          <cell r="T171">
            <v>490</v>
          </cell>
          <cell r="U171">
            <v>155</v>
          </cell>
          <cell r="V171">
            <v>23</v>
          </cell>
          <cell r="W171">
            <v>83</v>
          </cell>
          <cell r="X171">
            <v>903</v>
          </cell>
          <cell r="Y171">
            <v>-8525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1009</v>
          </cell>
          <cell r="AE171">
            <v>0</v>
          </cell>
          <cell r="AF171">
            <v>1009</v>
          </cell>
        </row>
        <row r="173">
          <cell r="C173">
            <v>560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</row>
        <row r="174">
          <cell r="C174">
            <v>561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</row>
        <row r="175">
          <cell r="C175">
            <v>562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</row>
        <row r="176">
          <cell r="C176">
            <v>563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</row>
        <row r="177">
          <cell r="C177">
            <v>564</v>
          </cell>
          <cell r="D177">
            <v>747</v>
          </cell>
          <cell r="E177">
            <v>2437</v>
          </cell>
          <cell r="F177">
            <v>3898</v>
          </cell>
          <cell r="G177">
            <v>5694</v>
          </cell>
          <cell r="H177">
            <v>6346</v>
          </cell>
          <cell r="I177">
            <v>8210</v>
          </cell>
          <cell r="J177">
            <v>8845</v>
          </cell>
          <cell r="K177">
            <v>10572</v>
          </cell>
          <cell r="L177">
            <v>11627</v>
          </cell>
          <cell r="M177">
            <v>-118660</v>
          </cell>
          <cell r="N177">
            <v>-118660</v>
          </cell>
          <cell r="O177">
            <v>-118660</v>
          </cell>
          <cell r="P177">
            <v>747</v>
          </cell>
          <cell r="Q177">
            <v>1690</v>
          </cell>
          <cell r="R177">
            <v>1461</v>
          </cell>
          <cell r="S177">
            <v>1796</v>
          </cell>
          <cell r="T177">
            <v>652</v>
          </cell>
          <cell r="U177">
            <v>1864</v>
          </cell>
          <cell r="V177">
            <v>635</v>
          </cell>
          <cell r="W177">
            <v>1727</v>
          </cell>
          <cell r="X177">
            <v>1055</v>
          </cell>
          <cell r="Y177">
            <v>-130287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3417</v>
          </cell>
          <cell r="AE177">
            <v>0</v>
          </cell>
          <cell r="AF177">
            <v>3417</v>
          </cell>
        </row>
        <row r="178">
          <cell r="C178">
            <v>565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</row>
        <row r="179">
          <cell r="C179">
            <v>566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</row>
        <row r="180">
          <cell r="C180">
            <v>567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</row>
        <row r="181">
          <cell r="C181">
            <v>568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</row>
        <row r="182">
          <cell r="C182">
            <v>569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</row>
        <row r="183">
          <cell r="C183">
            <v>570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</row>
        <row r="184">
          <cell r="C184">
            <v>571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</row>
        <row r="185">
          <cell r="C185">
            <v>572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</row>
        <row r="186">
          <cell r="C186">
            <v>573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</row>
        <row r="187">
          <cell r="C187">
            <v>574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</row>
        <row r="188">
          <cell r="C188">
            <v>575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</row>
        <row r="189">
          <cell r="C189">
            <v>576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</row>
        <row r="190">
          <cell r="C190">
            <v>577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</row>
        <row r="191">
          <cell r="C191">
            <v>578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</row>
        <row r="192">
          <cell r="C192">
            <v>579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</row>
        <row r="193">
          <cell r="C193">
            <v>580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</row>
        <row r="194">
          <cell r="C194">
            <v>581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</row>
        <row r="195">
          <cell r="C195">
            <v>582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</row>
        <row r="196">
          <cell r="C196">
            <v>583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</row>
        <row r="197">
          <cell r="C197">
            <v>584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</row>
        <row r="198">
          <cell r="C198">
            <v>585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</row>
        <row r="199">
          <cell r="C199">
            <v>586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</row>
        <row r="200">
          <cell r="C200">
            <v>587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</row>
        <row r="203">
          <cell r="C203">
            <v>588</v>
          </cell>
          <cell r="D203">
            <v>4204</v>
          </cell>
          <cell r="P203">
            <v>4204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</row>
        <row r="204">
          <cell r="C204">
            <v>589</v>
          </cell>
          <cell r="D204">
            <v>-1778</v>
          </cell>
          <cell r="P204">
            <v>-1778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</row>
        <row r="205">
          <cell r="C205">
            <v>590</v>
          </cell>
          <cell r="D205">
            <v>53953</v>
          </cell>
          <cell r="P205">
            <v>53953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</row>
        <row r="206">
          <cell r="C206">
            <v>591</v>
          </cell>
          <cell r="D206">
            <v>10596</v>
          </cell>
          <cell r="P206">
            <v>10596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</row>
        <row r="207">
          <cell r="C207">
            <v>592</v>
          </cell>
          <cell r="D207">
            <v>7516</v>
          </cell>
          <cell r="P207">
            <v>7516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</row>
        <row r="208">
          <cell r="C208">
            <v>593</v>
          </cell>
          <cell r="D208">
            <v>5469</v>
          </cell>
          <cell r="P208">
            <v>5469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</row>
        <row r="209">
          <cell r="C209">
            <v>594</v>
          </cell>
          <cell r="D209">
            <v>9817</v>
          </cell>
          <cell r="P209">
            <v>9817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</row>
        <row r="210">
          <cell r="C210">
            <v>595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</row>
        <row r="211">
          <cell r="C211">
            <v>596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</row>
        <row r="212">
          <cell r="C212">
            <v>597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</row>
        <row r="213">
          <cell r="C213">
            <v>598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</row>
        <row r="216">
          <cell r="C216">
            <v>600</v>
          </cell>
        </row>
        <row r="217">
          <cell r="C217">
            <v>601</v>
          </cell>
        </row>
        <row r="218">
          <cell r="C218">
            <v>602</v>
          </cell>
        </row>
        <row r="219">
          <cell r="C219">
            <v>603</v>
          </cell>
        </row>
        <row r="223">
          <cell r="C223">
            <v>1</v>
          </cell>
          <cell r="D223">
            <v>37827</v>
          </cell>
          <cell r="E223">
            <v>82941</v>
          </cell>
          <cell r="F223">
            <v>136372</v>
          </cell>
          <cell r="G223">
            <v>173006</v>
          </cell>
          <cell r="H223">
            <v>208746</v>
          </cell>
          <cell r="I223">
            <v>255223</v>
          </cell>
          <cell r="J223">
            <v>295435</v>
          </cell>
          <cell r="K223">
            <v>354849</v>
          </cell>
          <cell r="L223">
            <v>391605</v>
          </cell>
          <cell r="M223">
            <v>0</v>
          </cell>
          <cell r="N223">
            <v>0</v>
          </cell>
          <cell r="O223">
            <v>0</v>
          </cell>
          <cell r="P223">
            <v>37827</v>
          </cell>
          <cell r="Q223">
            <v>45114</v>
          </cell>
          <cell r="R223">
            <v>53431</v>
          </cell>
          <cell r="S223">
            <v>36634</v>
          </cell>
          <cell r="T223">
            <v>35740</v>
          </cell>
          <cell r="U223">
            <v>46477</v>
          </cell>
          <cell r="V223">
            <v>40212</v>
          </cell>
          <cell r="W223">
            <v>59414</v>
          </cell>
          <cell r="X223">
            <v>36756</v>
          </cell>
          <cell r="Y223">
            <v>-391605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136382</v>
          </cell>
          <cell r="AE223">
            <v>0</v>
          </cell>
          <cell r="AF223">
            <v>136382</v>
          </cell>
        </row>
        <row r="224">
          <cell r="C224">
            <v>2</v>
          </cell>
          <cell r="D224">
            <v>34320</v>
          </cell>
          <cell r="E224">
            <v>70391</v>
          </cell>
          <cell r="F224">
            <v>109283</v>
          </cell>
          <cell r="G224">
            <v>140969</v>
          </cell>
          <cell r="H224">
            <v>164781</v>
          </cell>
          <cell r="I224">
            <v>200147</v>
          </cell>
          <cell r="J224">
            <v>227818</v>
          </cell>
          <cell r="K224">
            <v>269995</v>
          </cell>
          <cell r="L224">
            <v>299760</v>
          </cell>
          <cell r="M224">
            <v>0</v>
          </cell>
          <cell r="N224">
            <v>0</v>
          </cell>
          <cell r="O224">
            <v>0</v>
          </cell>
          <cell r="P224">
            <v>34320</v>
          </cell>
          <cell r="Q224">
            <v>36071</v>
          </cell>
          <cell r="R224">
            <v>38892</v>
          </cell>
          <cell r="S224">
            <v>31686</v>
          </cell>
          <cell r="T224">
            <v>23812</v>
          </cell>
          <cell r="U224">
            <v>35366</v>
          </cell>
          <cell r="V224">
            <v>27671</v>
          </cell>
          <cell r="W224">
            <v>42177</v>
          </cell>
          <cell r="X224">
            <v>29765</v>
          </cell>
          <cell r="Y224">
            <v>-299760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99613</v>
          </cell>
          <cell r="AE224">
            <v>0</v>
          </cell>
          <cell r="AF224">
            <v>99613</v>
          </cell>
        </row>
        <row r="225">
          <cell r="C225">
            <v>170</v>
          </cell>
          <cell r="D225">
            <v>3507</v>
          </cell>
          <cell r="E225">
            <v>12550</v>
          </cell>
          <cell r="F225">
            <v>27089</v>
          </cell>
          <cell r="G225">
            <v>32037</v>
          </cell>
          <cell r="H225">
            <v>43965</v>
          </cell>
          <cell r="I225">
            <v>55076</v>
          </cell>
          <cell r="J225">
            <v>67617</v>
          </cell>
          <cell r="K225">
            <v>84854</v>
          </cell>
          <cell r="L225">
            <v>91845</v>
          </cell>
          <cell r="M225">
            <v>0</v>
          </cell>
          <cell r="N225">
            <v>0</v>
          </cell>
          <cell r="O225">
            <v>0</v>
          </cell>
          <cell r="P225">
            <v>3507</v>
          </cell>
          <cell r="Q225">
            <v>9043</v>
          </cell>
          <cell r="R225">
            <v>14539</v>
          </cell>
          <cell r="S225">
            <v>4948</v>
          </cell>
          <cell r="T225">
            <v>11928</v>
          </cell>
          <cell r="U225">
            <v>11111</v>
          </cell>
          <cell r="V225">
            <v>12541</v>
          </cell>
          <cell r="W225">
            <v>17237</v>
          </cell>
          <cell r="X225">
            <v>6991</v>
          </cell>
          <cell r="Y225">
            <v>-91845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36769</v>
          </cell>
          <cell r="AE225">
            <v>0</v>
          </cell>
          <cell r="AF225">
            <v>36769</v>
          </cell>
        </row>
        <row r="226">
          <cell r="C226">
            <v>3</v>
          </cell>
          <cell r="D226">
            <v>5368</v>
          </cell>
          <cell r="E226">
            <v>9677</v>
          </cell>
          <cell r="F226">
            <v>13568</v>
          </cell>
          <cell r="G226">
            <v>18322</v>
          </cell>
          <cell r="H226">
            <v>23019</v>
          </cell>
          <cell r="I226">
            <v>28173</v>
          </cell>
          <cell r="J226">
            <v>32657</v>
          </cell>
          <cell r="K226">
            <v>37471</v>
          </cell>
          <cell r="L226">
            <v>42129</v>
          </cell>
          <cell r="M226">
            <v>0</v>
          </cell>
          <cell r="N226">
            <v>0</v>
          </cell>
          <cell r="O226">
            <v>0</v>
          </cell>
          <cell r="P226">
            <v>5368</v>
          </cell>
          <cell r="Q226">
            <v>4309</v>
          </cell>
          <cell r="R226">
            <v>3891</v>
          </cell>
          <cell r="S226">
            <v>4754</v>
          </cell>
          <cell r="T226">
            <v>4697</v>
          </cell>
          <cell r="U226">
            <v>5154</v>
          </cell>
          <cell r="V226">
            <v>4484</v>
          </cell>
          <cell r="W226">
            <v>4814</v>
          </cell>
          <cell r="X226">
            <v>4658</v>
          </cell>
          <cell r="Y226">
            <v>-42129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13956</v>
          </cell>
          <cell r="AE226">
            <v>0</v>
          </cell>
          <cell r="AF226">
            <v>13956</v>
          </cell>
        </row>
        <row r="227">
          <cell r="C227">
            <v>4</v>
          </cell>
          <cell r="D227">
            <v>3453</v>
          </cell>
          <cell r="E227">
            <v>6013</v>
          </cell>
          <cell r="F227">
            <v>9752</v>
          </cell>
          <cell r="G227">
            <v>13793</v>
          </cell>
          <cell r="H227">
            <v>17689</v>
          </cell>
          <cell r="I227">
            <v>20935</v>
          </cell>
          <cell r="J227">
            <v>24745</v>
          </cell>
          <cell r="K227">
            <v>28697</v>
          </cell>
          <cell r="L227">
            <v>32488</v>
          </cell>
          <cell r="M227">
            <v>0</v>
          </cell>
          <cell r="N227">
            <v>0</v>
          </cell>
          <cell r="O227">
            <v>0</v>
          </cell>
          <cell r="P227">
            <v>3453</v>
          </cell>
          <cell r="Q227">
            <v>2560</v>
          </cell>
          <cell r="R227">
            <v>3739</v>
          </cell>
          <cell r="S227">
            <v>4041</v>
          </cell>
          <cell r="T227">
            <v>3896</v>
          </cell>
          <cell r="U227">
            <v>3246</v>
          </cell>
          <cell r="V227">
            <v>3810</v>
          </cell>
          <cell r="W227">
            <v>3952</v>
          </cell>
          <cell r="X227">
            <v>3791</v>
          </cell>
          <cell r="Y227">
            <v>-32488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11553</v>
          </cell>
          <cell r="AE227">
            <v>0</v>
          </cell>
          <cell r="AF227">
            <v>11553</v>
          </cell>
        </row>
        <row r="228">
          <cell r="C228">
            <v>67</v>
          </cell>
          <cell r="D228">
            <v>-4763</v>
          </cell>
          <cell r="E228">
            <v>-3660</v>
          </cell>
          <cell r="F228">
            <v>-1098</v>
          </cell>
          <cell r="G228">
            <v>-6919</v>
          </cell>
          <cell r="H228">
            <v>-4372</v>
          </cell>
          <cell r="I228">
            <v>-3398</v>
          </cell>
          <cell r="J228">
            <v>2186</v>
          </cell>
          <cell r="K228">
            <v>7231</v>
          </cell>
          <cell r="L228">
            <v>3652</v>
          </cell>
          <cell r="M228">
            <v>0</v>
          </cell>
          <cell r="N228">
            <v>0</v>
          </cell>
          <cell r="O228">
            <v>0</v>
          </cell>
          <cell r="P228">
            <v>-4763</v>
          </cell>
          <cell r="Q228">
            <v>1103</v>
          </cell>
          <cell r="R228">
            <v>2562</v>
          </cell>
          <cell r="S228">
            <v>-5821</v>
          </cell>
          <cell r="T228">
            <v>2547</v>
          </cell>
          <cell r="U228">
            <v>974</v>
          </cell>
          <cell r="V228">
            <v>5584</v>
          </cell>
          <cell r="W228">
            <v>5045</v>
          </cell>
          <cell r="X228">
            <v>-3579</v>
          </cell>
          <cell r="Y228">
            <v>-3652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7050</v>
          </cell>
          <cell r="AE228">
            <v>0</v>
          </cell>
          <cell r="AF228">
            <v>7050</v>
          </cell>
        </row>
        <row r="229">
          <cell r="C229">
            <v>52</v>
          </cell>
          <cell r="D229">
            <v>-4985</v>
          </cell>
          <cell r="E229">
            <v>-4155</v>
          </cell>
          <cell r="F229">
            <v>-1596</v>
          </cell>
          <cell r="G229">
            <v>-7496</v>
          </cell>
          <cell r="H229">
            <v>-4877</v>
          </cell>
          <cell r="I229">
            <v>-3972</v>
          </cell>
          <cell r="J229">
            <v>1540</v>
          </cell>
          <cell r="K229">
            <v>6439</v>
          </cell>
          <cell r="L229">
            <v>2776</v>
          </cell>
          <cell r="M229">
            <v>0</v>
          </cell>
          <cell r="N229">
            <v>0</v>
          </cell>
          <cell r="O229">
            <v>0</v>
          </cell>
          <cell r="P229">
            <v>-4985</v>
          </cell>
          <cell r="Q229">
            <v>830</v>
          </cell>
          <cell r="R229">
            <v>2559</v>
          </cell>
          <cell r="S229">
            <v>-5900</v>
          </cell>
          <cell r="T229">
            <v>2619</v>
          </cell>
          <cell r="U229">
            <v>905</v>
          </cell>
          <cell r="V229">
            <v>5512</v>
          </cell>
          <cell r="W229">
            <v>4899</v>
          </cell>
          <cell r="X229">
            <v>-3663</v>
          </cell>
          <cell r="Y229">
            <v>-2776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6748</v>
          </cell>
          <cell r="AE229">
            <v>0</v>
          </cell>
          <cell r="AF229">
            <v>6748</v>
          </cell>
        </row>
        <row r="230">
          <cell r="C230">
            <v>69</v>
          </cell>
          <cell r="D230">
            <v>-3876</v>
          </cell>
          <cell r="E230">
            <v>-1421</v>
          </cell>
          <cell r="F230">
            <v>2695</v>
          </cell>
          <cell r="G230">
            <v>-2038</v>
          </cell>
          <cell r="H230">
            <v>1227</v>
          </cell>
          <cell r="I230">
            <v>4858</v>
          </cell>
          <cell r="J230">
            <v>11890</v>
          </cell>
          <cell r="K230">
            <v>18562</v>
          </cell>
          <cell r="L230">
            <v>17075</v>
          </cell>
          <cell r="M230">
            <v>0</v>
          </cell>
          <cell r="N230">
            <v>0</v>
          </cell>
          <cell r="O230">
            <v>0</v>
          </cell>
          <cell r="P230">
            <v>-3876</v>
          </cell>
          <cell r="Q230">
            <v>2455</v>
          </cell>
          <cell r="R230">
            <v>4116</v>
          </cell>
          <cell r="S230">
            <v>-4733</v>
          </cell>
          <cell r="T230">
            <v>3265</v>
          </cell>
          <cell r="U230">
            <v>3631</v>
          </cell>
          <cell r="V230">
            <v>7032</v>
          </cell>
          <cell r="W230">
            <v>6672</v>
          </cell>
          <cell r="X230">
            <v>-1487</v>
          </cell>
          <cell r="Y230">
            <v>-17075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12217</v>
          </cell>
          <cell r="AE230">
            <v>0</v>
          </cell>
          <cell r="AF230">
            <v>12217</v>
          </cell>
        </row>
        <row r="231">
          <cell r="C231">
            <v>70</v>
          </cell>
          <cell r="D231">
            <v>-3006</v>
          </cell>
          <cell r="E231">
            <v>766</v>
          </cell>
          <cell r="F231">
            <v>6016</v>
          </cell>
          <cell r="G231">
            <v>2848</v>
          </cell>
          <cell r="H231">
            <v>6483</v>
          </cell>
          <cell r="I231">
            <v>11677</v>
          </cell>
          <cell r="J231">
            <v>19040</v>
          </cell>
          <cell r="K231">
            <v>27191</v>
          </cell>
          <cell r="L231">
            <v>27181</v>
          </cell>
          <cell r="M231">
            <v>0</v>
          </cell>
          <cell r="N231">
            <v>0</v>
          </cell>
          <cell r="O231">
            <v>0</v>
          </cell>
          <cell r="P231">
            <v>-3006</v>
          </cell>
          <cell r="Q231">
            <v>3772</v>
          </cell>
          <cell r="R231">
            <v>5250</v>
          </cell>
          <cell r="S231">
            <v>-3168</v>
          </cell>
          <cell r="T231">
            <v>3635</v>
          </cell>
          <cell r="U231">
            <v>5194</v>
          </cell>
          <cell r="V231">
            <v>7363</v>
          </cell>
          <cell r="W231">
            <v>8151</v>
          </cell>
          <cell r="X231">
            <v>-10</v>
          </cell>
          <cell r="Y231">
            <v>-27181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15504</v>
          </cell>
          <cell r="AE231">
            <v>0</v>
          </cell>
          <cell r="AF231">
            <v>15504</v>
          </cell>
        </row>
        <row r="232">
          <cell r="C232">
            <v>151</v>
          </cell>
          <cell r="D232">
            <v>391</v>
          </cell>
          <cell r="E232">
            <v>841</v>
          </cell>
          <cell r="F232">
            <v>1268</v>
          </cell>
          <cell r="G232">
            <v>1591</v>
          </cell>
          <cell r="H232">
            <v>1942</v>
          </cell>
          <cell r="I232">
            <v>2315</v>
          </cell>
          <cell r="J232">
            <v>2684</v>
          </cell>
          <cell r="K232">
            <v>3000</v>
          </cell>
          <cell r="L232">
            <v>3437</v>
          </cell>
          <cell r="M232">
            <v>0</v>
          </cell>
          <cell r="N232">
            <v>0</v>
          </cell>
          <cell r="O232">
            <v>0</v>
          </cell>
          <cell r="P232">
            <v>391</v>
          </cell>
          <cell r="Q232">
            <v>450</v>
          </cell>
          <cell r="R232">
            <v>427</v>
          </cell>
          <cell r="S232">
            <v>323</v>
          </cell>
          <cell r="T232">
            <v>351</v>
          </cell>
          <cell r="U232">
            <v>373</v>
          </cell>
          <cell r="V232">
            <v>369</v>
          </cell>
          <cell r="W232">
            <v>316</v>
          </cell>
          <cell r="X232">
            <v>437</v>
          </cell>
          <cell r="Y232">
            <v>-3437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1122</v>
          </cell>
          <cell r="AE232">
            <v>0</v>
          </cell>
          <cell r="AF232">
            <v>1122</v>
          </cell>
        </row>
        <row r="233">
          <cell r="C233">
            <v>50</v>
          </cell>
          <cell r="D233">
            <v>115282</v>
          </cell>
          <cell r="E233">
            <v>115282</v>
          </cell>
          <cell r="F233">
            <v>141546</v>
          </cell>
          <cell r="G233">
            <v>141546</v>
          </cell>
          <cell r="H233">
            <v>141546</v>
          </cell>
          <cell r="I233">
            <v>141546</v>
          </cell>
          <cell r="J233">
            <v>141546</v>
          </cell>
          <cell r="K233">
            <v>141546</v>
          </cell>
          <cell r="L233">
            <v>141546</v>
          </cell>
          <cell r="M233">
            <v>0</v>
          </cell>
          <cell r="N233">
            <v>0</v>
          </cell>
          <cell r="O233">
            <v>0</v>
          </cell>
          <cell r="P233">
            <v>115282</v>
          </cell>
          <cell r="Q233">
            <v>115282</v>
          </cell>
          <cell r="R233">
            <v>141546</v>
          </cell>
          <cell r="S233">
            <v>141546</v>
          </cell>
          <cell r="T233">
            <v>141546</v>
          </cell>
          <cell r="U233">
            <v>141546</v>
          </cell>
          <cell r="V233">
            <v>141546</v>
          </cell>
          <cell r="W233">
            <v>141546</v>
          </cell>
          <cell r="X233">
            <v>141546</v>
          </cell>
          <cell r="Y233">
            <v>0</v>
          </cell>
          <cell r="Z233">
            <v>0</v>
          </cell>
          <cell r="AA233">
            <v>0</v>
          </cell>
        </row>
        <row r="234">
          <cell r="C234">
            <v>152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873</v>
          </cell>
          <cell r="N234">
            <v>873</v>
          </cell>
          <cell r="O234">
            <v>873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873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</row>
        <row r="235">
          <cell r="C235">
            <v>18</v>
          </cell>
          <cell r="D235">
            <v>5837</v>
          </cell>
          <cell r="E235">
            <v>50951</v>
          </cell>
          <cell r="F235">
            <v>104382</v>
          </cell>
          <cell r="G235">
            <v>141016</v>
          </cell>
          <cell r="H235">
            <v>176756</v>
          </cell>
          <cell r="I235">
            <v>223233</v>
          </cell>
          <cell r="J235">
            <v>302114</v>
          </cell>
          <cell r="K235">
            <v>361354</v>
          </cell>
          <cell r="L235">
            <v>401105</v>
          </cell>
          <cell r="M235">
            <v>-179784</v>
          </cell>
          <cell r="N235">
            <v>-179784</v>
          </cell>
          <cell r="O235">
            <v>-179784</v>
          </cell>
          <cell r="P235">
            <v>5837</v>
          </cell>
          <cell r="Q235">
            <v>45114</v>
          </cell>
          <cell r="R235">
            <v>53431</v>
          </cell>
          <cell r="S235">
            <v>36634</v>
          </cell>
          <cell r="T235">
            <v>35740</v>
          </cell>
          <cell r="U235">
            <v>46477</v>
          </cell>
          <cell r="V235">
            <v>78881</v>
          </cell>
          <cell r="W235">
            <v>59240</v>
          </cell>
          <cell r="X235">
            <v>39751</v>
          </cell>
          <cell r="Y235">
            <v>-580889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177872</v>
          </cell>
          <cell r="AE235">
            <v>0</v>
          </cell>
          <cell r="AF235">
            <v>177872</v>
          </cell>
        </row>
        <row r="236">
          <cell r="C236">
            <v>71</v>
          </cell>
          <cell r="D236">
            <v>-8301</v>
          </cell>
          <cell r="E236">
            <v>-4716</v>
          </cell>
          <cell r="F236">
            <v>-38225</v>
          </cell>
          <cell r="G236">
            <v>-9735</v>
          </cell>
          <cell r="H236">
            <v>-10700</v>
          </cell>
          <cell r="I236">
            <v>-38882</v>
          </cell>
          <cell r="J236">
            <v>-27735</v>
          </cell>
          <cell r="K236">
            <v>-20765</v>
          </cell>
          <cell r="L236">
            <v>-22232</v>
          </cell>
          <cell r="M236">
            <v>58463</v>
          </cell>
          <cell r="N236">
            <v>58463</v>
          </cell>
          <cell r="O236">
            <v>58463</v>
          </cell>
          <cell r="P236">
            <v>-8301</v>
          </cell>
          <cell r="Q236">
            <v>3585</v>
          </cell>
          <cell r="R236">
            <v>-33509</v>
          </cell>
          <cell r="S236">
            <v>28490</v>
          </cell>
          <cell r="T236">
            <v>-965</v>
          </cell>
          <cell r="U236">
            <v>-28182</v>
          </cell>
          <cell r="V236">
            <v>11147</v>
          </cell>
          <cell r="W236">
            <v>6970</v>
          </cell>
          <cell r="X236">
            <v>-1467</v>
          </cell>
          <cell r="Y236">
            <v>80695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16650</v>
          </cell>
          <cell r="AE236">
            <v>0</v>
          </cell>
          <cell r="AF236">
            <v>16650</v>
          </cell>
        </row>
        <row r="237">
          <cell r="C237">
            <v>72</v>
          </cell>
          <cell r="D237">
            <v>-1090</v>
          </cell>
          <cell r="E237">
            <v>-1922</v>
          </cell>
          <cell r="F237">
            <v>-1870</v>
          </cell>
          <cell r="G237">
            <v>-2809</v>
          </cell>
          <cell r="H237">
            <v>-3481</v>
          </cell>
          <cell r="I237">
            <v>-4288</v>
          </cell>
          <cell r="J237">
            <v>-4656</v>
          </cell>
          <cell r="K237">
            <v>-5697</v>
          </cell>
          <cell r="L237">
            <v>-6271</v>
          </cell>
          <cell r="M237">
            <v>1565</v>
          </cell>
          <cell r="N237">
            <v>1565</v>
          </cell>
          <cell r="O237">
            <v>1565</v>
          </cell>
          <cell r="P237">
            <v>-1090</v>
          </cell>
          <cell r="Q237">
            <v>-832</v>
          </cell>
          <cell r="R237">
            <v>52</v>
          </cell>
          <cell r="S237">
            <v>-939</v>
          </cell>
          <cell r="T237">
            <v>-672</v>
          </cell>
          <cell r="U237">
            <v>-807</v>
          </cell>
          <cell r="V237">
            <v>-368</v>
          </cell>
          <cell r="W237">
            <v>-1041</v>
          </cell>
          <cell r="X237">
            <v>-574</v>
          </cell>
          <cell r="Y237">
            <v>7836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-1983</v>
          </cell>
          <cell r="AE237">
            <v>0</v>
          </cell>
          <cell r="AF237">
            <v>-1983</v>
          </cell>
        </row>
        <row r="238">
          <cell r="C238">
            <v>73</v>
          </cell>
          <cell r="D238">
            <v>-2857</v>
          </cell>
          <cell r="E238">
            <v>-1300</v>
          </cell>
          <cell r="F238">
            <v>-7356</v>
          </cell>
          <cell r="G238">
            <v>-2717</v>
          </cell>
          <cell r="H238">
            <v>-6834</v>
          </cell>
          <cell r="I238">
            <v>-6399</v>
          </cell>
          <cell r="J238">
            <v>-7593</v>
          </cell>
          <cell r="K238">
            <v>-9893</v>
          </cell>
          <cell r="L238">
            <v>-6716</v>
          </cell>
          <cell r="M238">
            <v>3962</v>
          </cell>
          <cell r="N238">
            <v>3962</v>
          </cell>
          <cell r="O238">
            <v>3962</v>
          </cell>
          <cell r="P238">
            <v>-2857</v>
          </cell>
          <cell r="Q238">
            <v>1557</v>
          </cell>
          <cell r="R238">
            <v>-6056</v>
          </cell>
          <cell r="S238">
            <v>4639</v>
          </cell>
          <cell r="T238">
            <v>-4117</v>
          </cell>
          <cell r="U238">
            <v>435</v>
          </cell>
          <cell r="V238">
            <v>-1194</v>
          </cell>
          <cell r="W238">
            <v>-2300</v>
          </cell>
          <cell r="X238">
            <v>3177</v>
          </cell>
          <cell r="Y238">
            <v>10678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-317</v>
          </cell>
          <cell r="AE238">
            <v>0</v>
          </cell>
          <cell r="AF238">
            <v>-317</v>
          </cell>
        </row>
        <row r="239">
          <cell r="C239">
            <v>74</v>
          </cell>
          <cell r="D239">
            <v>3327</v>
          </cell>
          <cell r="E239">
            <v>-12382</v>
          </cell>
          <cell r="F239">
            <v>-13299</v>
          </cell>
          <cell r="G239">
            <v>-19505</v>
          </cell>
          <cell r="H239">
            <v>-18323</v>
          </cell>
          <cell r="I239">
            <v>-16529</v>
          </cell>
          <cell r="J239">
            <v>-20910</v>
          </cell>
          <cell r="K239">
            <v>-42861</v>
          </cell>
          <cell r="L239">
            <v>-47216</v>
          </cell>
          <cell r="M239">
            <v>129821</v>
          </cell>
          <cell r="N239">
            <v>129821</v>
          </cell>
          <cell r="O239">
            <v>129821</v>
          </cell>
          <cell r="P239">
            <v>3327</v>
          </cell>
          <cell r="Q239">
            <v>-15709</v>
          </cell>
          <cell r="R239">
            <v>-917</v>
          </cell>
          <cell r="S239">
            <v>-6206</v>
          </cell>
          <cell r="T239">
            <v>1182</v>
          </cell>
          <cell r="U239">
            <v>1794</v>
          </cell>
          <cell r="V239">
            <v>-4381</v>
          </cell>
          <cell r="W239">
            <v>-21951</v>
          </cell>
          <cell r="X239">
            <v>-4355</v>
          </cell>
          <cell r="Y239">
            <v>177037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-30687</v>
          </cell>
          <cell r="AE239">
            <v>0</v>
          </cell>
          <cell r="AF239">
            <v>-30687</v>
          </cell>
        </row>
        <row r="240">
          <cell r="C240">
            <v>75</v>
          </cell>
          <cell r="D240">
            <v>-1851</v>
          </cell>
          <cell r="E240">
            <v>-2057</v>
          </cell>
          <cell r="F240">
            <v>-2532</v>
          </cell>
          <cell r="G240">
            <v>-6303</v>
          </cell>
          <cell r="H240">
            <v>-3989</v>
          </cell>
          <cell r="I240">
            <v>-3505</v>
          </cell>
          <cell r="J240">
            <v>-2894</v>
          </cell>
          <cell r="K240">
            <v>-5701</v>
          </cell>
          <cell r="L240">
            <v>-5541</v>
          </cell>
          <cell r="M240">
            <v>16002</v>
          </cell>
          <cell r="N240">
            <v>16002</v>
          </cell>
          <cell r="O240">
            <v>16002</v>
          </cell>
          <cell r="P240">
            <v>-1851</v>
          </cell>
          <cell r="Q240">
            <v>-206</v>
          </cell>
          <cell r="R240">
            <v>-475</v>
          </cell>
          <cell r="S240">
            <v>-3771</v>
          </cell>
          <cell r="T240">
            <v>2314</v>
          </cell>
          <cell r="U240">
            <v>484</v>
          </cell>
          <cell r="V240">
            <v>611</v>
          </cell>
          <cell r="W240">
            <v>-2807</v>
          </cell>
          <cell r="X240">
            <v>160</v>
          </cell>
          <cell r="Y240">
            <v>21543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-2036</v>
          </cell>
          <cell r="AE240">
            <v>0</v>
          </cell>
          <cell r="AF240">
            <v>-2036</v>
          </cell>
        </row>
        <row r="241">
          <cell r="C241">
            <v>76</v>
          </cell>
          <cell r="D241">
            <v>-5265</v>
          </cell>
          <cell r="E241">
            <v>-4737</v>
          </cell>
          <cell r="F241">
            <v>23453</v>
          </cell>
          <cell r="G241">
            <v>8885</v>
          </cell>
          <cell r="H241">
            <v>14204</v>
          </cell>
          <cell r="I241">
            <v>22063</v>
          </cell>
          <cell r="J241">
            <v>18215</v>
          </cell>
          <cell r="K241">
            <v>26919</v>
          </cell>
          <cell r="L241">
            <v>18526</v>
          </cell>
          <cell r="M241">
            <v>-120209</v>
          </cell>
          <cell r="N241">
            <v>-120209</v>
          </cell>
          <cell r="O241">
            <v>-120209</v>
          </cell>
          <cell r="P241">
            <v>-5265</v>
          </cell>
          <cell r="Q241">
            <v>528</v>
          </cell>
          <cell r="R241">
            <v>28190</v>
          </cell>
          <cell r="S241">
            <v>-14568</v>
          </cell>
          <cell r="T241">
            <v>5319</v>
          </cell>
          <cell r="U241">
            <v>7859</v>
          </cell>
          <cell r="V241">
            <v>-3848</v>
          </cell>
          <cell r="W241">
            <v>8704</v>
          </cell>
          <cell r="X241">
            <v>-8393</v>
          </cell>
          <cell r="Y241">
            <v>-138735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-3537</v>
          </cell>
          <cell r="AE241">
            <v>0</v>
          </cell>
          <cell r="AF241">
            <v>-3537</v>
          </cell>
        </row>
        <row r="242">
          <cell r="C242">
            <v>77</v>
          </cell>
          <cell r="D242">
            <v>-86</v>
          </cell>
          <cell r="E242">
            <v>-18</v>
          </cell>
          <cell r="F242">
            <v>41</v>
          </cell>
          <cell r="G242">
            <v>63</v>
          </cell>
          <cell r="H242">
            <v>67</v>
          </cell>
          <cell r="I242">
            <v>78</v>
          </cell>
          <cell r="J242">
            <v>92</v>
          </cell>
          <cell r="K242">
            <v>146</v>
          </cell>
          <cell r="L242">
            <v>153</v>
          </cell>
          <cell r="M242">
            <v>-1060</v>
          </cell>
          <cell r="N242">
            <v>-1060</v>
          </cell>
          <cell r="O242">
            <v>-1060</v>
          </cell>
          <cell r="P242">
            <v>-86</v>
          </cell>
          <cell r="Q242">
            <v>68</v>
          </cell>
          <cell r="R242">
            <v>59</v>
          </cell>
          <cell r="S242">
            <v>22</v>
          </cell>
          <cell r="T242">
            <v>4</v>
          </cell>
          <cell r="U242">
            <v>11</v>
          </cell>
          <cell r="V242">
            <v>14</v>
          </cell>
          <cell r="W242">
            <v>54</v>
          </cell>
          <cell r="X242">
            <v>7</v>
          </cell>
          <cell r="Y242">
            <v>-1213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75</v>
          </cell>
          <cell r="AE242">
            <v>0</v>
          </cell>
          <cell r="AF242">
            <v>75</v>
          </cell>
        </row>
        <row r="243">
          <cell r="C243">
            <v>78</v>
          </cell>
          <cell r="D243">
            <v>417</v>
          </cell>
          <cell r="E243">
            <v>571</v>
          </cell>
          <cell r="F243">
            <v>-6295</v>
          </cell>
          <cell r="G243">
            <v>-6985</v>
          </cell>
          <cell r="H243">
            <v>-9761</v>
          </cell>
          <cell r="I243">
            <v>-9810</v>
          </cell>
          <cell r="J243">
            <v>-9640</v>
          </cell>
          <cell r="K243">
            <v>-9970</v>
          </cell>
          <cell r="L243">
            <v>-9797</v>
          </cell>
          <cell r="M243">
            <v>-9502</v>
          </cell>
          <cell r="N243">
            <v>-9502</v>
          </cell>
          <cell r="O243">
            <v>-9502</v>
          </cell>
          <cell r="P243">
            <v>417</v>
          </cell>
          <cell r="Q243">
            <v>154</v>
          </cell>
          <cell r="R243">
            <v>-6866</v>
          </cell>
          <cell r="S243">
            <v>-690</v>
          </cell>
          <cell r="T243">
            <v>-2776</v>
          </cell>
          <cell r="U243">
            <v>-49</v>
          </cell>
          <cell r="V243">
            <v>170</v>
          </cell>
          <cell r="W243">
            <v>-330</v>
          </cell>
          <cell r="X243">
            <v>173</v>
          </cell>
          <cell r="Y243">
            <v>295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13</v>
          </cell>
          <cell r="AE243">
            <v>0</v>
          </cell>
          <cell r="AF243">
            <v>13</v>
          </cell>
        </row>
        <row r="244">
          <cell r="C244">
            <v>79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</row>
        <row r="245">
          <cell r="C245">
            <v>80</v>
          </cell>
          <cell r="D245">
            <v>113</v>
          </cell>
          <cell r="E245">
            <v>225</v>
          </cell>
          <cell r="F245">
            <v>-11214</v>
          </cell>
          <cell r="G245">
            <v>-11214</v>
          </cell>
          <cell r="H245">
            <v>-11214</v>
          </cell>
          <cell r="I245">
            <v>-11214</v>
          </cell>
          <cell r="J245">
            <v>-11214</v>
          </cell>
          <cell r="K245">
            <v>-11214</v>
          </cell>
          <cell r="L245">
            <v>-11214</v>
          </cell>
          <cell r="M245">
            <v>-11214</v>
          </cell>
          <cell r="N245">
            <v>-11214</v>
          </cell>
          <cell r="O245">
            <v>-11214</v>
          </cell>
          <cell r="P245">
            <v>113</v>
          </cell>
          <cell r="Q245">
            <v>112</v>
          </cell>
          <cell r="R245">
            <v>-11439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</row>
        <row r="246">
          <cell r="C246">
            <v>81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</row>
        <row r="247">
          <cell r="C247">
            <v>82</v>
          </cell>
          <cell r="D247">
            <v>4100</v>
          </cell>
          <cell r="E247">
            <v>3705</v>
          </cell>
          <cell r="F247">
            <v>2474</v>
          </cell>
          <cell r="G247">
            <v>583</v>
          </cell>
          <cell r="H247">
            <v>561</v>
          </cell>
          <cell r="I247">
            <v>-467</v>
          </cell>
          <cell r="J247">
            <v>-4117</v>
          </cell>
          <cell r="K247">
            <v>-6588</v>
          </cell>
          <cell r="L247">
            <v>-7819</v>
          </cell>
          <cell r="M247">
            <v>303386</v>
          </cell>
          <cell r="N247">
            <v>303386</v>
          </cell>
          <cell r="O247">
            <v>303386</v>
          </cell>
          <cell r="P247">
            <v>4100</v>
          </cell>
          <cell r="Q247">
            <v>-395</v>
          </cell>
          <cell r="R247">
            <v>-1231</v>
          </cell>
          <cell r="S247">
            <v>-1891</v>
          </cell>
          <cell r="T247">
            <v>-22</v>
          </cell>
          <cell r="U247">
            <v>-1028</v>
          </cell>
          <cell r="V247">
            <v>-3650</v>
          </cell>
          <cell r="W247">
            <v>-2471</v>
          </cell>
          <cell r="X247">
            <v>-1231</v>
          </cell>
          <cell r="Y247">
            <v>311205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-7352</v>
          </cell>
          <cell r="AE247">
            <v>0</v>
          </cell>
          <cell r="AF247">
            <v>-7352</v>
          </cell>
        </row>
        <row r="248">
          <cell r="C248">
            <v>83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</row>
        <row r="249">
          <cell r="C249">
            <v>84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</row>
        <row r="250">
          <cell r="C250">
            <v>85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</row>
        <row r="251">
          <cell r="C251">
            <v>86</v>
          </cell>
          <cell r="D251">
            <v>-2367</v>
          </cell>
          <cell r="E251">
            <v>-2316</v>
          </cell>
          <cell r="F251">
            <v>-1837</v>
          </cell>
          <cell r="G251">
            <v>347</v>
          </cell>
          <cell r="H251">
            <v>-1156</v>
          </cell>
          <cell r="I251">
            <v>358</v>
          </cell>
          <cell r="J251">
            <v>131</v>
          </cell>
          <cell r="K251">
            <v>295</v>
          </cell>
          <cell r="L251">
            <v>302</v>
          </cell>
          <cell r="M251">
            <v>1714</v>
          </cell>
          <cell r="N251">
            <v>1714</v>
          </cell>
          <cell r="O251">
            <v>1714</v>
          </cell>
          <cell r="P251">
            <v>-2367</v>
          </cell>
          <cell r="Q251">
            <v>51</v>
          </cell>
          <cell r="R251">
            <v>479</v>
          </cell>
          <cell r="S251">
            <v>2184</v>
          </cell>
          <cell r="T251">
            <v>-1503</v>
          </cell>
          <cell r="U251">
            <v>1514</v>
          </cell>
          <cell r="V251">
            <v>-227</v>
          </cell>
          <cell r="W251">
            <v>164</v>
          </cell>
          <cell r="X251">
            <v>7</v>
          </cell>
          <cell r="Y251">
            <v>1412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-56</v>
          </cell>
          <cell r="AE251">
            <v>0</v>
          </cell>
          <cell r="AF251">
            <v>-56</v>
          </cell>
        </row>
        <row r="252">
          <cell r="C252">
            <v>87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</row>
        <row r="253">
          <cell r="C253">
            <v>88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</row>
        <row r="254">
          <cell r="C254">
            <v>89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</row>
        <row r="255">
          <cell r="C255">
            <v>90</v>
          </cell>
          <cell r="D255">
            <v>359</v>
          </cell>
          <cell r="E255">
            <v>464</v>
          </cell>
          <cell r="F255">
            <v>135</v>
          </cell>
          <cell r="G255">
            <v>125</v>
          </cell>
          <cell r="H255">
            <v>615</v>
          </cell>
          <cell r="I255">
            <v>770</v>
          </cell>
          <cell r="J255">
            <v>793</v>
          </cell>
          <cell r="K255">
            <v>876</v>
          </cell>
          <cell r="L255">
            <v>1779</v>
          </cell>
          <cell r="M255">
            <v>-6746</v>
          </cell>
          <cell r="N255">
            <v>-6746</v>
          </cell>
          <cell r="O255">
            <v>-6746</v>
          </cell>
          <cell r="P255">
            <v>359</v>
          </cell>
          <cell r="Q255">
            <v>105</v>
          </cell>
          <cell r="R255">
            <v>-329</v>
          </cell>
          <cell r="S255">
            <v>-10</v>
          </cell>
          <cell r="T255">
            <v>490</v>
          </cell>
          <cell r="U255">
            <v>155</v>
          </cell>
          <cell r="V255">
            <v>23</v>
          </cell>
          <cell r="W255">
            <v>83</v>
          </cell>
          <cell r="X255">
            <v>903</v>
          </cell>
          <cell r="Y255">
            <v>-8525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1009</v>
          </cell>
          <cell r="AE255">
            <v>0</v>
          </cell>
          <cell r="AF255">
            <v>1009</v>
          </cell>
        </row>
        <row r="256">
          <cell r="C256">
            <v>91</v>
          </cell>
          <cell r="D256">
            <v>-445</v>
          </cell>
          <cell r="E256">
            <v>-452</v>
          </cell>
          <cell r="F256">
            <v>-487</v>
          </cell>
          <cell r="G256">
            <v>-504</v>
          </cell>
          <cell r="H256">
            <v>-509</v>
          </cell>
          <cell r="I256">
            <v>-516</v>
          </cell>
          <cell r="J256">
            <v>-522</v>
          </cell>
          <cell r="K256">
            <v>-527</v>
          </cell>
          <cell r="L256">
            <v>-1333</v>
          </cell>
          <cell r="M256">
            <v>-117787</v>
          </cell>
          <cell r="N256">
            <v>-117787</v>
          </cell>
          <cell r="O256">
            <v>-117787</v>
          </cell>
          <cell r="P256">
            <v>-445</v>
          </cell>
          <cell r="Q256">
            <v>-7</v>
          </cell>
          <cell r="R256">
            <v>-35</v>
          </cell>
          <cell r="S256">
            <v>-17</v>
          </cell>
          <cell r="T256">
            <v>-5</v>
          </cell>
          <cell r="U256">
            <v>-7</v>
          </cell>
          <cell r="V256">
            <v>-6</v>
          </cell>
          <cell r="W256">
            <v>-5</v>
          </cell>
          <cell r="X256">
            <v>-806</v>
          </cell>
          <cell r="Y256">
            <v>-116454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-817</v>
          </cell>
          <cell r="AE256">
            <v>0</v>
          </cell>
          <cell r="AF256">
            <v>-817</v>
          </cell>
        </row>
        <row r="257">
          <cell r="C257">
            <v>92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</row>
        <row r="258">
          <cell r="C258">
            <v>93</v>
          </cell>
          <cell r="D258">
            <v>5860</v>
          </cell>
          <cell r="E258">
            <v>5996</v>
          </cell>
          <cell r="F258">
            <v>2947</v>
          </cell>
          <cell r="G258">
            <v>1438</v>
          </cell>
          <cell r="H258">
            <v>1325</v>
          </cell>
          <cell r="I258">
            <v>-1017</v>
          </cell>
          <cell r="J258">
            <v>-1285</v>
          </cell>
          <cell r="K258">
            <v>-656</v>
          </cell>
          <cell r="L258">
            <v>-1896</v>
          </cell>
          <cell r="M258">
            <v>-45745</v>
          </cell>
          <cell r="N258">
            <v>-45745</v>
          </cell>
          <cell r="O258">
            <v>-45745</v>
          </cell>
          <cell r="P258">
            <v>5860</v>
          </cell>
          <cell r="Q258">
            <v>136</v>
          </cell>
          <cell r="R258">
            <v>-3049</v>
          </cell>
          <cell r="S258">
            <v>-1509</v>
          </cell>
          <cell r="T258">
            <v>-113</v>
          </cell>
          <cell r="U258">
            <v>-2342</v>
          </cell>
          <cell r="V258">
            <v>-268</v>
          </cell>
          <cell r="W258">
            <v>629</v>
          </cell>
          <cell r="X258">
            <v>-1240</v>
          </cell>
          <cell r="Y258">
            <v>-43849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-879</v>
          </cell>
          <cell r="AE258">
            <v>0</v>
          </cell>
          <cell r="AF258">
            <v>-879</v>
          </cell>
        </row>
        <row r="259">
          <cell r="C259">
            <v>94</v>
          </cell>
          <cell r="D259">
            <v>0</v>
          </cell>
          <cell r="E259">
            <v>0</v>
          </cell>
          <cell r="F259">
            <v>26264</v>
          </cell>
          <cell r="G259">
            <v>26264</v>
          </cell>
          <cell r="H259">
            <v>26264</v>
          </cell>
          <cell r="I259">
            <v>26264</v>
          </cell>
          <cell r="J259">
            <v>26264</v>
          </cell>
          <cell r="K259">
            <v>26264</v>
          </cell>
          <cell r="L259">
            <v>26264</v>
          </cell>
          <cell r="M259">
            <v>-115282</v>
          </cell>
          <cell r="N259">
            <v>-115282</v>
          </cell>
          <cell r="O259">
            <v>-115282</v>
          </cell>
          <cell r="P259">
            <v>0</v>
          </cell>
          <cell r="Q259">
            <v>0</v>
          </cell>
          <cell r="R259">
            <v>26264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-141546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</row>
        <row r="260">
          <cell r="C260">
            <v>95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</row>
        <row r="261">
          <cell r="C261">
            <v>96</v>
          </cell>
          <cell r="D261">
            <v>-1771</v>
          </cell>
          <cell r="E261">
            <v>-1771</v>
          </cell>
          <cell r="F261">
            <v>-1771</v>
          </cell>
          <cell r="G261">
            <v>-1771</v>
          </cell>
          <cell r="H261">
            <v>-1771</v>
          </cell>
          <cell r="I261">
            <v>-1771</v>
          </cell>
          <cell r="J261">
            <v>-1771</v>
          </cell>
          <cell r="K261">
            <v>-1771</v>
          </cell>
          <cell r="L261">
            <v>-1771</v>
          </cell>
          <cell r="M261">
            <v>-2106</v>
          </cell>
          <cell r="N261">
            <v>-2106</v>
          </cell>
          <cell r="O261">
            <v>-2106</v>
          </cell>
          <cell r="P261">
            <v>-1771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-335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</row>
        <row r="262">
          <cell r="C262">
            <v>97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</row>
        <row r="264">
          <cell r="C264">
            <v>112</v>
          </cell>
          <cell r="D264">
            <v>109505</v>
          </cell>
          <cell r="E264">
            <v>219563</v>
          </cell>
          <cell r="F264">
            <v>367761</v>
          </cell>
          <cell r="G264">
            <v>510786</v>
          </cell>
          <cell r="H264">
            <v>656409</v>
          </cell>
          <cell r="I264">
            <v>803248</v>
          </cell>
          <cell r="J264">
            <v>955699</v>
          </cell>
          <cell r="K264">
            <v>1112258</v>
          </cell>
          <cell r="L264">
            <v>1267048</v>
          </cell>
          <cell r="M264">
            <v>1267048</v>
          </cell>
          <cell r="N264">
            <v>1267048</v>
          </cell>
          <cell r="O264">
            <v>1267048</v>
          </cell>
          <cell r="P264">
            <v>109505</v>
          </cell>
          <cell r="Q264">
            <v>109781.5</v>
          </cell>
          <cell r="R264">
            <v>129128</v>
          </cell>
          <cell r="S264">
            <v>145611.5</v>
          </cell>
          <cell r="T264">
            <v>144324</v>
          </cell>
          <cell r="U264">
            <v>146231</v>
          </cell>
          <cell r="V264">
            <v>149645</v>
          </cell>
          <cell r="W264">
            <v>154505</v>
          </cell>
          <cell r="X264">
            <v>155674.5</v>
          </cell>
          <cell r="Y264">
            <v>77395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459824.5</v>
          </cell>
          <cell r="AE264">
            <v>0</v>
          </cell>
          <cell r="AF264">
            <v>153274.83333333334</v>
          </cell>
        </row>
        <row r="265">
          <cell r="C265">
            <v>113</v>
          </cell>
          <cell r="D265">
            <v>274459</v>
          </cell>
          <cell r="E265">
            <v>451145</v>
          </cell>
          <cell r="F265">
            <v>735613</v>
          </cell>
          <cell r="G265">
            <v>1064625</v>
          </cell>
          <cell r="H265">
            <v>1373421</v>
          </cell>
          <cell r="I265">
            <v>1687944</v>
          </cell>
          <cell r="J265">
            <v>2000521</v>
          </cell>
          <cell r="K265">
            <v>2329859</v>
          </cell>
          <cell r="L265">
            <v>2668555</v>
          </cell>
          <cell r="M265">
            <v>2823345</v>
          </cell>
          <cell r="N265">
            <v>2823345</v>
          </cell>
          <cell r="O265">
            <v>2823345</v>
          </cell>
          <cell r="P265">
            <v>274459</v>
          </cell>
          <cell r="Q265">
            <v>280601.5</v>
          </cell>
          <cell r="R265">
            <v>304676</v>
          </cell>
          <cell r="S265">
            <v>323223.5</v>
          </cell>
          <cell r="T265">
            <v>317616.5</v>
          </cell>
          <cell r="U265">
            <v>313566.5</v>
          </cell>
          <cell r="V265">
            <v>316964</v>
          </cell>
          <cell r="W265">
            <v>325817.5</v>
          </cell>
          <cell r="X265">
            <v>335186.5</v>
          </cell>
          <cell r="Y265">
            <v>168463.5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977968</v>
          </cell>
          <cell r="AE265">
            <v>0</v>
          </cell>
          <cell r="AF265">
            <v>325989.33333333331</v>
          </cell>
        </row>
        <row r="266">
          <cell r="C266">
            <v>108</v>
          </cell>
          <cell r="D266">
            <v>-0.54627642573398472</v>
          </cell>
          <cell r="E266">
            <v>-0.22708744187317537</v>
          </cell>
          <cell r="F266">
            <v>-5.2077300203121048E-2</v>
          </cell>
          <cell r="G266">
            <v>-0.17610506161092904</v>
          </cell>
          <cell r="H266">
            <v>-8.9157826903653065E-2</v>
          </cell>
          <cell r="I266">
            <v>-5.9339083321713844E-2</v>
          </cell>
          <cell r="J266">
            <v>1.9336632140454266E-2</v>
          </cell>
          <cell r="K266">
            <v>6.9469493588717721E-2</v>
          </cell>
          <cell r="L266">
            <v>2.6291032383934942E-2</v>
          </cell>
          <cell r="M266">
            <v>0</v>
          </cell>
          <cell r="N266">
            <v>0</v>
          </cell>
          <cell r="O266">
            <v>0</v>
          </cell>
          <cell r="P266">
            <v>-0.54627642573398472</v>
          </cell>
          <cell r="Q266">
            <v>9.0725668714674149E-2</v>
          </cell>
          <cell r="R266">
            <v>0.23781054457592465</v>
          </cell>
          <cell r="S266">
            <v>-0.48622533247717387</v>
          </cell>
          <cell r="T266">
            <v>0.21776003991020204</v>
          </cell>
          <cell r="U266">
            <v>7.426605849648843E-2</v>
          </cell>
          <cell r="V266">
            <v>0.44200608105850514</v>
          </cell>
          <cell r="W266">
            <v>0.38049254069447591</v>
          </cell>
          <cell r="X266">
            <v>-0.28235838239403371</v>
          </cell>
          <cell r="Y266">
            <v>-0.43041540151172558</v>
          </cell>
          <cell r="Z266" t="e">
            <v>#DIV/0!</v>
          </cell>
          <cell r="AA266" t="e">
            <v>#DIV/0!</v>
          </cell>
          <cell r="AF266">
            <v>0.52830590801490562</v>
          </cell>
        </row>
        <row r="267">
          <cell r="C267">
            <v>109</v>
          </cell>
          <cell r="D267">
            <v>-0.21795605172357255</v>
          </cell>
          <cell r="E267">
            <v>-0.11051879107603986</v>
          </cell>
          <cell r="F267">
            <v>-2.6035428955170723E-2</v>
          </cell>
          <cell r="G267">
            <v>-8.449172243747799E-2</v>
          </cell>
          <cell r="H267">
            <v>-4.2611842981867903E-2</v>
          </cell>
          <cell r="I267">
            <v>-2.8237903627134551E-2</v>
          </cell>
          <cell r="J267">
            <v>9.2375936068654109E-3</v>
          </cell>
          <cell r="K267">
            <v>3.3164238694272916E-2</v>
          </cell>
          <cell r="L267">
            <v>1.248316036206861E-2</v>
          </cell>
          <cell r="M267">
            <v>0</v>
          </cell>
          <cell r="N267">
            <v>0</v>
          </cell>
          <cell r="O267">
            <v>0</v>
          </cell>
          <cell r="P267">
            <v>-0.21795605172357255</v>
          </cell>
          <cell r="Q267">
            <v>3.549517732442628E-2</v>
          </cell>
          <cell r="R267">
            <v>0.10078903490921504</v>
          </cell>
          <cell r="S267">
            <v>-0.21904347920247136</v>
          </cell>
          <cell r="T267">
            <v>9.8949519310237349E-2</v>
          </cell>
          <cell r="U267">
            <v>3.4633801761348872E-2</v>
          </cell>
          <cell r="V267">
            <v>0.20867985007761133</v>
          </cell>
          <cell r="W267">
            <v>0.18043229722160412</v>
          </cell>
          <cell r="X267">
            <v>-0.13113893310142263</v>
          </cell>
          <cell r="Y267">
            <v>-0.19774016329946842</v>
          </cell>
          <cell r="Z267" t="e">
            <v>#DIV/0!</v>
          </cell>
          <cell r="AA267" t="e">
            <v>#DIV/0!</v>
          </cell>
          <cell r="AF267">
            <v>0.24840076566922437</v>
          </cell>
        </row>
        <row r="268">
          <cell r="C268">
            <v>999</v>
          </cell>
          <cell r="D268">
            <v>-11745</v>
          </cell>
          <cell r="E268">
            <v>-20230</v>
          </cell>
          <cell r="F268">
            <v>-15424</v>
          </cell>
          <cell r="G268">
            <v>-12971</v>
          </cell>
          <cell r="H268">
            <v>-10658</v>
          </cell>
          <cell r="I268">
            <v>-27670</v>
          </cell>
          <cell r="J268">
            <v>-23329</v>
          </cell>
          <cell r="K268">
            <v>-31649</v>
          </cell>
          <cell r="L268">
            <v>-45118</v>
          </cell>
          <cell r="M268">
            <v>87893</v>
          </cell>
          <cell r="N268">
            <v>87893</v>
          </cell>
          <cell r="O268">
            <v>87893</v>
          </cell>
          <cell r="P268">
            <v>-11745</v>
          </cell>
          <cell r="Q268">
            <v>-8485</v>
          </cell>
          <cell r="R268">
            <v>4806</v>
          </cell>
          <cell r="S268">
            <v>2453</v>
          </cell>
          <cell r="T268">
            <v>2313</v>
          </cell>
          <cell r="U268">
            <v>-17012</v>
          </cell>
          <cell r="V268">
            <v>4341</v>
          </cell>
          <cell r="W268">
            <v>-8320</v>
          </cell>
          <cell r="X268">
            <v>-13469</v>
          </cell>
          <cell r="Y268">
            <v>133011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-17448</v>
          </cell>
          <cell r="AE268">
            <v>0</v>
          </cell>
          <cell r="AF268">
            <v>-17448</v>
          </cell>
        </row>
        <row r="269">
          <cell r="C269">
            <v>800</v>
          </cell>
          <cell r="D269">
            <v>66764</v>
          </cell>
          <cell r="E269">
            <v>129943</v>
          </cell>
          <cell r="F269">
            <v>226631</v>
          </cell>
          <cell r="G269">
            <v>294829</v>
          </cell>
          <cell r="H269">
            <v>363992</v>
          </cell>
          <cell r="I269">
            <v>461337</v>
          </cell>
          <cell r="J269">
            <v>547535</v>
          </cell>
          <cell r="K269">
            <v>626763</v>
          </cell>
          <cell r="L269">
            <v>707458</v>
          </cell>
          <cell r="M269">
            <v>707458</v>
          </cell>
          <cell r="N269">
            <v>707458</v>
          </cell>
          <cell r="O269">
            <v>707458</v>
          </cell>
          <cell r="P269">
            <v>66764</v>
          </cell>
          <cell r="Q269">
            <v>63179</v>
          </cell>
          <cell r="R269">
            <v>96688</v>
          </cell>
          <cell r="S269">
            <v>68198</v>
          </cell>
          <cell r="T269">
            <v>69163</v>
          </cell>
          <cell r="U269">
            <v>97345</v>
          </cell>
          <cell r="V269">
            <v>86198</v>
          </cell>
          <cell r="W269">
            <v>79228</v>
          </cell>
          <cell r="X269">
            <v>80695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246121</v>
          </cell>
          <cell r="AE269">
            <v>0</v>
          </cell>
          <cell r="AF269">
            <v>82040.333333333328</v>
          </cell>
        </row>
        <row r="270">
          <cell r="C270">
            <v>801</v>
          </cell>
          <cell r="E270">
            <v>75</v>
          </cell>
          <cell r="F270">
            <v>84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38</v>
          </cell>
          <cell r="R270">
            <v>53</v>
          </cell>
          <cell r="S270">
            <v>40</v>
          </cell>
          <cell r="T270">
            <v>32</v>
          </cell>
          <cell r="U270">
            <v>27</v>
          </cell>
          <cell r="V270">
            <v>23</v>
          </cell>
          <cell r="W270">
            <v>20</v>
          </cell>
          <cell r="X270">
            <v>18</v>
          </cell>
          <cell r="Y270">
            <v>16</v>
          </cell>
          <cell r="Z270">
            <v>14</v>
          </cell>
          <cell r="AA270">
            <v>13</v>
          </cell>
        </row>
        <row r="271">
          <cell r="C271">
            <v>802</v>
          </cell>
          <cell r="D271">
            <v>126494</v>
          </cell>
          <cell r="E271">
            <v>268697</v>
          </cell>
          <cell r="F271">
            <v>411817</v>
          </cell>
          <cell r="G271">
            <v>561143</v>
          </cell>
          <cell r="H271">
            <v>709287</v>
          </cell>
          <cell r="I271">
            <v>855637</v>
          </cell>
          <cell r="J271">
            <v>1006368</v>
          </cell>
          <cell r="K271">
            <v>1179050</v>
          </cell>
          <cell r="L271">
            <v>1356087</v>
          </cell>
          <cell r="M271">
            <v>1356087</v>
          </cell>
          <cell r="N271">
            <v>1356087</v>
          </cell>
          <cell r="O271">
            <v>1356087</v>
          </cell>
          <cell r="P271">
            <v>126494</v>
          </cell>
          <cell r="Q271">
            <v>142203</v>
          </cell>
          <cell r="R271">
            <v>143120</v>
          </cell>
          <cell r="S271">
            <v>149326</v>
          </cell>
          <cell r="T271">
            <v>148144</v>
          </cell>
          <cell r="U271">
            <v>146350</v>
          </cell>
          <cell r="V271">
            <v>150731</v>
          </cell>
          <cell r="W271">
            <v>172682</v>
          </cell>
          <cell r="X271">
            <v>177037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500450</v>
          </cell>
          <cell r="AE271">
            <v>0</v>
          </cell>
          <cell r="AF271">
            <v>166816.66666666666</v>
          </cell>
        </row>
        <row r="272">
          <cell r="D272">
            <v>126494</v>
          </cell>
          <cell r="E272">
            <v>142203</v>
          </cell>
          <cell r="F272">
            <v>143120</v>
          </cell>
          <cell r="G272">
            <v>149326</v>
          </cell>
          <cell r="H272">
            <v>148144</v>
          </cell>
          <cell r="I272">
            <v>146350</v>
          </cell>
          <cell r="J272">
            <v>150731</v>
          </cell>
          <cell r="K272">
            <v>172682</v>
          </cell>
          <cell r="L272">
            <v>177037</v>
          </cell>
          <cell r="M272">
            <v>0</v>
          </cell>
          <cell r="N272">
            <v>0</v>
          </cell>
          <cell r="O272">
            <v>0</v>
          </cell>
        </row>
        <row r="273">
          <cell r="C273">
            <v>803</v>
          </cell>
          <cell r="E273">
            <v>107</v>
          </cell>
          <cell r="F273">
            <v>108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54</v>
          </cell>
          <cell r="R273">
            <v>72</v>
          </cell>
          <cell r="S273">
            <v>54</v>
          </cell>
          <cell r="T273">
            <v>43</v>
          </cell>
          <cell r="U273">
            <v>36</v>
          </cell>
          <cell r="V273">
            <v>31</v>
          </cell>
          <cell r="W273">
            <v>27</v>
          </cell>
          <cell r="X273">
            <v>24</v>
          </cell>
          <cell r="Y273">
            <v>22</v>
          </cell>
          <cell r="Z273">
            <v>20</v>
          </cell>
          <cell r="AA273">
            <v>18</v>
          </cell>
        </row>
        <row r="274">
          <cell r="C274">
            <v>804</v>
          </cell>
          <cell r="D274">
            <v>48150</v>
          </cell>
          <cell r="E274">
            <v>99848</v>
          </cell>
          <cell r="F274">
            <v>181022</v>
          </cell>
          <cell r="G274">
            <v>249441</v>
          </cell>
          <cell r="H274">
            <v>311417</v>
          </cell>
          <cell r="I274">
            <v>381708</v>
          </cell>
          <cell r="J274">
            <v>450489</v>
          </cell>
          <cell r="K274">
            <v>529180</v>
          </cell>
          <cell r="L274">
            <v>606518</v>
          </cell>
          <cell r="M274">
            <v>606518</v>
          </cell>
          <cell r="N274">
            <v>606518</v>
          </cell>
          <cell r="O274">
            <v>606518</v>
          </cell>
          <cell r="P274">
            <v>48150</v>
          </cell>
          <cell r="Q274">
            <v>51698</v>
          </cell>
          <cell r="R274">
            <v>81174</v>
          </cell>
          <cell r="S274">
            <v>68419</v>
          </cell>
          <cell r="T274">
            <v>61976</v>
          </cell>
          <cell r="U274">
            <v>70291</v>
          </cell>
          <cell r="V274">
            <v>68781</v>
          </cell>
          <cell r="W274">
            <v>78691</v>
          </cell>
          <cell r="X274">
            <v>77338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224810</v>
          </cell>
          <cell r="AE274">
            <v>0</v>
          </cell>
          <cell r="AF274">
            <v>74936.666666666672</v>
          </cell>
        </row>
        <row r="275">
          <cell r="C275">
            <v>805</v>
          </cell>
          <cell r="E275">
            <v>116</v>
          </cell>
          <cell r="F275">
            <v>135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58</v>
          </cell>
          <cell r="R275">
            <v>84</v>
          </cell>
          <cell r="S275">
            <v>63</v>
          </cell>
          <cell r="T275">
            <v>50</v>
          </cell>
          <cell r="U275">
            <v>42</v>
          </cell>
          <cell r="V275">
            <v>36</v>
          </cell>
          <cell r="W275">
            <v>31</v>
          </cell>
          <cell r="X275">
            <v>28</v>
          </cell>
          <cell r="Y275">
            <v>25</v>
          </cell>
          <cell r="Z275">
            <v>23</v>
          </cell>
          <cell r="AA275">
            <v>21</v>
          </cell>
        </row>
        <row r="276">
          <cell r="D276">
            <v>593</v>
          </cell>
          <cell r="E276">
            <v>681</v>
          </cell>
          <cell r="F276">
            <v>681</v>
          </cell>
          <cell r="G276">
            <v>681</v>
          </cell>
          <cell r="H276">
            <v>750</v>
          </cell>
          <cell r="I276">
            <v>750</v>
          </cell>
          <cell r="J276">
            <v>750</v>
          </cell>
          <cell r="K276">
            <v>2107</v>
          </cell>
          <cell r="L276">
            <v>3767</v>
          </cell>
          <cell r="M276">
            <v>0</v>
          </cell>
          <cell r="N276">
            <v>0</v>
          </cell>
          <cell r="O276">
            <v>0</v>
          </cell>
        </row>
        <row r="277">
          <cell r="D277">
            <v>857</v>
          </cell>
          <cell r="E277">
            <v>1639</v>
          </cell>
          <cell r="F277">
            <v>2066</v>
          </cell>
          <cell r="G277">
            <v>2899</v>
          </cell>
          <cell r="H277">
            <v>3781</v>
          </cell>
          <cell r="I277">
            <v>4674</v>
          </cell>
          <cell r="J277">
            <v>5415</v>
          </cell>
          <cell r="K277">
            <v>6416</v>
          </cell>
          <cell r="L277">
            <v>7355</v>
          </cell>
          <cell r="M277">
            <v>0</v>
          </cell>
          <cell r="N277">
            <v>0</v>
          </cell>
          <cell r="O277">
            <v>0</v>
          </cell>
        </row>
        <row r="278">
          <cell r="D278">
            <v>1107</v>
          </cell>
          <cell r="E278">
            <v>2511</v>
          </cell>
          <cell r="F278">
            <v>3762</v>
          </cell>
          <cell r="G278">
            <v>5512</v>
          </cell>
          <cell r="H278">
            <v>7268</v>
          </cell>
          <cell r="I278">
            <v>8383</v>
          </cell>
          <cell r="J278">
            <v>10069</v>
          </cell>
          <cell r="K278">
            <v>11616</v>
          </cell>
          <cell r="L278">
            <v>12847</v>
          </cell>
          <cell r="M278">
            <v>0</v>
          </cell>
          <cell r="N278">
            <v>0</v>
          </cell>
          <cell r="O278">
            <v>0</v>
          </cell>
        </row>
        <row r="282">
          <cell r="D282" t="str">
            <v>.MFGHOTOT</v>
          </cell>
        </row>
        <row r="283">
          <cell r="D283" t="str">
            <v>.MFGHOTOT</v>
          </cell>
        </row>
        <row r="286">
          <cell r="D286">
            <v>862</v>
          </cell>
          <cell r="E286">
            <v>1575</v>
          </cell>
          <cell r="F286">
            <v>2283</v>
          </cell>
          <cell r="G286">
            <v>2775</v>
          </cell>
          <cell r="H286">
            <v>3459</v>
          </cell>
          <cell r="I286">
            <v>3655</v>
          </cell>
          <cell r="J286">
            <v>3970</v>
          </cell>
          <cell r="K286">
            <v>4782</v>
          </cell>
          <cell r="L286">
            <v>5016</v>
          </cell>
          <cell r="M286">
            <v>0</v>
          </cell>
          <cell r="N286">
            <v>0</v>
          </cell>
          <cell r="O286">
            <v>0</v>
          </cell>
        </row>
        <row r="293">
          <cell r="D293">
            <v>1</v>
          </cell>
          <cell r="E293">
            <v>23</v>
          </cell>
          <cell r="F293">
            <v>23</v>
          </cell>
          <cell r="G293">
            <v>23</v>
          </cell>
          <cell r="H293">
            <v>23</v>
          </cell>
          <cell r="I293">
            <v>23</v>
          </cell>
          <cell r="J293">
            <v>23</v>
          </cell>
          <cell r="K293">
            <v>23</v>
          </cell>
          <cell r="L293">
            <v>23</v>
          </cell>
          <cell r="M293">
            <v>0</v>
          </cell>
          <cell r="N293">
            <v>0</v>
          </cell>
          <cell r="O293">
            <v>0</v>
          </cell>
        </row>
        <row r="300">
          <cell r="D300">
            <v>130</v>
          </cell>
          <cell r="E300">
            <v>260</v>
          </cell>
          <cell r="F300">
            <v>390</v>
          </cell>
          <cell r="G300">
            <v>390</v>
          </cell>
          <cell r="H300">
            <v>519</v>
          </cell>
          <cell r="I300">
            <v>660</v>
          </cell>
          <cell r="J300">
            <v>800</v>
          </cell>
          <cell r="K300">
            <v>800</v>
          </cell>
          <cell r="L300">
            <v>800</v>
          </cell>
          <cell r="M300">
            <v>0</v>
          </cell>
          <cell r="N300">
            <v>0</v>
          </cell>
          <cell r="O300">
            <v>0</v>
          </cell>
        </row>
      </sheetData>
      <sheetData sheetId="4" refreshError="1"/>
      <sheetData sheetId="5" refreshError="1"/>
      <sheetData sheetId="6">
        <row r="3">
          <cell r="C3">
            <v>0</v>
          </cell>
          <cell r="D3" t="str">
            <v>Jan - Ytd</v>
          </cell>
          <cell r="E3" t="str">
            <v>Feb - Ytd</v>
          </cell>
          <cell r="F3" t="str">
            <v>Mar - Ytd</v>
          </cell>
          <cell r="G3" t="str">
            <v>Apr - Ytd</v>
          </cell>
          <cell r="H3" t="str">
            <v>May -Ytd</v>
          </cell>
          <cell r="I3" t="str">
            <v>Jun -Ytd</v>
          </cell>
          <cell r="J3" t="str">
            <v>Jul - Ytd</v>
          </cell>
          <cell r="K3" t="str">
            <v>Aug - Ytd</v>
          </cell>
          <cell r="L3" t="str">
            <v>Sep - Ytd</v>
          </cell>
          <cell r="M3" t="str">
            <v>Oct - Ytd</v>
          </cell>
          <cell r="N3" t="str">
            <v>Nov - Ytd</v>
          </cell>
          <cell r="O3" t="str">
            <v>Dec -Ytd</v>
          </cell>
          <cell r="P3" t="str">
            <v>Jan 02</v>
          </cell>
          <cell r="Q3" t="str">
            <v>Feb 02</v>
          </cell>
          <cell r="R3" t="str">
            <v>Mar 02</v>
          </cell>
          <cell r="S3" t="str">
            <v>Apr 02</v>
          </cell>
          <cell r="T3" t="str">
            <v>May 02</v>
          </cell>
          <cell r="U3" t="str">
            <v>Jun 02</v>
          </cell>
          <cell r="V3" t="str">
            <v>Jul 02</v>
          </cell>
          <cell r="W3" t="str">
            <v>Aug 02</v>
          </cell>
          <cell r="X3" t="str">
            <v>Sep 02</v>
          </cell>
          <cell r="Y3" t="str">
            <v>Oct 02</v>
          </cell>
          <cell r="Z3" t="str">
            <v>Nov 02</v>
          </cell>
          <cell r="AA3" t="str">
            <v>Dec 02</v>
          </cell>
          <cell r="AB3" t="str">
            <v>Qtr 1</v>
          </cell>
          <cell r="AC3" t="str">
            <v>Qtr 2</v>
          </cell>
          <cell r="AD3" t="str">
            <v>Qtr 3</v>
          </cell>
          <cell r="AE3" t="str">
            <v>Qtr 4</v>
          </cell>
          <cell r="AF3" t="str">
            <v>Cur Qtr</v>
          </cell>
        </row>
        <row r="6">
          <cell r="C6">
            <v>200</v>
          </cell>
          <cell r="D6">
            <v>36172</v>
          </cell>
          <cell r="E6">
            <v>64054</v>
          </cell>
          <cell r="F6">
            <v>99577</v>
          </cell>
          <cell r="G6">
            <v>140096</v>
          </cell>
          <cell r="H6">
            <v>163292</v>
          </cell>
          <cell r="I6">
            <v>210588</v>
          </cell>
          <cell r="J6">
            <v>248189</v>
          </cell>
          <cell r="K6">
            <v>283043</v>
          </cell>
          <cell r="L6">
            <v>320595</v>
          </cell>
          <cell r="M6">
            <v>356207</v>
          </cell>
          <cell r="N6">
            <v>389814</v>
          </cell>
          <cell r="O6">
            <v>458146</v>
          </cell>
          <cell r="P6">
            <v>36172</v>
          </cell>
          <cell r="Q6">
            <v>27882</v>
          </cell>
          <cell r="R6">
            <v>35523</v>
          </cell>
          <cell r="S6">
            <v>40519</v>
          </cell>
          <cell r="T6">
            <v>23196</v>
          </cell>
          <cell r="U6">
            <v>47296</v>
          </cell>
          <cell r="V6">
            <v>37601</v>
          </cell>
          <cell r="W6">
            <v>34854</v>
          </cell>
          <cell r="X6">
            <v>37552</v>
          </cell>
          <cell r="Y6">
            <v>35612</v>
          </cell>
          <cell r="Z6">
            <v>33607</v>
          </cell>
          <cell r="AA6">
            <v>68332</v>
          </cell>
          <cell r="AB6">
            <v>0</v>
          </cell>
          <cell r="AC6">
            <v>0</v>
          </cell>
          <cell r="AD6">
            <v>110007</v>
          </cell>
          <cell r="AE6">
            <v>0</v>
          </cell>
          <cell r="AF6">
            <v>110007</v>
          </cell>
        </row>
        <row r="7">
          <cell r="C7">
            <v>201</v>
          </cell>
          <cell r="D7">
            <v>600</v>
          </cell>
          <cell r="E7">
            <v>775</v>
          </cell>
          <cell r="F7">
            <v>1409</v>
          </cell>
          <cell r="G7">
            <v>1884</v>
          </cell>
          <cell r="H7">
            <v>1887</v>
          </cell>
          <cell r="I7">
            <v>2345</v>
          </cell>
          <cell r="J7">
            <v>2666</v>
          </cell>
          <cell r="K7">
            <v>2666</v>
          </cell>
          <cell r="L7">
            <v>2666</v>
          </cell>
          <cell r="M7">
            <v>3411</v>
          </cell>
          <cell r="N7">
            <v>3713</v>
          </cell>
          <cell r="O7">
            <v>4027</v>
          </cell>
          <cell r="P7">
            <v>600</v>
          </cell>
          <cell r="Q7">
            <v>175</v>
          </cell>
          <cell r="R7">
            <v>634</v>
          </cell>
          <cell r="S7">
            <v>475</v>
          </cell>
          <cell r="T7">
            <v>3</v>
          </cell>
          <cell r="U7">
            <v>458</v>
          </cell>
          <cell r="V7">
            <v>321</v>
          </cell>
          <cell r="W7">
            <v>0</v>
          </cell>
          <cell r="X7">
            <v>0</v>
          </cell>
          <cell r="Y7">
            <v>745</v>
          </cell>
          <cell r="Z7">
            <v>302</v>
          </cell>
          <cell r="AA7">
            <v>314</v>
          </cell>
          <cell r="AB7">
            <v>0</v>
          </cell>
          <cell r="AC7">
            <v>0</v>
          </cell>
          <cell r="AD7">
            <v>321</v>
          </cell>
          <cell r="AE7">
            <v>0</v>
          </cell>
          <cell r="AF7">
            <v>321</v>
          </cell>
        </row>
        <row r="8">
          <cell r="C8">
            <v>5</v>
          </cell>
          <cell r="D8">
            <v>488</v>
          </cell>
          <cell r="E8">
            <v>1130</v>
          </cell>
          <cell r="F8">
            <v>1738</v>
          </cell>
          <cell r="G8">
            <v>2452</v>
          </cell>
          <cell r="H8">
            <v>3316</v>
          </cell>
          <cell r="I8">
            <v>3945</v>
          </cell>
          <cell r="J8">
            <v>4626</v>
          </cell>
          <cell r="K8">
            <v>5082</v>
          </cell>
          <cell r="L8">
            <v>6176</v>
          </cell>
          <cell r="M8">
            <v>6991</v>
          </cell>
          <cell r="N8">
            <v>7365</v>
          </cell>
          <cell r="O8">
            <v>7329</v>
          </cell>
          <cell r="P8">
            <v>488</v>
          </cell>
          <cell r="Q8">
            <v>642</v>
          </cell>
          <cell r="R8">
            <v>608</v>
          </cell>
          <cell r="S8">
            <v>714</v>
          </cell>
          <cell r="T8">
            <v>864</v>
          </cell>
          <cell r="U8">
            <v>629</v>
          </cell>
          <cell r="V8">
            <v>681</v>
          </cell>
          <cell r="W8">
            <v>456</v>
          </cell>
          <cell r="X8">
            <v>1094</v>
          </cell>
          <cell r="Y8">
            <v>815</v>
          </cell>
          <cell r="Z8">
            <v>374</v>
          </cell>
          <cell r="AA8">
            <v>-36</v>
          </cell>
          <cell r="AB8">
            <v>0</v>
          </cell>
          <cell r="AC8">
            <v>0</v>
          </cell>
          <cell r="AD8">
            <v>2231</v>
          </cell>
          <cell r="AE8">
            <v>0</v>
          </cell>
          <cell r="AF8">
            <v>2231</v>
          </cell>
        </row>
        <row r="9">
          <cell r="C9">
            <v>6</v>
          </cell>
          <cell r="D9">
            <v>1410</v>
          </cell>
          <cell r="E9">
            <v>1762</v>
          </cell>
          <cell r="F9">
            <v>2110</v>
          </cell>
          <cell r="G9">
            <v>2494</v>
          </cell>
          <cell r="H9">
            <v>3624</v>
          </cell>
          <cell r="I9">
            <v>4346</v>
          </cell>
          <cell r="J9">
            <v>5033</v>
          </cell>
          <cell r="K9">
            <v>6564</v>
          </cell>
          <cell r="L9">
            <v>7374</v>
          </cell>
          <cell r="M9">
            <v>7998</v>
          </cell>
          <cell r="N9">
            <v>9137</v>
          </cell>
          <cell r="O9">
            <v>11159</v>
          </cell>
          <cell r="P9">
            <v>1410</v>
          </cell>
          <cell r="Q9">
            <v>352</v>
          </cell>
          <cell r="R9">
            <v>348</v>
          </cell>
          <cell r="S9">
            <v>384</v>
          </cell>
          <cell r="T9">
            <v>1130</v>
          </cell>
          <cell r="U9">
            <v>722</v>
          </cell>
          <cell r="V9">
            <v>687</v>
          </cell>
          <cell r="W9">
            <v>1531</v>
          </cell>
          <cell r="X9">
            <v>810</v>
          </cell>
          <cell r="Y9">
            <v>624</v>
          </cell>
          <cell r="Z9">
            <v>1139</v>
          </cell>
          <cell r="AA9">
            <v>2022</v>
          </cell>
          <cell r="AB9">
            <v>0</v>
          </cell>
          <cell r="AC9">
            <v>0</v>
          </cell>
          <cell r="AD9">
            <v>3028</v>
          </cell>
          <cell r="AE9">
            <v>0</v>
          </cell>
          <cell r="AF9">
            <v>3028</v>
          </cell>
        </row>
        <row r="10">
          <cell r="C10">
            <v>7</v>
          </cell>
          <cell r="D10">
            <v>123</v>
          </cell>
          <cell r="E10">
            <v>246</v>
          </cell>
          <cell r="F10">
            <v>367</v>
          </cell>
          <cell r="G10">
            <v>492</v>
          </cell>
          <cell r="H10">
            <v>617</v>
          </cell>
          <cell r="I10">
            <v>747</v>
          </cell>
          <cell r="J10">
            <v>877</v>
          </cell>
          <cell r="K10">
            <v>1007</v>
          </cell>
          <cell r="L10">
            <v>1136</v>
          </cell>
          <cell r="M10">
            <v>1266</v>
          </cell>
          <cell r="N10">
            <v>1396</v>
          </cell>
          <cell r="O10">
            <v>1526</v>
          </cell>
          <cell r="P10">
            <v>123</v>
          </cell>
          <cell r="Q10">
            <v>123</v>
          </cell>
          <cell r="R10">
            <v>121</v>
          </cell>
          <cell r="S10">
            <v>125</v>
          </cell>
          <cell r="T10">
            <v>125</v>
          </cell>
          <cell r="U10">
            <v>130</v>
          </cell>
          <cell r="V10">
            <v>130</v>
          </cell>
          <cell r="W10">
            <v>130</v>
          </cell>
          <cell r="X10">
            <v>129</v>
          </cell>
          <cell r="Y10">
            <v>130</v>
          </cell>
          <cell r="Z10">
            <v>130</v>
          </cell>
          <cell r="AA10">
            <v>130</v>
          </cell>
          <cell r="AB10">
            <v>0</v>
          </cell>
          <cell r="AC10">
            <v>0</v>
          </cell>
          <cell r="AD10">
            <v>389</v>
          </cell>
          <cell r="AE10">
            <v>0</v>
          </cell>
          <cell r="AF10">
            <v>389</v>
          </cell>
        </row>
        <row r="11">
          <cell r="C11">
            <v>8</v>
          </cell>
          <cell r="D11">
            <v>74</v>
          </cell>
          <cell r="E11">
            <v>179</v>
          </cell>
          <cell r="F11">
            <v>210</v>
          </cell>
          <cell r="G11">
            <v>254</v>
          </cell>
          <cell r="H11">
            <v>349</v>
          </cell>
          <cell r="I11">
            <v>594</v>
          </cell>
          <cell r="J11">
            <v>870</v>
          </cell>
          <cell r="K11">
            <v>1011</v>
          </cell>
          <cell r="L11">
            <v>1154</v>
          </cell>
          <cell r="M11">
            <v>1206</v>
          </cell>
          <cell r="N11">
            <v>1238</v>
          </cell>
          <cell r="O11">
            <v>1148</v>
          </cell>
          <cell r="P11">
            <v>74</v>
          </cell>
          <cell r="Q11">
            <v>105</v>
          </cell>
          <cell r="R11">
            <v>31</v>
          </cell>
          <cell r="S11">
            <v>44</v>
          </cell>
          <cell r="T11">
            <v>95</v>
          </cell>
          <cell r="U11">
            <v>245</v>
          </cell>
          <cell r="V11">
            <v>276</v>
          </cell>
          <cell r="W11">
            <v>141</v>
          </cell>
          <cell r="X11">
            <v>143</v>
          </cell>
          <cell r="Y11">
            <v>52</v>
          </cell>
          <cell r="Z11">
            <v>32</v>
          </cell>
          <cell r="AA11">
            <v>-90</v>
          </cell>
          <cell r="AB11">
            <v>0</v>
          </cell>
          <cell r="AC11">
            <v>0</v>
          </cell>
          <cell r="AD11">
            <v>560</v>
          </cell>
          <cell r="AE11">
            <v>0</v>
          </cell>
          <cell r="AF11">
            <v>560</v>
          </cell>
        </row>
        <row r="12">
          <cell r="C12">
            <v>9</v>
          </cell>
          <cell r="D12">
            <v>-62</v>
          </cell>
          <cell r="E12">
            <v>-731</v>
          </cell>
          <cell r="F12">
            <v>-946</v>
          </cell>
          <cell r="G12">
            <v>527</v>
          </cell>
          <cell r="H12">
            <v>4996</v>
          </cell>
          <cell r="I12">
            <v>5366</v>
          </cell>
          <cell r="J12">
            <v>4680</v>
          </cell>
          <cell r="K12">
            <v>5977</v>
          </cell>
          <cell r="L12">
            <v>575</v>
          </cell>
          <cell r="M12">
            <v>1061</v>
          </cell>
          <cell r="N12">
            <v>1418</v>
          </cell>
          <cell r="O12">
            <v>3582</v>
          </cell>
          <cell r="P12">
            <v>-62</v>
          </cell>
          <cell r="Q12">
            <v>-669</v>
          </cell>
          <cell r="R12">
            <v>-215</v>
          </cell>
          <cell r="S12">
            <v>1473</v>
          </cell>
          <cell r="T12">
            <v>4469</v>
          </cell>
          <cell r="U12">
            <v>370</v>
          </cell>
          <cell r="V12">
            <v>-686</v>
          </cell>
          <cell r="W12">
            <v>1297</v>
          </cell>
          <cell r="X12">
            <v>-5402</v>
          </cell>
          <cell r="Y12">
            <v>486</v>
          </cell>
          <cell r="Z12">
            <v>357</v>
          </cell>
          <cell r="AA12">
            <v>2164</v>
          </cell>
          <cell r="AB12">
            <v>0</v>
          </cell>
          <cell r="AC12">
            <v>0</v>
          </cell>
          <cell r="AD12">
            <v>-4791</v>
          </cell>
          <cell r="AE12">
            <v>0</v>
          </cell>
          <cell r="AF12">
            <v>-4791</v>
          </cell>
        </row>
        <row r="13">
          <cell r="C13">
            <v>10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</row>
        <row r="14">
          <cell r="C14">
            <v>11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C15">
            <v>12</v>
          </cell>
          <cell r="D15">
            <v>6</v>
          </cell>
          <cell r="E15">
            <v>12</v>
          </cell>
          <cell r="F15">
            <v>18</v>
          </cell>
          <cell r="G15">
            <v>24</v>
          </cell>
          <cell r="H15">
            <v>30</v>
          </cell>
          <cell r="I15">
            <v>36</v>
          </cell>
          <cell r="J15">
            <v>42</v>
          </cell>
          <cell r="K15">
            <v>48</v>
          </cell>
          <cell r="L15">
            <v>54</v>
          </cell>
          <cell r="M15">
            <v>60</v>
          </cell>
          <cell r="N15">
            <v>66</v>
          </cell>
          <cell r="O15">
            <v>72</v>
          </cell>
          <cell r="P15">
            <v>6</v>
          </cell>
          <cell r="Q15">
            <v>6</v>
          </cell>
          <cell r="R15">
            <v>6</v>
          </cell>
          <cell r="S15">
            <v>6</v>
          </cell>
          <cell r="T15">
            <v>6</v>
          </cell>
          <cell r="U15">
            <v>6</v>
          </cell>
          <cell r="V15">
            <v>6</v>
          </cell>
          <cell r="W15">
            <v>6</v>
          </cell>
          <cell r="X15">
            <v>6</v>
          </cell>
          <cell r="Y15">
            <v>6</v>
          </cell>
          <cell r="Z15">
            <v>6</v>
          </cell>
          <cell r="AA15">
            <v>6</v>
          </cell>
          <cell r="AB15">
            <v>0</v>
          </cell>
          <cell r="AC15">
            <v>0</v>
          </cell>
          <cell r="AD15">
            <v>18</v>
          </cell>
          <cell r="AE15">
            <v>0</v>
          </cell>
          <cell r="AF15">
            <v>18</v>
          </cell>
        </row>
        <row r="16">
          <cell r="C16">
            <v>13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C17">
            <v>14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C18">
            <v>15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10554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10554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C19">
            <v>16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10450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10450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C20">
            <v>17</v>
          </cell>
          <cell r="D20">
            <v>175</v>
          </cell>
          <cell r="E20">
            <v>332</v>
          </cell>
          <cell r="F20">
            <v>433</v>
          </cell>
          <cell r="G20">
            <v>552</v>
          </cell>
          <cell r="H20">
            <v>648</v>
          </cell>
          <cell r="I20">
            <v>704</v>
          </cell>
          <cell r="J20">
            <v>746</v>
          </cell>
          <cell r="K20">
            <v>813</v>
          </cell>
          <cell r="L20">
            <v>906</v>
          </cell>
          <cell r="M20">
            <v>1058</v>
          </cell>
          <cell r="N20">
            <v>1109</v>
          </cell>
          <cell r="O20">
            <v>1219</v>
          </cell>
          <cell r="P20">
            <v>175</v>
          </cell>
          <cell r="Q20">
            <v>157</v>
          </cell>
          <cell r="R20">
            <v>101</v>
          </cell>
          <cell r="S20">
            <v>119</v>
          </cell>
          <cell r="T20">
            <v>96</v>
          </cell>
          <cell r="U20">
            <v>56</v>
          </cell>
          <cell r="V20">
            <v>42</v>
          </cell>
          <cell r="W20">
            <v>67</v>
          </cell>
          <cell r="X20">
            <v>93</v>
          </cell>
          <cell r="Y20">
            <v>152</v>
          </cell>
          <cell r="Z20">
            <v>51</v>
          </cell>
          <cell r="AA20">
            <v>110</v>
          </cell>
          <cell r="AB20">
            <v>0</v>
          </cell>
          <cell r="AC20">
            <v>0</v>
          </cell>
          <cell r="AD20">
            <v>202</v>
          </cell>
          <cell r="AE20">
            <v>0</v>
          </cell>
          <cell r="AF20">
            <v>202</v>
          </cell>
        </row>
        <row r="23">
          <cell r="C23">
            <v>19</v>
          </cell>
          <cell r="D23">
            <v>147794</v>
          </cell>
          <cell r="E23">
            <v>147794</v>
          </cell>
          <cell r="F23">
            <v>147794</v>
          </cell>
          <cell r="G23">
            <v>172713</v>
          </cell>
          <cell r="H23">
            <v>172713</v>
          </cell>
          <cell r="I23">
            <v>181918</v>
          </cell>
          <cell r="J23">
            <v>181918</v>
          </cell>
          <cell r="K23">
            <v>181918</v>
          </cell>
          <cell r="L23">
            <v>180214</v>
          </cell>
          <cell r="M23">
            <v>184070</v>
          </cell>
          <cell r="N23">
            <v>187769</v>
          </cell>
          <cell r="O23">
            <v>179784</v>
          </cell>
          <cell r="P23">
            <v>147794</v>
          </cell>
          <cell r="Q23">
            <v>147794</v>
          </cell>
          <cell r="R23">
            <v>147794</v>
          </cell>
          <cell r="S23">
            <v>172713</v>
          </cell>
          <cell r="T23">
            <v>172713</v>
          </cell>
          <cell r="U23">
            <v>181918</v>
          </cell>
          <cell r="V23">
            <v>181918</v>
          </cell>
          <cell r="W23">
            <v>181918</v>
          </cell>
          <cell r="X23">
            <v>180214</v>
          </cell>
          <cell r="Y23">
            <v>184070</v>
          </cell>
          <cell r="Z23">
            <v>187769</v>
          </cell>
          <cell r="AA23">
            <v>179784</v>
          </cell>
        </row>
        <row r="24">
          <cell r="C24">
            <v>20</v>
          </cell>
          <cell r="D24">
            <v>540</v>
          </cell>
          <cell r="E24">
            <v>540</v>
          </cell>
          <cell r="F24">
            <v>540</v>
          </cell>
          <cell r="G24">
            <v>526</v>
          </cell>
          <cell r="H24">
            <v>531</v>
          </cell>
          <cell r="I24">
            <v>501</v>
          </cell>
          <cell r="J24">
            <v>501</v>
          </cell>
          <cell r="K24">
            <v>501</v>
          </cell>
          <cell r="L24">
            <v>488</v>
          </cell>
          <cell r="M24">
            <v>490</v>
          </cell>
          <cell r="N24">
            <v>490</v>
          </cell>
          <cell r="O24">
            <v>491</v>
          </cell>
          <cell r="P24">
            <v>540</v>
          </cell>
          <cell r="Q24">
            <v>540</v>
          </cell>
          <cell r="R24">
            <v>540</v>
          </cell>
          <cell r="S24">
            <v>536.5</v>
          </cell>
          <cell r="T24">
            <v>535.4</v>
          </cell>
          <cell r="U24">
            <v>529.66666666666663</v>
          </cell>
          <cell r="V24">
            <v>525.57142857142856</v>
          </cell>
          <cell r="W24">
            <v>522.5</v>
          </cell>
          <cell r="X24">
            <v>518.66666666666663</v>
          </cell>
          <cell r="Y24">
            <v>515.79999999999995</v>
          </cell>
          <cell r="Z24">
            <v>513.4545454545455</v>
          </cell>
          <cell r="AA24">
            <v>511.58333333333331</v>
          </cell>
        </row>
        <row r="25">
          <cell r="C25">
            <v>21</v>
          </cell>
          <cell r="D25">
            <v>313</v>
          </cell>
          <cell r="E25">
            <v>313</v>
          </cell>
          <cell r="F25">
            <v>313</v>
          </cell>
          <cell r="G25">
            <v>298</v>
          </cell>
          <cell r="H25">
            <v>301</v>
          </cell>
          <cell r="I25">
            <v>306</v>
          </cell>
          <cell r="J25">
            <v>306</v>
          </cell>
          <cell r="K25">
            <v>306</v>
          </cell>
          <cell r="L25">
            <v>291</v>
          </cell>
          <cell r="M25">
            <v>284</v>
          </cell>
          <cell r="N25">
            <v>284</v>
          </cell>
          <cell r="O25">
            <v>285</v>
          </cell>
          <cell r="P25">
            <v>313</v>
          </cell>
          <cell r="Q25">
            <v>313</v>
          </cell>
          <cell r="R25">
            <v>313</v>
          </cell>
          <cell r="S25">
            <v>309.25</v>
          </cell>
          <cell r="T25">
            <v>307.60000000000002</v>
          </cell>
          <cell r="U25">
            <v>307.33333333333331</v>
          </cell>
          <cell r="V25">
            <v>307.14285714285717</v>
          </cell>
          <cell r="W25">
            <v>307</v>
          </cell>
          <cell r="X25">
            <v>305.22222222222223</v>
          </cell>
          <cell r="Y25">
            <v>303.10000000000002</v>
          </cell>
          <cell r="Z25">
            <v>301.36363636363637</v>
          </cell>
          <cell r="AA25">
            <v>300</v>
          </cell>
        </row>
        <row r="28">
          <cell r="C28">
            <v>22</v>
          </cell>
          <cell r="D28">
            <v>6270</v>
          </cell>
          <cell r="E28">
            <v>11033</v>
          </cell>
          <cell r="F28">
            <v>7806</v>
          </cell>
          <cell r="G28">
            <v>8453</v>
          </cell>
          <cell r="H28">
            <v>11349</v>
          </cell>
          <cell r="I28">
            <v>11515</v>
          </cell>
          <cell r="J28">
            <v>5045</v>
          </cell>
          <cell r="K28">
            <v>24222</v>
          </cell>
          <cell r="L28">
            <v>14961</v>
          </cell>
          <cell r="M28">
            <v>17039</v>
          </cell>
          <cell r="N28">
            <v>12179</v>
          </cell>
          <cell r="O28">
            <v>15580</v>
          </cell>
          <cell r="P28">
            <v>6270</v>
          </cell>
          <cell r="Q28">
            <v>11033</v>
          </cell>
          <cell r="R28">
            <v>7806</v>
          </cell>
          <cell r="S28">
            <v>8453</v>
          </cell>
          <cell r="T28">
            <v>11349</v>
          </cell>
          <cell r="U28">
            <v>11515</v>
          </cell>
          <cell r="V28">
            <v>5045</v>
          </cell>
          <cell r="W28">
            <v>24222</v>
          </cell>
          <cell r="X28">
            <v>14961</v>
          </cell>
          <cell r="Y28">
            <v>17039</v>
          </cell>
          <cell r="Z28">
            <v>12179</v>
          </cell>
          <cell r="AA28">
            <v>15580</v>
          </cell>
          <cell r="AG28">
            <v>6859</v>
          </cell>
        </row>
        <row r="29">
          <cell r="C29">
            <v>23</v>
          </cell>
          <cell r="D29">
            <v>86334</v>
          </cell>
          <cell r="E29">
            <v>82377</v>
          </cell>
          <cell r="F29">
            <v>92611</v>
          </cell>
          <cell r="G29">
            <v>95157</v>
          </cell>
          <cell r="H29">
            <v>96918</v>
          </cell>
          <cell r="I29">
            <v>97638</v>
          </cell>
          <cell r="J29">
            <v>103432</v>
          </cell>
          <cell r="K29">
            <v>98405</v>
          </cell>
          <cell r="L29">
            <v>103532</v>
          </cell>
          <cell r="M29">
            <v>94584</v>
          </cell>
          <cell r="N29">
            <v>96621</v>
          </cell>
          <cell r="O29">
            <v>58463</v>
          </cell>
          <cell r="P29">
            <v>86334</v>
          </cell>
          <cell r="Q29">
            <v>82377</v>
          </cell>
          <cell r="R29">
            <v>92611</v>
          </cell>
          <cell r="S29">
            <v>95157</v>
          </cell>
          <cell r="T29">
            <v>96918</v>
          </cell>
          <cell r="U29">
            <v>97638</v>
          </cell>
          <cell r="V29">
            <v>103432</v>
          </cell>
          <cell r="W29">
            <v>98405</v>
          </cell>
          <cell r="X29">
            <v>103532</v>
          </cell>
          <cell r="Y29">
            <v>94584</v>
          </cell>
          <cell r="Z29">
            <v>96621</v>
          </cell>
          <cell r="AA29">
            <v>58463</v>
          </cell>
        </row>
        <row r="30">
          <cell r="C30">
            <v>24</v>
          </cell>
          <cell r="D30">
            <v>3359</v>
          </cell>
          <cell r="E30">
            <v>3465</v>
          </cell>
          <cell r="F30">
            <v>4059</v>
          </cell>
          <cell r="G30">
            <v>4752</v>
          </cell>
          <cell r="H30">
            <v>5002</v>
          </cell>
          <cell r="I30">
            <v>5644</v>
          </cell>
          <cell r="J30">
            <v>5805</v>
          </cell>
          <cell r="K30">
            <v>5035</v>
          </cell>
          <cell r="L30">
            <v>723</v>
          </cell>
          <cell r="M30">
            <v>905</v>
          </cell>
          <cell r="N30">
            <v>1177</v>
          </cell>
          <cell r="O30">
            <v>1565</v>
          </cell>
          <cell r="P30">
            <v>3359</v>
          </cell>
          <cell r="Q30">
            <v>3465</v>
          </cell>
          <cell r="R30">
            <v>4059</v>
          </cell>
          <cell r="S30">
            <v>4752</v>
          </cell>
          <cell r="T30">
            <v>5002</v>
          </cell>
          <cell r="U30">
            <v>5644</v>
          </cell>
          <cell r="V30">
            <v>5805</v>
          </cell>
          <cell r="W30">
            <v>5035</v>
          </cell>
          <cell r="X30">
            <v>723</v>
          </cell>
          <cell r="Y30">
            <v>905</v>
          </cell>
          <cell r="Z30">
            <v>1177</v>
          </cell>
          <cell r="AA30">
            <v>1565</v>
          </cell>
        </row>
        <row r="31">
          <cell r="C31">
            <v>25</v>
          </cell>
          <cell r="D31">
            <v>12950</v>
          </cell>
          <cell r="E31">
            <v>13628</v>
          </cell>
          <cell r="F31">
            <v>13001</v>
          </cell>
          <cell r="G31">
            <v>16022</v>
          </cell>
          <cell r="H31">
            <v>15000</v>
          </cell>
          <cell r="I31">
            <v>18610</v>
          </cell>
          <cell r="J31">
            <v>12522</v>
          </cell>
          <cell r="K31">
            <v>11815</v>
          </cell>
          <cell r="L31">
            <v>5089</v>
          </cell>
          <cell r="M31">
            <v>5054</v>
          </cell>
          <cell r="N31">
            <v>901</v>
          </cell>
          <cell r="O31">
            <v>3962</v>
          </cell>
          <cell r="P31">
            <v>12950</v>
          </cell>
          <cell r="Q31">
            <v>13628</v>
          </cell>
          <cell r="R31">
            <v>13001</v>
          </cell>
          <cell r="S31">
            <v>16022</v>
          </cell>
          <cell r="T31">
            <v>15000</v>
          </cell>
          <cell r="U31">
            <v>18610</v>
          </cell>
          <cell r="V31">
            <v>12522</v>
          </cell>
          <cell r="W31">
            <v>11815</v>
          </cell>
          <cell r="X31">
            <v>5089</v>
          </cell>
          <cell r="Y31">
            <v>5054</v>
          </cell>
          <cell r="Z31">
            <v>901</v>
          </cell>
          <cell r="AA31">
            <v>3962</v>
          </cell>
        </row>
        <row r="32">
          <cell r="C32">
            <v>26</v>
          </cell>
          <cell r="D32">
            <v>58658</v>
          </cell>
          <cell r="E32">
            <v>59480</v>
          </cell>
          <cell r="F32">
            <v>65699</v>
          </cell>
          <cell r="G32">
            <v>66972</v>
          </cell>
          <cell r="H32">
            <v>71418</v>
          </cell>
          <cell r="I32">
            <v>42773</v>
          </cell>
          <cell r="J32">
            <v>41453</v>
          </cell>
          <cell r="K32">
            <v>42617</v>
          </cell>
          <cell r="L32">
            <v>39094</v>
          </cell>
          <cell r="M32">
            <v>26185</v>
          </cell>
          <cell r="N32">
            <v>26921</v>
          </cell>
          <cell r="O32">
            <v>22526</v>
          </cell>
          <cell r="P32">
            <v>58658</v>
          </cell>
          <cell r="Q32">
            <v>59480</v>
          </cell>
          <cell r="R32">
            <v>65699</v>
          </cell>
          <cell r="S32">
            <v>66972</v>
          </cell>
          <cell r="T32">
            <v>71418</v>
          </cell>
          <cell r="U32">
            <v>42773</v>
          </cell>
          <cell r="V32">
            <v>41453</v>
          </cell>
          <cell r="W32">
            <v>42617</v>
          </cell>
          <cell r="X32">
            <v>39094</v>
          </cell>
          <cell r="Y32">
            <v>26185</v>
          </cell>
          <cell r="Z32">
            <v>26921</v>
          </cell>
          <cell r="AA32">
            <v>22526</v>
          </cell>
        </row>
        <row r="33">
          <cell r="C33">
            <v>27</v>
          </cell>
          <cell r="D33">
            <v>17789</v>
          </cell>
          <cell r="E33">
            <v>13917</v>
          </cell>
          <cell r="F33">
            <v>9452</v>
          </cell>
          <cell r="G33">
            <v>6660</v>
          </cell>
          <cell r="H33">
            <v>11584</v>
          </cell>
          <cell r="I33">
            <v>59389</v>
          </cell>
          <cell r="J33">
            <v>23067</v>
          </cell>
          <cell r="K33">
            <v>8944</v>
          </cell>
          <cell r="L33">
            <v>27082</v>
          </cell>
          <cell r="M33">
            <v>33302</v>
          </cell>
          <cell r="N33">
            <v>39865</v>
          </cell>
          <cell r="O33">
            <v>49011</v>
          </cell>
          <cell r="P33">
            <v>17789</v>
          </cell>
          <cell r="Q33">
            <v>13917</v>
          </cell>
          <cell r="R33">
            <v>9452</v>
          </cell>
          <cell r="S33">
            <v>6660</v>
          </cell>
          <cell r="T33">
            <v>11584</v>
          </cell>
          <cell r="U33">
            <v>59389</v>
          </cell>
          <cell r="V33">
            <v>23067</v>
          </cell>
          <cell r="W33">
            <v>8944</v>
          </cell>
          <cell r="X33">
            <v>27082</v>
          </cell>
          <cell r="Y33">
            <v>33302</v>
          </cell>
          <cell r="Z33">
            <v>39865</v>
          </cell>
          <cell r="AA33">
            <v>49011</v>
          </cell>
        </row>
        <row r="34">
          <cell r="C34">
            <v>166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C35">
            <v>28</v>
          </cell>
          <cell r="D35">
            <v>51439</v>
          </cell>
          <cell r="E35">
            <v>54493</v>
          </cell>
          <cell r="F35">
            <v>54501</v>
          </cell>
          <cell r="G35">
            <v>58749</v>
          </cell>
          <cell r="H35">
            <v>57166</v>
          </cell>
          <cell r="I35">
            <v>24459</v>
          </cell>
          <cell r="J35">
            <v>78944</v>
          </cell>
          <cell r="K35">
            <v>80796</v>
          </cell>
          <cell r="L35">
            <v>80162</v>
          </cell>
          <cell r="M35">
            <v>86442</v>
          </cell>
          <cell r="N35">
            <v>85933</v>
          </cell>
          <cell r="O35">
            <v>88888</v>
          </cell>
          <cell r="P35">
            <v>51439</v>
          </cell>
          <cell r="Q35">
            <v>54493</v>
          </cell>
          <cell r="R35">
            <v>54501</v>
          </cell>
          <cell r="S35">
            <v>58749</v>
          </cell>
          <cell r="T35">
            <v>57166</v>
          </cell>
          <cell r="U35">
            <v>24459</v>
          </cell>
          <cell r="V35">
            <v>78944</v>
          </cell>
          <cell r="W35">
            <v>80796</v>
          </cell>
          <cell r="X35">
            <v>80162</v>
          </cell>
          <cell r="Y35">
            <v>86442</v>
          </cell>
          <cell r="Z35">
            <v>85933</v>
          </cell>
          <cell r="AA35">
            <v>88888</v>
          </cell>
        </row>
        <row r="36">
          <cell r="C36">
            <v>167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C37">
            <v>29</v>
          </cell>
          <cell r="D37">
            <v>20656</v>
          </cell>
          <cell r="E37">
            <v>21893</v>
          </cell>
          <cell r="F37">
            <v>23213</v>
          </cell>
          <cell r="G37">
            <v>20116</v>
          </cell>
          <cell r="H37">
            <v>23473</v>
          </cell>
          <cell r="I37">
            <v>19436</v>
          </cell>
          <cell r="J37">
            <v>20194</v>
          </cell>
          <cell r="K37">
            <v>27248</v>
          </cell>
          <cell r="L37">
            <v>26553</v>
          </cell>
          <cell r="M37">
            <v>32402</v>
          </cell>
          <cell r="N37">
            <v>34272</v>
          </cell>
          <cell r="O37">
            <v>30604</v>
          </cell>
          <cell r="P37">
            <v>20656</v>
          </cell>
          <cell r="Q37">
            <v>21893</v>
          </cell>
          <cell r="R37">
            <v>23213</v>
          </cell>
          <cell r="S37">
            <v>20116</v>
          </cell>
          <cell r="T37">
            <v>23473</v>
          </cell>
          <cell r="U37">
            <v>19436</v>
          </cell>
          <cell r="V37">
            <v>20194</v>
          </cell>
          <cell r="W37">
            <v>27248</v>
          </cell>
          <cell r="X37">
            <v>26553</v>
          </cell>
          <cell r="Y37">
            <v>32402</v>
          </cell>
          <cell r="Z37">
            <v>34272</v>
          </cell>
          <cell r="AA37">
            <v>30604</v>
          </cell>
        </row>
        <row r="38">
          <cell r="C38">
            <v>168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C39">
            <v>30</v>
          </cell>
          <cell r="D39">
            <v>14775</v>
          </cell>
          <cell r="E39">
            <v>15509</v>
          </cell>
          <cell r="F39">
            <v>15450</v>
          </cell>
          <cell r="G39">
            <v>17234</v>
          </cell>
          <cell r="H39">
            <v>16347</v>
          </cell>
          <cell r="I39">
            <v>15096</v>
          </cell>
          <cell r="J39">
            <v>16708</v>
          </cell>
          <cell r="K39">
            <v>16142</v>
          </cell>
          <cell r="L39">
            <v>17840</v>
          </cell>
          <cell r="M39">
            <v>18912</v>
          </cell>
          <cell r="N39">
            <v>18026</v>
          </cell>
          <cell r="O39">
            <v>16002</v>
          </cell>
          <cell r="P39">
            <v>14775</v>
          </cell>
          <cell r="Q39">
            <v>15509</v>
          </cell>
          <cell r="R39">
            <v>15450</v>
          </cell>
          <cell r="S39">
            <v>17234</v>
          </cell>
          <cell r="T39">
            <v>16347</v>
          </cell>
          <cell r="U39">
            <v>15096</v>
          </cell>
          <cell r="V39">
            <v>16708</v>
          </cell>
          <cell r="W39">
            <v>16142</v>
          </cell>
          <cell r="X39">
            <v>17840</v>
          </cell>
          <cell r="Y39">
            <v>18912</v>
          </cell>
          <cell r="Z39">
            <v>18026</v>
          </cell>
          <cell r="AA39">
            <v>16002</v>
          </cell>
        </row>
        <row r="40">
          <cell r="C40">
            <v>31</v>
          </cell>
          <cell r="D40">
            <v>77038</v>
          </cell>
          <cell r="E40">
            <v>77199</v>
          </cell>
          <cell r="F40">
            <v>77350</v>
          </cell>
          <cell r="G40">
            <v>77413</v>
          </cell>
          <cell r="H40">
            <v>77488</v>
          </cell>
          <cell r="I40">
            <v>77587</v>
          </cell>
          <cell r="J40">
            <v>77666</v>
          </cell>
          <cell r="K40">
            <v>77698</v>
          </cell>
          <cell r="L40">
            <v>77741</v>
          </cell>
          <cell r="M40">
            <v>77754</v>
          </cell>
          <cell r="N40">
            <v>77774</v>
          </cell>
          <cell r="O40">
            <v>77869</v>
          </cell>
          <cell r="P40">
            <v>77038</v>
          </cell>
          <cell r="Q40">
            <v>77199</v>
          </cell>
          <cell r="R40">
            <v>77350</v>
          </cell>
          <cell r="S40">
            <v>77413</v>
          </cell>
          <cell r="T40">
            <v>77488</v>
          </cell>
          <cell r="U40">
            <v>77587</v>
          </cell>
          <cell r="V40">
            <v>77666</v>
          </cell>
          <cell r="W40">
            <v>77698</v>
          </cell>
          <cell r="X40">
            <v>77741</v>
          </cell>
          <cell r="Y40">
            <v>77754</v>
          </cell>
          <cell r="Z40">
            <v>77774</v>
          </cell>
          <cell r="AA40">
            <v>77869</v>
          </cell>
        </row>
        <row r="41">
          <cell r="C41">
            <v>32</v>
          </cell>
          <cell r="D41">
            <v>218787</v>
          </cell>
          <cell r="E41">
            <v>218619</v>
          </cell>
          <cell r="F41">
            <v>213970</v>
          </cell>
          <cell r="G41">
            <v>214302</v>
          </cell>
          <cell r="H41">
            <v>214508</v>
          </cell>
          <cell r="I41">
            <v>214229</v>
          </cell>
          <cell r="J41">
            <v>213893</v>
          </cell>
          <cell r="K41">
            <v>214403</v>
          </cell>
          <cell r="L41">
            <v>214560</v>
          </cell>
          <cell r="M41">
            <v>219373</v>
          </cell>
          <cell r="N41">
            <v>219429</v>
          </cell>
          <cell r="O41">
            <v>218555</v>
          </cell>
          <cell r="P41">
            <v>218787</v>
          </cell>
          <cell r="Q41">
            <v>218619</v>
          </cell>
          <cell r="R41">
            <v>213970</v>
          </cell>
          <cell r="S41">
            <v>214302</v>
          </cell>
          <cell r="T41">
            <v>214508</v>
          </cell>
          <cell r="U41">
            <v>214229</v>
          </cell>
          <cell r="V41">
            <v>213893</v>
          </cell>
          <cell r="W41">
            <v>214403</v>
          </cell>
          <cell r="X41">
            <v>214560</v>
          </cell>
          <cell r="Y41">
            <v>219373</v>
          </cell>
          <cell r="Z41">
            <v>219429</v>
          </cell>
          <cell r="AA41">
            <v>218555</v>
          </cell>
        </row>
        <row r="42">
          <cell r="C42">
            <v>33</v>
          </cell>
          <cell r="D42">
            <v>6876</v>
          </cell>
          <cell r="E42">
            <v>6914</v>
          </cell>
          <cell r="F42">
            <v>6885</v>
          </cell>
          <cell r="G42">
            <v>6885</v>
          </cell>
          <cell r="H42">
            <v>6844</v>
          </cell>
          <cell r="I42">
            <v>6844</v>
          </cell>
          <cell r="J42">
            <v>6844</v>
          </cell>
          <cell r="K42">
            <v>6844</v>
          </cell>
          <cell r="L42">
            <v>6901</v>
          </cell>
          <cell r="M42">
            <v>6962</v>
          </cell>
          <cell r="N42">
            <v>6962</v>
          </cell>
          <cell r="O42">
            <v>6962</v>
          </cell>
          <cell r="P42">
            <v>6876</v>
          </cell>
          <cell r="Q42">
            <v>6914</v>
          </cell>
          <cell r="R42">
            <v>6885</v>
          </cell>
          <cell r="S42">
            <v>6885</v>
          </cell>
          <cell r="T42">
            <v>6844</v>
          </cell>
          <cell r="U42">
            <v>6844</v>
          </cell>
          <cell r="V42">
            <v>6844</v>
          </cell>
          <cell r="W42">
            <v>6844</v>
          </cell>
          <cell r="X42">
            <v>6901</v>
          </cell>
          <cell r="Y42">
            <v>6962</v>
          </cell>
          <cell r="Z42">
            <v>6962</v>
          </cell>
          <cell r="AA42">
            <v>6962</v>
          </cell>
        </row>
        <row r="43">
          <cell r="C43">
            <v>34</v>
          </cell>
          <cell r="D43">
            <v>97439</v>
          </cell>
          <cell r="E43">
            <v>99262</v>
          </cell>
          <cell r="F43">
            <v>100745</v>
          </cell>
          <cell r="G43">
            <v>102741</v>
          </cell>
          <cell r="H43">
            <v>104739</v>
          </cell>
          <cell r="I43">
            <v>106689</v>
          </cell>
          <cell r="J43">
            <v>108580</v>
          </cell>
          <cell r="K43">
            <v>110038</v>
          </cell>
          <cell r="L43">
            <v>112022</v>
          </cell>
          <cell r="M43">
            <v>113961</v>
          </cell>
          <cell r="N43">
            <v>116103</v>
          </cell>
          <cell r="O43">
            <v>118660</v>
          </cell>
          <cell r="P43">
            <v>97439</v>
          </cell>
          <cell r="Q43">
            <v>99262</v>
          </cell>
          <cell r="R43">
            <v>100745</v>
          </cell>
          <cell r="S43">
            <v>102741</v>
          </cell>
          <cell r="T43">
            <v>104739</v>
          </cell>
          <cell r="U43">
            <v>106689</v>
          </cell>
          <cell r="V43">
            <v>108580</v>
          </cell>
          <cell r="W43">
            <v>110038</v>
          </cell>
          <cell r="X43">
            <v>112022</v>
          </cell>
          <cell r="Y43">
            <v>113961</v>
          </cell>
          <cell r="Z43">
            <v>116103</v>
          </cell>
          <cell r="AA43">
            <v>118660</v>
          </cell>
        </row>
        <row r="44">
          <cell r="C44">
            <v>35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</row>
        <row r="45">
          <cell r="C45">
            <v>36</v>
          </cell>
          <cell r="D45">
            <v>3467</v>
          </cell>
          <cell r="E45">
            <v>3628</v>
          </cell>
          <cell r="F45">
            <v>3572</v>
          </cell>
          <cell r="G45">
            <v>3595</v>
          </cell>
          <cell r="H45">
            <v>3611</v>
          </cell>
          <cell r="I45">
            <v>4708</v>
          </cell>
          <cell r="J45">
            <v>4578</v>
          </cell>
          <cell r="K45">
            <v>4079</v>
          </cell>
          <cell r="L45">
            <v>4144</v>
          </cell>
          <cell r="M45">
            <v>4057</v>
          </cell>
          <cell r="N45">
            <v>3976</v>
          </cell>
          <cell r="O45">
            <v>1714</v>
          </cell>
          <cell r="P45">
            <v>3467</v>
          </cell>
          <cell r="Q45">
            <v>3628</v>
          </cell>
          <cell r="R45">
            <v>3572</v>
          </cell>
          <cell r="S45">
            <v>3595</v>
          </cell>
          <cell r="T45">
            <v>3611</v>
          </cell>
          <cell r="U45">
            <v>4708</v>
          </cell>
          <cell r="V45">
            <v>4578</v>
          </cell>
          <cell r="W45">
            <v>4079</v>
          </cell>
          <cell r="X45">
            <v>4144</v>
          </cell>
          <cell r="Y45">
            <v>4057</v>
          </cell>
          <cell r="Z45">
            <v>3976</v>
          </cell>
          <cell r="AA45">
            <v>1714</v>
          </cell>
        </row>
        <row r="46">
          <cell r="C46">
            <v>37</v>
          </cell>
          <cell r="D46">
            <v>121025</v>
          </cell>
          <cell r="E46">
            <v>128053</v>
          </cell>
          <cell r="F46">
            <v>127588</v>
          </cell>
          <cell r="G46">
            <v>133311</v>
          </cell>
          <cell r="H46">
            <v>133275</v>
          </cell>
          <cell r="I46">
            <v>139369</v>
          </cell>
          <cell r="J46">
            <v>128324</v>
          </cell>
          <cell r="K46">
            <v>142318</v>
          </cell>
          <cell r="L46">
            <v>154518</v>
          </cell>
          <cell r="M46">
            <v>103030</v>
          </cell>
          <cell r="N46">
            <v>102704</v>
          </cell>
          <cell r="O46">
            <v>103473</v>
          </cell>
          <cell r="P46">
            <v>121025</v>
          </cell>
          <cell r="Q46">
            <v>128053</v>
          </cell>
          <cell r="R46">
            <v>127588</v>
          </cell>
          <cell r="S46">
            <v>133311</v>
          </cell>
          <cell r="T46">
            <v>133275</v>
          </cell>
          <cell r="U46">
            <v>139369</v>
          </cell>
          <cell r="V46">
            <v>128324</v>
          </cell>
          <cell r="W46">
            <v>142318</v>
          </cell>
          <cell r="X46">
            <v>154518</v>
          </cell>
          <cell r="Y46">
            <v>103030</v>
          </cell>
          <cell r="Z46">
            <v>102704</v>
          </cell>
          <cell r="AA46">
            <v>103473</v>
          </cell>
          <cell r="AG46">
            <v>84004</v>
          </cell>
        </row>
        <row r="47">
          <cell r="C47">
            <v>38</v>
          </cell>
          <cell r="D47">
            <v>52645</v>
          </cell>
          <cell r="E47">
            <v>48336</v>
          </cell>
          <cell r="F47">
            <v>56220</v>
          </cell>
          <cell r="G47">
            <v>60654</v>
          </cell>
          <cell r="H47">
            <v>50811</v>
          </cell>
          <cell r="I47">
            <v>44784</v>
          </cell>
          <cell r="J47">
            <v>54150</v>
          </cell>
          <cell r="K47">
            <v>52614</v>
          </cell>
          <cell r="L47">
            <v>46358</v>
          </cell>
          <cell r="M47">
            <v>56358</v>
          </cell>
          <cell r="N47">
            <v>49538</v>
          </cell>
          <cell r="O47">
            <v>51981</v>
          </cell>
          <cell r="P47">
            <v>52645</v>
          </cell>
          <cell r="Q47">
            <v>48336</v>
          </cell>
          <cell r="R47">
            <v>56220</v>
          </cell>
          <cell r="S47">
            <v>60654</v>
          </cell>
          <cell r="T47">
            <v>50811</v>
          </cell>
          <cell r="U47">
            <v>44784</v>
          </cell>
          <cell r="V47">
            <v>54150</v>
          </cell>
          <cell r="W47">
            <v>52614</v>
          </cell>
          <cell r="X47">
            <v>46358</v>
          </cell>
          <cell r="Y47">
            <v>56358</v>
          </cell>
          <cell r="Z47">
            <v>49538</v>
          </cell>
          <cell r="AA47">
            <v>51981</v>
          </cell>
        </row>
        <row r="48">
          <cell r="C48">
            <v>39</v>
          </cell>
          <cell r="D48">
            <v>1861</v>
          </cell>
          <cell r="E48">
            <v>1842</v>
          </cell>
          <cell r="F48">
            <v>1828</v>
          </cell>
          <cell r="G48">
            <v>1894</v>
          </cell>
          <cell r="H48">
            <v>2197</v>
          </cell>
          <cell r="I48">
            <v>2250</v>
          </cell>
          <cell r="J48">
            <v>2203</v>
          </cell>
          <cell r="K48">
            <v>2062</v>
          </cell>
          <cell r="L48">
            <v>914</v>
          </cell>
          <cell r="M48">
            <v>952</v>
          </cell>
          <cell r="N48">
            <v>944</v>
          </cell>
          <cell r="O48">
            <v>1060</v>
          </cell>
          <cell r="P48">
            <v>1861</v>
          </cell>
          <cell r="Q48">
            <v>1842</v>
          </cell>
          <cell r="R48">
            <v>1828</v>
          </cell>
          <cell r="S48">
            <v>1894</v>
          </cell>
          <cell r="T48">
            <v>2197</v>
          </cell>
          <cell r="U48">
            <v>2250</v>
          </cell>
          <cell r="V48">
            <v>2203</v>
          </cell>
          <cell r="W48">
            <v>2062</v>
          </cell>
          <cell r="X48">
            <v>914</v>
          </cell>
          <cell r="Y48">
            <v>952</v>
          </cell>
          <cell r="Z48">
            <v>944</v>
          </cell>
          <cell r="AA48">
            <v>1060</v>
          </cell>
        </row>
        <row r="49">
          <cell r="C49">
            <v>40</v>
          </cell>
          <cell r="D49">
            <v>54913</v>
          </cell>
          <cell r="E49">
            <v>57803</v>
          </cell>
          <cell r="F49">
            <v>50353</v>
          </cell>
          <cell r="G49">
            <v>56635</v>
          </cell>
          <cell r="H49">
            <v>62099</v>
          </cell>
          <cell r="I49">
            <v>59130</v>
          </cell>
          <cell r="J49">
            <v>63802</v>
          </cell>
          <cell r="K49">
            <v>66815</v>
          </cell>
          <cell r="L49">
            <v>64714</v>
          </cell>
          <cell r="M49">
            <v>65102</v>
          </cell>
          <cell r="N49">
            <v>65415</v>
          </cell>
          <cell r="O49">
            <v>68228</v>
          </cell>
          <cell r="P49">
            <v>54913</v>
          </cell>
          <cell r="Q49">
            <v>57803</v>
          </cell>
          <cell r="R49">
            <v>50353</v>
          </cell>
          <cell r="S49">
            <v>56635</v>
          </cell>
          <cell r="T49">
            <v>62099</v>
          </cell>
          <cell r="U49">
            <v>59130</v>
          </cell>
          <cell r="V49">
            <v>63802</v>
          </cell>
          <cell r="W49">
            <v>66815</v>
          </cell>
          <cell r="X49">
            <v>64714</v>
          </cell>
          <cell r="Y49">
            <v>65102</v>
          </cell>
          <cell r="Z49">
            <v>65415</v>
          </cell>
          <cell r="AA49">
            <v>68228</v>
          </cell>
        </row>
        <row r="50">
          <cell r="C50">
            <v>41</v>
          </cell>
          <cell r="D50">
            <v>7820</v>
          </cell>
          <cell r="E50">
            <v>7987</v>
          </cell>
          <cell r="F50">
            <v>7358</v>
          </cell>
          <cell r="G50">
            <v>7663</v>
          </cell>
          <cell r="H50">
            <v>7211</v>
          </cell>
          <cell r="I50">
            <v>7294</v>
          </cell>
          <cell r="J50">
            <v>7252</v>
          </cell>
          <cell r="K50">
            <v>7308</v>
          </cell>
          <cell r="L50">
            <v>-242</v>
          </cell>
          <cell r="M50">
            <v>-63</v>
          </cell>
          <cell r="N50">
            <v>-392</v>
          </cell>
          <cell r="O50">
            <v>9502</v>
          </cell>
          <cell r="P50">
            <v>7820</v>
          </cell>
          <cell r="Q50">
            <v>7987</v>
          </cell>
          <cell r="R50">
            <v>7358</v>
          </cell>
          <cell r="S50">
            <v>7663</v>
          </cell>
          <cell r="T50">
            <v>7211</v>
          </cell>
          <cell r="U50">
            <v>7294</v>
          </cell>
          <cell r="V50">
            <v>7252</v>
          </cell>
          <cell r="W50">
            <v>7308</v>
          </cell>
          <cell r="X50">
            <v>-242</v>
          </cell>
          <cell r="Y50">
            <v>-63</v>
          </cell>
          <cell r="Z50">
            <v>-392</v>
          </cell>
          <cell r="AA50">
            <v>9502</v>
          </cell>
        </row>
        <row r="51">
          <cell r="C51">
            <v>42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C52">
            <v>43</v>
          </cell>
          <cell r="D52">
            <v>9994</v>
          </cell>
          <cell r="E52">
            <v>10100</v>
          </cell>
          <cell r="F52">
            <v>10206</v>
          </cell>
          <cell r="G52">
            <v>10315</v>
          </cell>
          <cell r="H52">
            <v>10423</v>
          </cell>
          <cell r="I52">
            <v>10536</v>
          </cell>
          <cell r="J52">
            <v>10649</v>
          </cell>
          <cell r="K52">
            <v>10761</v>
          </cell>
          <cell r="L52">
            <v>10875</v>
          </cell>
          <cell r="M52">
            <v>10988</v>
          </cell>
          <cell r="N52">
            <v>11101</v>
          </cell>
          <cell r="O52">
            <v>11214</v>
          </cell>
          <cell r="P52">
            <v>9994</v>
          </cell>
          <cell r="Q52">
            <v>10100</v>
          </cell>
          <cell r="R52">
            <v>10206</v>
          </cell>
          <cell r="S52">
            <v>10315</v>
          </cell>
          <cell r="T52">
            <v>10423</v>
          </cell>
          <cell r="U52">
            <v>10536</v>
          </cell>
          <cell r="V52">
            <v>10649</v>
          </cell>
          <cell r="W52">
            <v>10761</v>
          </cell>
          <cell r="X52">
            <v>10875</v>
          </cell>
          <cell r="Y52">
            <v>10988</v>
          </cell>
          <cell r="Z52">
            <v>11101</v>
          </cell>
          <cell r="AA52">
            <v>11214</v>
          </cell>
        </row>
        <row r="53">
          <cell r="C53">
            <v>44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C54">
            <v>45</v>
          </cell>
          <cell r="D54">
            <v>21640</v>
          </cell>
          <cell r="E54">
            <v>21240</v>
          </cell>
          <cell r="F54">
            <v>23633</v>
          </cell>
          <cell r="G54">
            <v>23290</v>
          </cell>
          <cell r="H54">
            <v>23803</v>
          </cell>
          <cell r="I54">
            <v>22165</v>
          </cell>
          <cell r="J54">
            <v>21645</v>
          </cell>
          <cell r="K54">
            <v>21682</v>
          </cell>
          <cell r="L54">
            <v>19982</v>
          </cell>
          <cell r="M54">
            <v>52258</v>
          </cell>
          <cell r="N54">
            <v>51963</v>
          </cell>
          <cell r="O54">
            <v>45745</v>
          </cell>
          <cell r="P54">
            <v>21640</v>
          </cell>
          <cell r="Q54">
            <v>21240</v>
          </cell>
          <cell r="R54">
            <v>23633</v>
          </cell>
          <cell r="S54">
            <v>23290</v>
          </cell>
          <cell r="T54">
            <v>23803</v>
          </cell>
          <cell r="U54">
            <v>22165</v>
          </cell>
          <cell r="V54">
            <v>21645</v>
          </cell>
          <cell r="W54">
            <v>21682</v>
          </cell>
          <cell r="X54">
            <v>19982</v>
          </cell>
          <cell r="Y54">
            <v>52258</v>
          </cell>
          <cell r="Z54">
            <v>51963</v>
          </cell>
          <cell r="AA54">
            <v>45745</v>
          </cell>
        </row>
        <row r="55">
          <cell r="C55">
            <v>46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C56">
            <v>47</v>
          </cell>
          <cell r="D56">
            <v>-17031</v>
          </cell>
          <cell r="E56">
            <v>-18395</v>
          </cell>
          <cell r="F56">
            <v>-18389</v>
          </cell>
          <cell r="G56">
            <v>-18389</v>
          </cell>
          <cell r="H56">
            <v>-18389</v>
          </cell>
          <cell r="I56">
            <v>-18389</v>
          </cell>
          <cell r="J56">
            <v>-18389</v>
          </cell>
          <cell r="K56">
            <v>-18388</v>
          </cell>
          <cell r="L56">
            <v>-18388</v>
          </cell>
          <cell r="M56">
            <v>-18388</v>
          </cell>
          <cell r="N56">
            <v>-18388</v>
          </cell>
          <cell r="O56">
            <v>-873</v>
          </cell>
          <cell r="P56">
            <v>-17031</v>
          </cell>
          <cell r="Q56">
            <v>-18395</v>
          </cell>
          <cell r="R56">
            <v>-18389</v>
          </cell>
          <cell r="S56">
            <v>-18389</v>
          </cell>
          <cell r="T56">
            <v>-18389</v>
          </cell>
          <cell r="U56">
            <v>-18389</v>
          </cell>
          <cell r="V56">
            <v>-18389</v>
          </cell>
          <cell r="W56">
            <v>-18388</v>
          </cell>
          <cell r="X56">
            <v>-18388</v>
          </cell>
          <cell r="Y56">
            <v>-18388</v>
          </cell>
          <cell r="Z56">
            <v>-18388</v>
          </cell>
          <cell r="AA56">
            <v>-873</v>
          </cell>
        </row>
        <row r="57">
          <cell r="C57">
            <v>48</v>
          </cell>
          <cell r="D57">
            <v>6447</v>
          </cell>
          <cell r="E57">
            <v>6592</v>
          </cell>
          <cell r="F57">
            <v>6128</v>
          </cell>
          <cell r="G57">
            <v>6301</v>
          </cell>
          <cell r="H57">
            <v>6430</v>
          </cell>
          <cell r="I57">
            <v>6464</v>
          </cell>
          <cell r="J57">
            <v>6309</v>
          </cell>
          <cell r="K57">
            <v>6344</v>
          </cell>
          <cell r="L57">
            <v>6423</v>
          </cell>
          <cell r="M57">
            <v>6611</v>
          </cell>
          <cell r="N57">
            <v>6640</v>
          </cell>
          <cell r="O57">
            <v>6746</v>
          </cell>
          <cell r="P57">
            <v>6447</v>
          </cell>
          <cell r="Q57">
            <v>6592</v>
          </cell>
          <cell r="R57">
            <v>6128</v>
          </cell>
          <cell r="S57">
            <v>6301</v>
          </cell>
          <cell r="T57">
            <v>6430</v>
          </cell>
          <cell r="U57">
            <v>6464</v>
          </cell>
          <cell r="V57">
            <v>6309</v>
          </cell>
          <cell r="W57">
            <v>6344</v>
          </cell>
          <cell r="X57">
            <v>6423</v>
          </cell>
          <cell r="Y57">
            <v>6611</v>
          </cell>
          <cell r="Z57">
            <v>6640</v>
          </cell>
          <cell r="AA57">
            <v>6746</v>
          </cell>
        </row>
        <row r="58">
          <cell r="C58">
            <v>49</v>
          </cell>
          <cell r="D58">
            <v>335</v>
          </cell>
          <cell r="E58">
            <v>335</v>
          </cell>
          <cell r="F58">
            <v>335</v>
          </cell>
          <cell r="G58">
            <v>335</v>
          </cell>
          <cell r="H58">
            <v>335</v>
          </cell>
          <cell r="I58">
            <v>335</v>
          </cell>
          <cell r="J58">
            <v>335</v>
          </cell>
          <cell r="K58">
            <v>335</v>
          </cell>
          <cell r="L58">
            <v>335</v>
          </cell>
          <cell r="M58">
            <v>335</v>
          </cell>
          <cell r="N58">
            <v>335</v>
          </cell>
          <cell r="O58">
            <v>2106</v>
          </cell>
          <cell r="P58">
            <v>335</v>
          </cell>
          <cell r="Q58">
            <v>335</v>
          </cell>
          <cell r="R58">
            <v>335</v>
          </cell>
          <cell r="S58">
            <v>335</v>
          </cell>
          <cell r="T58">
            <v>335</v>
          </cell>
          <cell r="U58">
            <v>335</v>
          </cell>
          <cell r="V58">
            <v>335</v>
          </cell>
          <cell r="W58">
            <v>335</v>
          </cell>
          <cell r="X58">
            <v>335</v>
          </cell>
          <cell r="Y58">
            <v>335</v>
          </cell>
          <cell r="Z58">
            <v>335</v>
          </cell>
          <cell r="AA58">
            <v>2106</v>
          </cell>
        </row>
        <row r="59">
          <cell r="D59">
            <v>115282</v>
          </cell>
          <cell r="E59">
            <v>115282</v>
          </cell>
          <cell r="F59">
            <v>115282</v>
          </cell>
          <cell r="G59">
            <v>115282</v>
          </cell>
          <cell r="H59">
            <v>115282</v>
          </cell>
          <cell r="I59">
            <v>115282</v>
          </cell>
          <cell r="J59">
            <v>115282</v>
          </cell>
          <cell r="K59">
            <v>115282</v>
          </cell>
          <cell r="L59">
            <v>115282</v>
          </cell>
          <cell r="M59">
            <v>115282</v>
          </cell>
          <cell r="N59">
            <v>115282</v>
          </cell>
          <cell r="O59">
            <v>115282</v>
          </cell>
          <cell r="P59">
            <v>115282</v>
          </cell>
          <cell r="Q59">
            <v>115282</v>
          </cell>
          <cell r="R59">
            <v>115282</v>
          </cell>
          <cell r="S59">
            <v>115282</v>
          </cell>
          <cell r="T59">
            <v>115282</v>
          </cell>
          <cell r="U59">
            <v>115282</v>
          </cell>
          <cell r="V59">
            <v>115282</v>
          </cell>
          <cell r="W59">
            <v>115282</v>
          </cell>
          <cell r="X59">
            <v>115282</v>
          </cell>
          <cell r="Y59">
            <v>115282</v>
          </cell>
          <cell r="Z59">
            <v>115282</v>
          </cell>
          <cell r="AA59">
            <v>115282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</row>
        <row r="61">
          <cell r="C61">
            <v>165</v>
          </cell>
          <cell r="D61">
            <v>351</v>
          </cell>
          <cell r="E61">
            <v>3737</v>
          </cell>
          <cell r="F61">
            <v>2269</v>
          </cell>
          <cell r="G61">
            <v>2262</v>
          </cell>
          <cell r="H61">
            <v>5107</v>
          </cell>
          <cell r="I61">
            <v>-402</v>
          </cell>
          <cell r="J61">
            <v>-702</v>
          </cell>
          <cell r="K61">
            <v>-3173</v>
          </cell>
          <cell r="L61">
            <v>-5908</v>
          </cell>
          <cell r="M61">
            <v>-5889</v>
          </cell>
          <cell r="N61">
            <v>-5761</v>
          </cell>
          <cell r="O61">
            <v>-11538</v>
          </cell>
          <cell r="P61">
            <v>351</v>
          </cell>
          <cell r="Q61">
            <v>3737</v>
          </cell>
          <cell r="R61">
            <v>2269</v>
          </cell>
          <cell r="S61">
            <v>2262</v>
          </cell>
          <cell r="T61">
            <v>5107</v>
          </cell>
          <cell r="U61">
            <v>-402</v>
          </cell>
          <cell r="V61">
            <v>-702</v>
          </cell>
          <cell r="W61">
            <v>-3173</v>
          </cell>
          <cell r="X61">
            <v>-5908</v>
          </cell>
          <cell r="Y61">
            <v>-5889</v>
          </cell>
          <cell r="Z61">
            <v>-5761</v>
          </cell>
          <cell r="AA61">
            <v>-11538</v>
          </cell>
        </row>
        <row r="62">
          <cell r="C62">
            <v>51</v>
          </cell>
          <cell r="D62">
            <v>70034</v>
          </cell>
          <cell r="E62">
            <v>70034</v>
          </cell>
          <cell r="F62">
            <v>70034</v>
          </cell>
          <cell r="G62">
            <v>70034</v>
          </cell>
          <cell r="H62">
            <v>70034</v>
          </cell>
          <cell r="I62">
            <v>70034</v>
          </cell>
          <cell r="J62">
            <v>70034</v>
          </cell>
          <cell r="K62">
            <v>70034</v>
          </cell>
          <cell r="L62">
            <v>70034</v>
          </cell>
          <cell r="M62">
            <v>70034</v>
          </cell>
          <cell r="N62">
            <v>70034</v>
          </cell>
          <cell r="O62">
            <v>62577</v>
          </cell>
          <cell r="P62">
            <v>70034</v>
          </cell>
          <cell r="Q62">
            <v>70034</v>
          </cell>
          <cell r="R62">
            <v>70034</v>
          </cell>
          <cell r="S62">
            <v>70034</v>
          </cell>
          <cell r="T62">
            <v>70034</v>
          </cell>
          <cell r="U62">
            <v>70034</v>
          </cell>
          <cell r="V62">
            <v>70034</v>
          </cell>
          <cell r="W62">
            <v>70034</v>
          </cell>
          <cell r="X62">
            <v>70034</v>
          </cell>
          <cell r="Y62">
            <v>70034</v>
          </cell>
          <cell r="Z62">
            <v>70034</v>
          </cell>
          <cell r="AA62">
            <v>62577</v>
          </cell>
        </row>
        <row r="64">
          <cell r="C64">
            <v>53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C65">
            <v>54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8">
          <cell r="C68">
            <v>55</v>
          </cell>
          <cell r="D68">
            <v>3173</v>
          </cell>
          <cell r="E68">
            <v>6934</v>
          </cell>
          <cell r="F68">
            <v>9494</v>
          </cell>
          <cell r="G68">
            <v>13906</v>
          </cell>
          <cell r="H68">
            <v>16723</v>
          </cell>
          <cell r="I68">
            <v>20300</v>
          </cell>
          <cell r="J68">
            <v>25553</v>
          </cell>
          <cell r="K68">
            <v>29473</v>
          </cell>
          <cell r="L68">
            <v>31852</v>
          </cell>
          <cell r="M68">
            <v>35224</v>
          </cell>
          <cell r="N68">
            <v>38276</v>
          </cell>
          <cell r="O68">
            <v>42313</v>
          </cell>
          <cell r="P68">
            <v>3173</v>
          </cell>
          <cell r="Q68">
            <v>3761</v>
          </cell>
          <cell r="R68">
            <v>2560</v>
          </cell>
          <cell r="S68">
            <v>4412</v>
          </cell>
          <cell r="T68">
            <v>2817</v>
          </cell>
          <cell r="U68">
            <v>3577</v>
          </cell>
          <cell r="V68">
            <v>5253</v>
          </cell>
          <cell r="W68">
            <v>3920</v>
          </cell>
          <cell r="X68">
            <v>2379</v>
          </cell>
          <cell r="Y68">
            <v>3372</v>
          </cell>
          <cell r="Z68">
            <v>3052</v>
          </cell>
          <cell r="AA68">
            <v>4037</v>
          </cell>
          <cell r="AB68">
            <v>0</v>
          </cell>
          <cell r="AC68">
            <v>0</v>
          </cell>
          <cell r="AD68">
            <v>11552</v>
          </cell>
          <cell r="AE68">
            <v>0</v>
          </cell>
          <cell r="AF68">
            <v>11552</v>
          </cell>
        </row>
        <row r="69">
          <cell r="C69">
            <v>56</v>
          </cell>
          <cell r="D69">
            <v>17785</v>
          </cell>
          <cell r="E69">
            <v>19185</v>
          </cell>
          <cell r="F69">
            <v>31277</v>
          </cell>
          <cell r="G69">
            <v>50621</v>
          </cell>
          <cell r="H69">
            <v>57639</v>
          </cell>
          <cell r="I69">
            <v>78978</v>
          </cell>
          <cell r="J69">
            <v>83589</v>
          </cell>
          <cell r="K69">
            <v>112675</v>
          </cell>
          <cell r="L69">
            <v>113481</v>
          </cell>
          <cell r="M69">
            <v>127070</v>
          </cell>
          <cell r="N69">
            <v>139775</v>
          </cell>
          <cell r="O69">
            <v>158085</v>
          </cell>
          <cell r="P69">
            <v>17785</v>
          </cell>
          <cell r="Q69">
            <v>1400</v>
          </cell>
          <cell r="R69">
            <v>12092</v>
          </cell>
          <cell r="S69">
            <v>19344</v>
          </cell>
          <cell r="T69">
            <v>7018</v>
          </cell>
          <cell r="U69">
            <v>21339</v>
          </cell>
          <cell r="V69">
            <v>4611</v>
          </cell>
          <cell r="W69">
            <v>29086</v>
          </cell>
          <cell r="X69">
            <v>806</v>
          </cell>
          <cell r="Y69">
            <v>13589</v>
          </cell>
          <cell r="Z69">
            <v>12705</v>
          </cell>
          <cell r="AA69">
            <v>18310</v>
          </cell>
          <cell r="AB69">
            <v>0</v>
          </cell>
          <cell r="AC69">
            <v>0</v>
          </cell>
          <cell r="AD69">
            <v>34503</v>
          </cell>
          <cell r="AE69">
            <v>0</v>
          </cell>
          <cell r="AF69">
            <v>34503</v>
          </cell>
        </row>
        <row r="70">
          <cell r="C70">
            <v>57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664</v>
          </cell>
          <cell r="L70">
            <v>664</v>
          </cell>
          <cell r="M70">
            <v>664</v>
          </cell>
          <cell r="N70">
            <v>664</v>
          </cell>
          <cell r="O70">
            <v>733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664</v>
          </cell>
          <cell r="X70">
            <v>0</v>
          </cell>
          <cell r="Y70">
            <v>0</v>
          </cell>
          <cell r="Z70">
            <v>0</v>
          </cell>
          <cell r="AA70">
            <v>69</v>
          </cell>
          <cell r="AB70">
            <v>0</v>
          </cell>
          <cell r="AC70">
            <v>0</v>
          </cell>
          <cell r="AD70">
            <v>664</v>
          </cell>
          <cell r="AE70">
            <v>0</v>
          </cell>
          <cell r="AF70">
            <v>664</v>
          </cell>
        </row>
        <row r="71">
          <cell r="C71">
            <v>58</v>
          </cell>
          <cell r="D71">
            <v>9666</v>
          </cell>
          <cell r="E71">
            <v>29218</v>
          </cell>
          <cell r="F71">
            <v>39033</v>
          </cell>
          <cell r="G71">
            <v>50350</v>
          </cell>
          <cell r="H71">
            <v>53351</v>
          </cell>
          <cell r="I71">
            <v>63352</v>
          </cell>
          <cell r="J71">
            <v>72806</v>
          </cell>
          <cell r="K71">
            <v>84164</v>
          </cell>
          <cell r="L71">
            <v>90344</v>
          </cell>
          <cell r="M71">
            <v>99242</v>
          </cell>
          <cell r="N71">
            <v>104509</v>
          </cell>
          <cell r="O71">
            <v>149640</v>
          </cell>
          <cell r="P71">
            <v>9666</v>
          </cell>
          <cell r="Q71">
            <v>19552</v>
          </cell>
          <cell r="R71">
            <v>9815</v>
          </cell>
          <cell r="S71">
            <v>11317</v>
          </cell>
          <cell r="T71">
            <v>3001</v>
          </cell>
          <cell r="U71">
            <v>10001</v>
          </cell>
          <cell r="V71">
            <v>9454</v>
          </cell>
          <cell r="W71">
            <v>11358</v>
          </cell>
          <cell r="X71">
            <v>6180</v>
          </cell>
          <cell r="Y71">
            <v>8898</v>
          </cell>
          <cell r="Z71">
            <v>5267</v>
          </cell>
          <cell r="AA71">
            <v>45131</v>
          </cell>
          <cell r="AB71">
            <v>0</v>
          </cell>
          <cell r="AC71">
            <v>0</v>
          </cell>
          <cell r="AD71">
            <v>26992</v>
          </cell>
          <cell r="AE71">
            <v>0</v>
          </cell>
          <cell r="AF71">
            <v>26992</v>
          </cell>
        </row>
        <row r="72">
          <cell r="C72">
            <v>59</v>
          </cell>
          <cell r="D72">
            <v>1597</v>
          </cell>
          <cell r="E72">
            <v>2956</v>
          </cell>
          <cell r="F72">
            <v>4202</v>
          </cell>
          <cell r="G72">
            <v>5797</v>
          </cell>
          <cell r="H72">
            <v>7025</v>
          </cell>
          <cell r="I72">
            <v>9346</v>
          </cell>
          <cell r="J72">
            <v>11576</v>
          </cell>
          <cell r="K72">
            <v>12724</v>
          </cell>
          <cell r="L72">
            <v>13477</v>
          </cell>
          <cell r="M72">
            <v>15058</v>
          </cell>
          <cell r="N72">
            <v>16559</v>
          </cell>
          <cell r="O72">
            <v>18819</v>
          </cell>
          <cell r="P72">
            <v>1597</v>
          </cell>
          <cell r="Q72">
            <v>1359</v>
          </cell>
          <cell r="R72">
            <v>1246</v>
          </cell>
          <cell r="S72">
            <v>1595</v>
          </cell>
          <cell r="T72">
            <v>1228</v>
          </cell>
          <cell r="U72">
            <v>2321</v>
          </cell>
          <cell r="V72">
            <v>2230</v>
          </cell>
          <cell r="W72">
            <v>1148</v>
          </cell>
          <cell r="X72">
            <v>753</v>
          </cell>
          <cell r="Y72">
            <v>1581</v>
          </cell>
          <cell r="Z72">
            <v>1501</v>
          </cell>
          <cell r="AA72">
            <v>2260</v>
          </cell>
          <cell r="AB72">
            <v>0</v>
          </cell>
          <cell r="AC72">
            <v>0</v>
          </cell>
          <cell r="AD72">
            <v>4131</v>
          </cell>
          <cell r="AE72">
            <v>0</v>
          </cell>
          <cell r="AF72">
            <v>4131</v>
          </cell>
        </row>
        <row r="73">
          <cell r="C73">
            <v>60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</row>
        <row r="74">
          <cell r="C74">
            <v>61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</row>
        <row r="75">
          <cell r="C75">
            <v>160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6">
          <cell r="C76">
            <v>161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</row>
        <row r="77">
          <cell r="C77">
            <v>62</v>
          </cell>
          <cell r="D77">
            <v>0</v>
          </cell>
          <cell r="E77">
            <v>65</v>
          </cell>
          <cell r="F77">
            <v>3052</v>
          </cell>
          <cell r="G77">
            <v>3052</v>
          </cell>
          <cell r="H77">
            <v>3052</v>
          </cell>
          <cell r="I77">
            <v>3340</v>
          </cell>
          <cell r="J77">
            <v>3340</v>
          </cell>
          <cell r="K77">
            <v>3340</v>
          </cell>
          <cell r="L77">
            <v>3377</v>
          </cell>
          <cell r="M77">
            <v>3377</v>
          </cell>
          <cell r="N77">
            <v>3377</v>
          </cell>
          <cell r="O77">
            <v>6632</v>
          </cell>
          <cell r="P77">
            <v>0</v>
          </cell>
          <cell r="Q77">
            <v>65</v>
          </cell>
          <cell r="R77">
            <v>2987</v>
          </cell>
          <cell r="S77">
            <v>0</v>
          </cell>
          <cell r="T77">
            <v>0</v>
          </cell>
          <cell r="U77">
            <v>288</v>
          </cell>
          <cell r="V77">
            <v>0</v>
          </cell>
          <cell r="W77">
            <v>0</v>
          </cell>
          <cell r="X77">
            <v>37</v>
          </cell>
          <cell r="Y77">
            <v>0</v>
          </cell>
          <cell r="Z77">
            <v>0</v>
          </cell>
          <cell r="AA77">
            <v>3255</v>
          </cell>
          <cell r="AB77">
            <v>0</v>
          </cell>
          <cell r="AC77">
            <v>0</v>
          </cell>
          <cell r="AD77">
            <v>37</v>
          </cell>
          <cell r="AE77">
            <v>0</v>
          </cell>
          <cell r="AF77">
            <v>37</v>
          </cell>
        </row>
        <row r="80">
          <cell r="C80">
            <v>130</v>
          </cell>
          <cell r="D80">
            <v>1730</v>
          </cell>
          <cell r="E80">
            <v>3564</v>
          </cell>
          <cell r="F80">
            <v>5099</v>
          </cell>
          <cell r="G80">
            <v>7016</v>
          </cell>
          <cell r="H80">
            <v>8769</v>
          </cell>
          <cell r="I80">
            <v>10636</v>
          </cell>
          <cell r="J80">
            <v>12555</v>
          </cell>
          <cell r="K80">
            <v>14380</v>
          </cell>
          <cell r="L80">
            <v>16861</v>
          </cell>
          <cell r="M80">
            <v>18879</v>
          </cell>
          <cell r="N80">
            <v>20793</v>
          </cell>
          <cell r="O80">
            <v>23203</v>
          </cell>
          <cell r="P80">
            <v>1730</v>
          </cell>
          <cell r="Q80">
            <v>1834</v>
          </cell>
          <cell r="R80">
            <v>1535</v>
          </cell>
          <cell r="S80">
            <v>1917</v>
          </cell>
          <cell r="T80">
            <v>1753</v>
          </cell>
          <cell r="U80">
            <v>1867</v>
          </cell>
          <cell r="V80">
            <v>1919</v>
          </cell>
          <cell r="W80">
            <v>1825</v>
          </cell>
          <cell r="X80">
            <v>2481</v>
          </cell>
          <cell r="Y80">
            <v>2018</v>
          </cell>
          <cell r="Z80">
            <v>1914</v>
          </cell>
          <cell r="AA80">
            <v>2410</v>
          </cell>
          <cell r="AB80">
            <v>0</v>
          </cell>
          <cell r="AC80">
            <v>0</v>
          </cell>
          <cell r="AD80">
            <v>6225</v>
          </cell>
          <cell r="AE80">
            <v>0</v>
          </cell>
          <cell r="AF80">
            <v>6225</v>
          </cell>
        </row>
        <row r="81">
          <cell r="C81">
            <v>131</v>
          </cell>
          <cell r="D81">
            <v>750</v>
          </cell>
          <cell r="E81">
            <v>1178</v>
          </cell>
          <cell r="F81">
            <v>1365</v>
          </cell>
          <cell r="G81">
            <v>1672</v>
          </cell>
          <cell r="H81">
            <v>1352</v>
          </cell>
          <cell r="I81">
            <v>1630</v>
          </cell>
          <cell r="J81">
            <v>1825</v>
          </cell>
          <cell r="K81">
            <v>2336</v>
          </cell>
          <cell r="L81">
            <v>2636</v>
          </cell>
          <cell r="M81">
            <v>2883</v>
          </cell>
          <cell r="N81">
            <v>3001</v>
          </cell>
          <cell r="O81">
            <v>3455</v>
          </cell>
          <cell r="P81">
            <v>750</v>
          </cell>
          <cell r="Q81">
            <v>428</v>
          </cell>
          <cell r="R81">
            <v>187</v>
          </cell>
          <cell r="S81">
            <v>307</v>
          </cell>
          <cell r="T81">
            <v>-320</v>
          </cell>
          <cell r="U81">
            <v>278</v>
          </cell>
          <cell r="V81">
            <v>195</v>
          </cell>
          <cell r="W81">
            <v>511</v>
          </cell>
          <cell r="X81">
            <v>300</v>
          </cell>
          <cell r="Y81">
            <v>247</v>
          </cell>
          <cell r="Z81">
            <v>118</v>
          </cell>
          <cell r="AA81">
            <v>454</v>
          </cell>
          <cell r="AB81">
            <v>0</v>
          </cell>
          <cell r="AC81">
            <v>0</v>
          </cell>
          <cell r="AD81">
            <v>1006</v>
          </cell>
          <cell r="AE81">
            <v>0</v>
          </cell>
          <cell r="AF81">
            <v>1006</v>
          </cell>
        </row>
        <row r="82">
          <cell r="C82">
            <v>132</v>
          </cell>
          <cell r="D82">
            <v>391</v>
          </cell>
          <cell r="E82">
            <v>458</v>
          </cell>
          <cell r="F82">
            <v>579</v>
          </cell>
          <cell r="G82">
            <v>804</v>
          </cell>
          <cell r="H82">
            <v>1046</v>
          </cell>
          <cell r="I82">
            <v>1137</v>
          </cell>
          <cell r="J82">
            <v>1294</v>
          </cell>
          <cell r="K82">
            <v>1537</v>
          </cell>
          <cell r="L82">
            <v>1836</v>
          </cell>
          <cell r="M82">
            <v>2155</v>
          </cell>
          <cell r="N82">
            <v>2371</v>
          </cell>
          <cell r="O82">
            <v>2676</v>
          </cell>
          <cell r="P82">
            <v>391</v>
          </cell>
          <cell r="Q82">
            <v>67</v>
          </cell>
          <cell r="R82">
            <v>121</v>
          </cell>
          <cell r="S82">
            <v>225</v>
          </cell>
          <cell r="T82">
            <v>242</v>
          </cell>
          <cell r="U82">
            <v>91</v>
          </cell>
          <cell r="V82">
            <v>157</v>
          </cell>
          <cell r="W82">
            <v>243</v>
          </cell>
          <cell r="X82">
            <v>299</v>
          </cell>
          <cell r="Y82">
            <v>319</v>
          </cell>
          <cell r="Z82">
            <v>216</v>
          </cell>
          <cell r="AA82">
            <v>305</v>
          </cell>
          <cell r="AB82">
            <v>0</v>
          </cell>
          <cell r="AC82">
            <v>0</v>
          </cell>
          <cell r="AD82">
            <v>699</v>
          </cell>
          <cell r="AE82">
            <v>0</v>
          </cell>
          <cell r="AF82">
            <v>699</v>
          </cell>
        </row>
        <row r="83">
          <cell r="C83">
            <v>133</v>
          </cell>
          <cell r="D83">
            <v>91</v>
          </cell>
          <cell r="E83">
            <v>170</v>
          </cell>
          <cell r="F83">
            <v>255</v>
          </cell>
          <cell r="G83">
            <v>329</v>
          </cell>
          <cell r="H83">
            <v>400</v>
          </cell>
          <cell r="I83">
            <v>478</v>
          </cell>
          <cell r="J83">
            <v>561</v>
          </cell>
          <cell r="K83">
            <v>630</v>
          </cell>
          <cell r="L83">
            <v>703</v>
          </cell>
          <cell r="M83">
            <v>792</v>
          </cell>
          <cell r="N83">
            <v>952</v>
          </cell>
          <cell r="O83">
            <v>1037</v>
          </cell>
          <cell r="P83">
            <v>91</v>
          </cell>
          <cell r="Q83">
            <v>79</v>
          </cell>
          <cell r="R83">
            <v>85</v>
          </cell>
          <cell r="S83">
            <v>74</v>
          </cell>
          <cell r="T83">
            <v>71</v>
          </cell>
          <cell r="U83">
            <v>78</v>
          </cell>
          <cell r="V83">
            <v>83</v>
          </cell>
          <cell r="W83">
            <v>69</v>
          </cell>
          <cell r="X83">
            <v>73</v>
          </cell>
          <cell r="Y83">
            <v>89</v>
          </cell>
          <cell r="Z83">
            <v>160</v>
          </cell>
          <cell r="AA83">
            <v>85</v>
          </cell>
          <cell r="AB83">
            <v>0</v>
          </cell>
          <cell r="AC83">
            <v>0</v>
          </cell>
          <cell r="AD83">
            <v>225</v>
          </cell>
          <cell r="AE83">
            <v>0</v>
          </cell>
          <cell r="AF83">
            <v>225</v>
          </cell>
        </row>
        <row r="84">
          <cell r="C84">
            <v>134</v>
          </cell>
          <cell r="D84">
            <v>215</v>
          </cell>
          <cell r="E84">
            <v>1203</v>
          </cell>
          <cell r="F84">
            <v>736</v>
          </cell>
          <cell r="G84">
            <v>1416</v>
          </cell>
          <cell r="H84">
            <v>1706</v>
          </cell>
          <cell r="I84">
            <v>2129</v>
          </cell>
          <cell r="J84">
            <v>2552</v>
          </cell>
          <cell r="K84">
            <v>3088</v>
          </cell>
          <cell r="L84">
            <v>3497</v>
          </cell>
          <cell r="M84">
            <v>4138</v>
          </cell>
          <cell r="N84">
            <v>4767</v>
          </cell>
          <cell r="O84">
            <v>5640</v>
          </cell>
          <cell r="P84">
            <v>215</v>
          </cell>
          <cell r="Q84">
            <v>988</v>
          </cell>
          <cell r="R84">
            <v>-467</v>
          </cell>
          <cell r="S84">
            <v>680</v>
          </cell>
          <cell r="T84">
            <v>290</v>
          </cell>
          <cell r="U84">
            <v>423</v>
          </cell>
          <cell r="V84">
            <v>423</v>
          </cell>
          <cell r="W84">
            <v>536</v>
          </cell>
          <cell r="X84">
            <v>409</v>
          </cell>
          <cell r="Y84">
            <v>641</v>
          </cell>
          <cell r="Z84">
            <v>629</v>
          </cell>
          <cell r="AA84">
            <v>873</v>
          </cell>
          <cell r="AB84">
            <v>0</v>
          </cell>
          <cell r="AC84">
            <v>0</v>
          </cell>
          <cell r="AD84">
            <v>1368</v>
          </cell>
          <cell r="AE84">
            <v>0</v>
          </cell>
          <cell r="AF84">
            <v>1368</v>
          </cell>
        </row>
        <row r="85">
          <cell r="C85">
            <v>135</v>
          </cell>
          <cell r="D85">
            <v>0</v>
          </cell>
          <cell r="E85">
            <v>0</v>
          </cell>
          <cell r="F85">
            <v>190</v>
          </cell>
          <cell r="G85">
            <v>190</v>
          </cell>
          <cell r="H85">
            <v>190</v>
          </cell>
          <cell r="I85">
            <v>190</v>
          </cell>
          <cell r="J85">
            <v>190</v>
          </cell>
          <cell r="K85">
            <v>190</v>
          </cell>
          <cell r="L85">
            <v>190</v>
          </cell>
          <cell r="M85">
            <v>190</v>
          </cell>
          <cell r="N85">
            <v>190</v>
          </cell>
          <cell r="O85">
            <v>190</v>
          </cell>
          <cell r="P85">
            <v>0</v>
          </cell>
          <cell r="Q85">
            <v>0</v>
          </cell>
          <cell r="R85">
            <v>190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</row>
        <row r="86">
          <cell r="C86">
            <v>136</v>
          </cell>
          <cell r="D86">
            <v>38</v>
          </cell>
          <cell r="E86">
            <v>89</v>
          </cell>
          <cell r="F86">
            <v>119</v>
          </cell>
          <cell r="G86">
            <v>154</v>
          </cell>
          <cell r="H86">
            <v>199</v>
          </cell>
          <cell r="I86">
            <v>219</v>
          </cell>
          <cell r="J86">
            <v>219</v>
          </cell>
          <cell r="K86">
            <v>219</v>
          </cell>
          <cell r="L86">
            <v>219</v>
          </cell>
          <cell r="M86">
            <v>219</v>
          </cell>
          <cell r="N86">
            <v>219</v>
          </cell>
          <cell r="O86">
            <v>223</v>
          </cell>
          <cell r="P86">
            <v>38</v>
          </cell>
          <cell r="Q86">
            <v>51</v>
          </cell>
          <cell r="R86">
            <v>30</v>
          </cell>
          <cell r="S86">
            <v>35</v>
          </cell>
          <cell r="T86">
            <v>45</v>
          </cell>
          <cell r="U86">
            <v>20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4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C87">
            <v>137</v>
          </cell>
          <cell r="D87">
            <v>8</v>
          </cell>
          <cell r="E87">
            <v>14</v>
          </cell>
          <cell r="F87">
            <v>14</v>
          </cell>
          <cell r="G87">
            <v>16</v>
          </cell>
          <cell r="H87">
            <v>40</v>
          </cell>
          <cell r="I87">
            <v>65</v>
          </cell>
          <cell r="J87">
            <v>78</v>
          </cell>
          <cell r="K87">
            <v>116</v>
          </cell>
          <cell r="L87">
            <v>124</v>
          </cell>
          <cell r="M87">
            <v>140</v>
          </cell>
          <cell r="N87">
            <v>159</v>
          </cell>
          <cell r="O87">
            <v>200</v>
          </cell>
          <cell r="P87">
            <v>8</v>
          </cell>
          <cell r="Q87">
            <v>6</v>
          </cell>
          <cell r="R87">
            <v>0</v>
          </cell>
          <cell r="S87">
            <v>2</v>
          </cell>
          <cell r="T87">
            <v>24</v>
          </cell>
          <cell r="U87">
            <v>25</v>
          </cell>
          <cell r="V87">
            <v>13</v>
          </cell>
          <cell r="W87">
            <v>38</v>
          </cell>
          <cell r="X87">
            <v>8</v>
          </cell>
          <cell r="Y87">
            <v>16</v>
          </cell>
          <cell r="Z87">
            <v>19</v>
          </cell>
          <cell r="AA87">
            <v>41</v>
          </cell>
          <cell r="AB87">
            <v>0</v>
          </cell>
          <cell r="AC87">
            <v>0</v>
          </cell>
          <cell r="AD87">
            <v>59</v>
          </cell>
          <cell r="AE87">
            <v>0</v>
          </cell>
          <cell r="AF87">
            <v>59</v>
          </cell>
        </row>
        <row r="88">
          <cell r="C88">
            <v>138</v>
          </cell>
          <cell r="D88">
            <v>187</v>
          </cell>
          <cell r="E88">
            <v>433</v>
          </cell>
          <cell r="F88">
            <v>637</v>
          </cell>
          <cell r="G88">
            <v>936</v>
          </cell>
          <cell r="H88">
            <v>1057</v>
          </cell>
          <cell r="I88">
            <v>1323</v>
          </cell>
          <cell r="J88">
            <v>1582</v>
          </cell>
          <cell r="K88">
            <v>1911</v>
          </cell>
          <cell r="L88">
            <v>2371</v>
          </cell>
          <cell r="M88">
            <v>2567</v>
          </cell>
          <cell r="N88">
            <v>2908</v>
          </cell>
          <cell r="O88">
            <v>3226</v>
          </cell>
          <cell r="P88">
            <v>187</v>
          </cell>
          <cell r="Q88">
            <v>246</v>
          </cell>
          <cell r="R88">
            <v>204</v>
          </cell>
          <cell r="S88">
            <v>299</v>
          </cell>
          <cell r="T88">
            <v>121</v>
          </cell>
          <cell r="U88">
            <v>266</v>
          </cell>
          <cell r="V88">
            <v>259</v>
          </cell>
          <cell r="W88">
            <v>329</v>
          </cell>
          <cell r="X88">
            <v>460</v>
          </cell>
          <cell r="Y88">
            <v>196</v>
          </cell>
          <cell r="Z88">
            <v>341</v>
          </cell>
          <cell r="AA88">
            <v>318</v>
          </cell>
          <cell r="AB88">
            <v>0</v>
          </cell>
          <cell r="AC88">
            <v>0</v>
          </cell>
          <cell r="AD88">
            <v>1048</v>
          </cell>
          <cell r="AE88">
            <v>0</v>
          </cell>
          <cell r="AF88">
            <v>1048</v>
          </cell>
        </row>
        <row r="89">
          <cell r="C89">
            <v>139</v>
          </cell>
          <cell r="D89">
            <v>83</v>
          </cell>
          <cell r="E89">
            <v>579</v>
          </cell>
          <cell r="F89">
            <v>363</v>
          </cell>
          <cell r="G89">
            <v>543</v>
          </cell>
          <cell r="H89">
            <v>534</v>
          </cell>
          <cell r="I89">
            <v>645</v>
          </cell>
          <cell r="J89">
            <v>756</v>
          </cell>
          <cell r="K89">
            <v>916</v>
          </cell>
          <cell r="L89">
            <v>1045</v>
          </cell>
          <cell r="M89">
            <v>1181</v>
          </cell>
          <cell r="N89">
            <v>1289</v>
          </cell>
          <cell r="O89">
            <v>1442</v>
          </cell>
          <cell r="P89">
            <v>83</v>
          </cell>
          <cell r="Q89">
            <v>496</v>
          </cell>
          <cell r="R89">
            <v>-216</v>
          </cell>
          <cell r="S89">
            <v>180</v>
          </cell>
          <cell r="T89">
            <v>-9</v>
          </cell>
          <cell r="U89">
            <v>111</v>
          </cell>
          <cell r="V89">
            <v>111</v>
          </cell>
          <cell r="W89">
            <v>160</v>
          </cell>
          <cell r="X89">
            <v>129</v>
          </cell>
          <cell r="Y89">
            <v>136</v>
          </cell>
          <cell r="Z89">
            <v>108</v>
          </cell>
          <cell r="AA89">
            <v>153</v>
          </cell>
          <cell r="AB89">
            <v>0</v>
          </cell>
          <cell r="AC89">
            <v>0</v>
          </cell>
          <cell r="AD89">
            <v>400</v>
          </cell>
          <cell r="AE89">
            <v>0</v>
          </cell>
          <cell r="AF89">
            <v>400</v>
          </cell>
        </row>
        <row r="90">
          <cell r="C90">
            <v>162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</row>
        <row r="91">
          <cell r="C91">
            <v>169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</row>
        <row r="92">
          <cell r="C92">
            <v>140</v>
          </cell>
          <cell r="D92">
            <v>803</v>
          </cell>
          <cell r="E92">
            <v>1649</v>
          </cell>
          <cell r="F92">
            <v>971</v>
          </cell>
          <cell r="G92">
            <v>1893</v>
          </cell>
          <cell r="H92">
            <v>2392</v>
          </cell>
          <cell r="I92">
            <v>3198</v>
          </cell>
          <cell r="J92">
            <v>4006</v>
          </cell>
          <cell r="K92">
            <v>5046</v>
          </cell>
          <cell r="L92">
            <v>4705</v>
          </cell>
          <cell r="M92">
            <v>5569</v>
          </cell>
          <cell r="N92">
            <v>6296</v>
          </cell>
          <cell r="O92">
            <v>8754</v>
          </cell>
          <cell r="P92">
            <v>803</v>
          </cell>
          <cell r="Q92">
            <v>846</v>
          </cell>
          <cell r="R92">
            <v>-678</v>
          </cell>
          <cell r="S92">
            <v>922</v>
          </cell>
          <cell r="T92">
            <v>499</v>
          </cell>
          <cell r="U92">
            <v>806</v>
          </cell>
          <cell r="V92">
            <v>808</v>
          </cell>
          <cell r="W92">
            <v>1040</v>
          </cell>
          <cell r="X92">
            <v>-341</v>
          </cell>
          <cell r="Y92">
            <v>864</v>
          </cell>
          <cell r="Z92">
            <v>727</v>
          </cell>
          <cell r="AA92">
            <v>2458</v>
          </cell>
          <cell r="AB92">
            <v>0</v>
          </cell>
          <cell r="AC92">
            <v>0</v>
          </cell>
          <cell r="AD92">
            <v>1507</v>
          </cell>
          <cell r="AE92">
            <v>0</v>
          </cell>
          <cell r="AF92">
            <v>1507</v>
          </cell>
        </row>
        <row r="95">
          <cell r="C95">
            <v>141</v>
          </cell>
          <cell r="D95">
            <v>1909</v>
          </cell>
          <cell r="E95">
            <v>3500</v>
          </cell>
          <cell r="F95">
            <v>5062</v>
          </cell>
          <cell r="G95">
            <v>6728</v>
          </cell>
          <cell r="H95">
            <v>8329</v>
          </cell>
          <cell r="I95">
            <v>9843</v>
          </cell>
          <cell r="J95">
            <v>11364</v>
          </cell>
          <cell r="K95">
            <v>12934</v>
          </cell>
          <cell r="L95">
            <v>14675</v>
          </cell>
          <cell r="M95">
            <v>16172</v>
          </cell>
          <cell r="N95">
            <v>17631</v>
          </cell>
          <cell r="O95">
            <v>19599</v>
          </cell>
          <cell r="P95">
            <v>1909</v>
          </cell>
          <cell r="Q95">
            <v>1591</v>
          </cell>
          <cell r="R95">
            <v>1562</v>
          </cell>
          <cell r="S95">
            <v>1666</v>
          </cell>
          <cell r="T95">
            <v>1601</v>
          </cell>
          <cell r="U95">
            <v>1514</v>
          </cell>
          <cell r="V95">
            <v>1521</v>
          </cell>
          <cell r="W95">
            <v>1570</v>
          </cell>
          <cell r="X95">
            <v>1741</v>
          </cell>
          <cell r="Y95">
            <v>1497</v>
          </cell>
          <cell r="Z95">
            <v>1459</v>
          </cell>
          <cell r="AA95">
            <v>1968</v>
          </cell>
          <cell r="AB95">
            <v>0</v>
          </cell>
          <cell r="AC95">
            <v>0</v>
          </cell>
          <cell r="AD95">
            <v>4832</v>
          </cell>
          <cell r="AE95">
            <v>0</v>
          </cell>
          <cell r="AF95">
            <v>4832</v>
          </cell>
        </row>
        <row r="96">
          <cell r="C96">
            <v>142</v>
          </cell>
          <cell r="D96">
            <v>277</v>
          </cell>
          <cell r="E96">
            <v>571</v>
          </cell>
          <cell r="F96">
            <v>789</v>
          </cell>
          <cell r="G96">
            <v>1052</v>
          </cell>
          <cell r="H96">
            <v>1328</v>
          </cell>
          <cell r="I96">
            <v>1622</v>
          </cell>
          <cell r="J96">
            <v>1877</v>
          </cell>
          <cell r="K96">
            <v>2121</v>
          </cell>
          <cell r="L96">
            <v>2368</v>
          </cell>
          <cell r="M96">
            <v>2637</v>
          </cell>
          <cell r="N96">
            <v>3008</v>
          </cell>
          <cell r="O96">
            <v>3444</v>
          </cell>
          <cell r="P96">
            <v>277</v>
          </cell>
          <cell r="Q96">
            <v>294</v>
          </cell>
          <cell r="R96">
            <v>218</v>
          </cell>
          <cell r="S96">
            <v>263</v>
          </cell>
          <cell r="T96">
            <v>276</v>
          </cell>
          <cell r="U96">
            <v>294</v>
          </cell>
          <cell r="V96">
            <v>255</v>
          </cell>
          <cell r="W96">
            <v>244</v>
          </cell>
          <cell r="X96">
            <v>247</v>
          </cell>
          <cell r="Y96">
            <v>269</v>
          </cell>
          <cell r="Z96">
            <v>371</v>
          </cell>
          <cell r="AA96">
            <v>436</v>
          </cell>
          <cell r="AB96">
            <v>0</v>
          </cell>
          <cell r="AC96">
            <v>0</v>
          </cell>
          <cell r="AD96">
            <v>746</v>
          </cell>
          <cell r="AE96">
            <v>0</v>
          </cell>
          <cell r="AF96">
            <v>746</v>
          </cell>
        </row>
        <row r="97">
          <cell r="C97">
            <v>143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-1943</v>
          </cell>
          <cell r="I97">
            <v>-2859</v>
          </cell>
          <cell r="J97">
            <v>-2859</v>
          </cell>
          <cell r="K97">
            <v>-3147</v>
          </cell>
          <cell r="L97">
            <v>-3126</v>
          </cell>
          <cell r="M97">
            <v>-3126</v>
          </cell>
          <cell r="N97">
            <v>-3126</v>
          </cell>
          <cell r="O97">
            <v>563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-1943</v>
          </cell>
          <cell r="U97">
            <v>-916</v>
          </cell>
          <cell r="V97">
            <v>0</v>
          </cell>
          <cell r="W97">
            <v>-288</v>
          </cell>
          <cell r="X97">
            <v>21</v>
          </cell>
          <cell r="Y97">
            <v>0</v>
          </cell>
          <cell r="Z97">
            <v>0</v>
          </cell>
          <cell r="AA97">
            <v>3689</v>
          </cell>
          <cell r="AB97">
            <v>0</v>
          </cell>
          <cell r="AC97">
            <v>0</v>
          </cell>
          <cell r="AD97">
            <v>-267</v>
          </cell>
          <cell r="AE97">
            <v>0</v>
          </cell>
          <cell r="AF97">
            <v>-267</v>
          </cell>
        </row>
        <row r="98">
          <cell r="C98">
            <v>144</v>
          </cell>
          <cell r="D98">
            <v>0</v>
          </cell>
          <cell r="E98">
            <v>450</v>
          </cell>
          <cell r="F98">
            <v>1159</v>
          </cell>
          <cell r="G98">
            <v>1693</v>
          </cell>
          <cell r="H98">
            <v>1694</v>
          </cell>
          <cell r="I98">
            <v>2087</v>
          </cell>
          <cell r="J98">
            <v>2616</v>
          </cell>
          <cell r="K98">
            <v>3404</v>
          </cell>
          <cell r="L98">
            <v>4180</v>
          </cell>
          <cell r="M98">
            <v>5321</v>
          </cell>
          <cell r="N98">
            <v>5675</v>
          </cell>
          <cell r="O98">
            <v>6293</v>
          </cell>
          <cell r="P98">
            <v>0</v>
          </cell>
          <cell r="Q98">
            <v>450</v>
          </cell>
          <cell r="R98">
            <v>709</v>
          </cell>
          <cell r="S98">
            <v>534</v>
          </cell>
          <cell r="T98">
            <v>1</v>
          </cell>
          <cell r="U98">
            <v>393</v>
          </cell>
          <cell r="V98">
            <v>529</v>
          </cell>
          <cell r="W98">
            <v>788</v>
          </cell>
          <cell r="X98">
            <v>776</v>
          </cell>
          <cell r="Y98">
            <v>1141</v>
          </cell>
          <cell r="Z98">
            <v>354</v>
          </cell>
          <cell r="AA98">
            <v>618</v>
          </cell>
          <cell r="AB98">
            <v>0</v>
          </cell>
          <cell r="AC98">
            <v>0</v>
          </cell>
          <cell r="AD98">
            <v>2093</v>
          </cell>
          <cell r="AE98">
            <v>0</v>
          </cell>
          <cell r="AF98">
            <v>2093</v>
          </cell>
        </row>
        <row r="99">
          <cell r="C99">
            <v>145</v>
          </cell>
          <cell r="D99">
            <v>133</v>
          </cell>
          <cell r="E99">
            <v>133</v>
          </cell>
          <cell r="F99">
            <v>134</v>
          </cell>
          <cell r="G99">
            <v>134</v>
          </cell>
          <cell r="H99">
            <v>610</v>
          </cell>
          <cell r="I99">
            <v>613</v>
          </cell>
          <cell r="J99">
            <v>613</v>
          </cell>
          <cell r="K99">
            <v>615</v>
          </cell>
          <cell r="L99">
            <v>615</v>
          </cell>
          <cell r="M99">
            <v>646</v>
          </cell>
          <cell r="N99">
            <v>646</v>
          </cell>
          <cell r="O99">
            <v>646</v>
          </cell>
          <cell r="P99">
            <v>133</v>
          </cell>
          <cell r="Q99">
            <v>0</v>
          </cell>
          <cell r="R99">
            <v>1</v>
          </cell>
          <cell r="S99">
            <v>0</v>
          </cell>
          <cell r="T99">
            <v>476</v>
          </cell>
          <cell r="U99">
            <v>3</v>
          </cell>
          <cell r="V99">
            <v>0</v>
          </cell>
          <cell r="W99">
            <v>2</v>
          </cell>
          <cell r="X99">
            <v>0</v>
          </cell>
          <cell r="Y99">
            <v>31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2</v>
          </cell>
          <cell r="AE99">
            <v>0</v>
          </cell>
          <cell r="AF99">
            <v>2</v>
          </cell>
        </row>
        <row r="100">
          <cell r="C100">
            <v>146</v>
          </cell>
          <cell r="D100">
            <v>157</v>
          </cell>
          <cell r="E100">
            <v>20</v>
          </cell>
          <cell r="F100">
            <v>120</v>
          </cell>
          <cell r="G100">
            <v>286</v>
          </cell>
          <cell r="H100">
            <v>634</v>
          </cell>
          <cell r="I100">
            <v>747</v>
          </cell>
          <cell r="J100">
            <v>864</v>
          </cell>
          <cell r="K100">
            <v>1016</v>
          </cell>
          <cell r="L100">
            <v>1154</v>
          </cell>
          <cell r="M100">
            <v>1328</v>
          </cell>
          <cell r="N100">
            <v>1424</v>
          </cell>
          <cell r="O100">
            <v>1589</v>
          </cell>
          <cell r="P100">
            <v>157</v>
          </cell>
          <cell r="Q100">
            <v>-137</v>
          </cell>
          <cell r="R100">
            <v>100</v>
          </cell>
          <cell r="S100">
            <v>166</v>
          </cell>
          <cell r="T100">
            <v>348</v>
          </cell>
          <cell r="U100">
            <v>113</v>
          </cell>
          <cell r="V100">
            <v>117</v>
          </cell>
          <cell r="W100">
            <v>152</v>
          </cell>
          <cell r="X100">
            <v>138</v>
          </cell>
          <cell r="Y100">
            <v>174</v>
          </cell>
          <cell r="Z100">
            <v>96</v>
          </cell>
          <cell r="AA100">
            <v>165</v>
          </cell>
          <cell r="AB100">
            <v>0</v>
          </cell>
          <cell r="AC100">
            <v>0</v>
          </cell>
          <cell r="AD100">
            <v>407</v>
          </cell>
          <cell r="AE100">
            <v>0</v>
          </cell>
          <cell r="AF100">
            <v>407</v>
          </cell>
        </row>
        <row r="101">
          <cell r="C101">
            <v>147</v>
          </cell>
          <cell r="D101">
            <v>16</v>
          </cell>
          <cell r="E101">
            <v>178</v>
          </cell>
          <cell r="F101">
            <v>301</v>
          </cell>
          <cell r="G101">
            <v>409</v>
          </cell>
          <cell r="H101">
            <v>589</v>
          </cell>
          <cell r="I101">
            <v>717</v>
          </cell>
          <cell r="J101">
            <v>872</v>
          </cell>
          <cell r="K101">
            <v>1064</v>
          </cell>
          <cell r="L101">
            <v>1144</v>
          </cell>
          <cell r="M101">
            <v>1353</v>
          </cell>
          <cell r="N101">
            <v>1595</v>
          </cell>
          <cell r="O101">
            <v>1578</v>
          </cell>
          <cell r="P101">
            <v>16</v>
          </cell>
          <cell r="Q101">
            <v>162</v>
          </cell>
          <cell r="R101">
            <v>123</v>
          </cell>
          <cell r="S101">
            <v>108</v>
          </cell>
          <cell r="T101">
            <v>180</v>
          </cell>
          <cell r="U101">
            <v>128</v>
          </cell>
          <cell r="V101">
            <v>155</v>
          </cell>
          <cell r="W101">
            <v>192</v>
          </cell>
          <cell r="X101">
            <v>80</v>
          </cell>
          <cell r="Y101">
            <v>209</v>
          </cell>
          <cell r="Z101">
            <v>242</v>
          </cell>
          <cell r="AA101">
            <v>-17</v>
          </cell>
          <cell r="AB101">
            <v>0</v>
          </cell>
          <cell r="AC101">
            <v>0</v>
          </cell>
          <cell r="AD101">
            <v>427</v>
          </cell>
          <cell r="AE101">
            <v>0</v>
          </cell>
          <cell r="AF101">
            <v>427</v>
          </cell>
        </row>
        <row r="102">
          <cell r="C102">
            <v>148</v>
          </cell>
          <cell r="D102">
            <v>0</v>
          </cell>
          <cell r="E102">
            <v>147</v>
          </cell>
          <cell r="F102">
            <v>281</v>
          </cell>
          <cell r="G102">
            <v>469</v>
          </cell>
          <cell r="H102">
            <v>877</v>
          </cell>
          <cell r="I102">
            <v>1068</v>
          </cell>
          <cell r="J102">
            <v>1454</v>
          </cell>
          <cell r="K102">
            <v>1670</v>
          </cell>
          <cell r="L102">
            <v>1991</v>
          </cell>
          <cell r="M102">
            <v>1955</v>
          </cell>
          <cell r="N102">
            <v>2125</v>
          </cell>
          <cell r="O102">
            <v>2552</v>
          </cell>
          <cell r="P102">
            <v>0</v>
          </cell>
          <cell r="Q102">
            <v>147</v>
          </cell>
          <cell r="R102">
            <v>134</v>
          </cell>
          <cell r="S102">
            <v>188</v>
          </cell>
          <cell r="T102">
            <v>408</v>
          </cell>
          <cell r="U102">
            <v>191</v>
          </cell>
          <cell r="V102">
            <v>386</v>
          </cell>
          <cell r="W102">
            <v>216</v>
          </cell>
          <cell r="X102">
            <v>321</v>
          </cell>
          <cell r="Y102">
            <v>-36</v>
          </cell>
          <cell r="Z102">
            <v>170</v>
          </cell>
          <cell r="AA102">
            <v>427</v>
          </cell>
          <cell r="AB102">
            <v>0</v>
          </cell>
          <cell r="AC102">
            <v>0</v>
          </cell>
          <cell r="AD102">
            <v>923</v>
          </cell>
          <cell r="AE102">
            <v>0</v>
          </cell>
          <cell r="AF102">
            <v>923</v>
          </cell>
        </row>
        <row r="103">
          <cell r="C103">
            <v>149</v>
          </cell>
          <cell r="D103">
            <v>32</v>
          </cell>
          <cell r="E103">
            <v>65</v>
          </cell>
          <cell r="F103">
            <v>147</v>
          </cell>
          <cell r="G103">
            <v>201</v>
          </cell>
          <cell r="H103">
            <v>233</v>
          </cell>
          <cell r="I103">
            <v>279</v>
          </cell>
          <cell r="J103">
            <v>503</v>
          </cell>
          <cell r="K103">
            <v>561</v>
          </cell>
          <cell r="L103">
            <v>677</v>
          </cell>
          <cell r="M103">
            <v>708</v>
          </cell>
          <cell r="N103">
            <v>715</v>
          </cell>
          <cell r="O103">
            <v>818</v>
          </cell>
          <cell r="P103">
            <v>32</v>
          </cell>
          <cell r="Q103">
            <v>33</v>
          </cell>
          <cell r="R103">
            <v>82</v>
          </cell>
          <cell r="S103">
            <v>54</v>
          </cell>
          <cell r="T103">
            <v>32</v>
          </cell>
          <cell r="U103">
            <v>46</v>
          </cell>
          <cell r="V103">
            <v>224</v>
          </cell>
          <cell r="W103">
            <v>58</v>
          </cell>
          <cell r="X103">
            <v>116</v>
          </cell>
          <cell r="Y103">
            <v>31</v>
          </cell>
          <cell r="Z103">
            <v>7</v>
          </cell>
          <cell r="AA103">
            <v>103</v>
          </cell>
          <cell r="AB103">
            <v>0</v>
          </cell>
          <cell r="AC103">
            <v>0</v>
          </cell>
          <cell r="AD103">
            <v>398</v>
          </cell>
          <cell r="AE103">
            <v>0</v>
          </cell>
          <cell r="AF103">
            <v>398</v>
          </cell>
        </row>
        <row r="104">
          <cell r="C104">
            <v>163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  <row r="105">
          <cell r="C105">
            <v>164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</row>
        <row r="106">
          <cell r="C106">
            <v>150</v>
          </cell>
          <cell r="D106">
            <v>1210</v>
          </cell>
          <cell r="E106">
            <v>1875</v>
          </cell>
          <cell r="F106">
            <v>2652</v>
          </cell>
          <cell r="G106">
            <v>3330</v>
          </cell>
          <cell r="H106">
            <v>4058</v>
          </cell>
          <cell r="I106">
            <v>4517</v>
          </cell>
          <cell r="J106">
            <v>5006</v>
          </cell>
          <cell r="K106">
            <v>5816</v>
          </cell>
          <cell r="L106">
            <v>9927</v>
          </cell>
          <cell r="M106">
            <v>10574</v>
          </cell>
          <cell r="N106">
            <v>11338</v>
          </cell>
          <cell r="O106">
            <v>14914</v>
          </cell>
          <cell r="P106">
            <v>1210</v>
          </cell>
          <cell r="Q106">
            <v>665</v>
          </cell>
          <cell r="R106">
            <v>777</v>
          </cell>
          <cell r="S106">
            <v>678</v>
          </cell>
          <cell r="T106">
            <v>728</v>
          </cell>
          <cell r="U106">
            <v>459</v>
          </cell>
          <cell r="V106">
            <v>489</v>
          </cell>
          <cell r="W106">
            <v>810</v>
          </cell>
          <cell r="X106">
            <v>4111</v>
          </cell>
          <cell r="Y106">
            <v>647</v>
          </cell>
          <cell r="Z106">
            <v>764</v>
          </cell>
          <cell r="AA106">
            <v>3576</v>
          </cell>
          <cell r="AB106">
            <v>0</v>
          </cell>
          <cell r="AC106">
            <v>0</v>
          </cell>
          <cell r="AD106">
            <v>5410</v>
          </cell>
          <cell r="AE106">
            <v>0</v>
          </cell>
          <cell r="AF106">
            <v>5410</v>
          </cell>
        </row>
        <row r="109">
          <cell r="C109">
            <v>98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</row>
        <row r="113">
          <cell r="C113">
            <v>588</v>
          </cell>
          <cell r="D113">
            <v>8337</v>
          </cell>
          <cell r="E113">
            <v>5013</v>
          </cell>
          <cell r="F113">
            <v>3872</v>
          </cell>
          <cell r="G113">
            <v>8272</v>
          </cell>
          <cell r="H113">
            <v>5918</v>
          </cell>
          <cell r="I113">
            <v>11476</v>
          </cell>
          <cell r="J113">
            <v>8929</v>
          </cell>
          <cell r="K113">
            <v>6289</v>
          </cell>
          <cell r="L113">
            <v>7099</v>
          </cell>
          <cell r="M113">
            <v>8353</v>
          </cell>
          <cell r="N113">
            <v>4216</v>
          </cell>
          <cell r="O113">
            <v>6239</v>
          </cell>
          <cell r="P113">
            <v>8337</v>
          </cell>
          <cell r="Q113">
            <v>5013</v>
          </cell>
          <cell r="R113">
            <v>3872</v>
          </cell>
          <cell r="S113">
            <v>8272</v>
          </cell>
          <cell r="T113">
            <v>5918</v>
          </cell>
          <cell r="U113">
            <v>11476</v>
          </cell>
          <cell r="V113">
            <v>8929</v>
          </cell>
          <cell r="W113">
            <v>6289</v>
          </cell>
          <cell r="X113">
            <v>7099</v>
          </cell>
          <cell r="Y113">
            <v>8353</v>
          </cell>
          <cell r="Z113">
            <v>4216</v>
          </cell>
          <cell r="AA113">
            <v>6239</v>
          </cell>
        </row>
        <row r="114">
          <cell r="C114">
            <v>589</v>
          </cell>
          <cell r="D114">
            <v>-1708</v>
          </cell>
          <cell r="E114">
            <v>-1707</v>
          </cell>
          <cell r="F114">
            <v>-1688</v>
          </cell>
          <cell r="G114">
            <v>-1666</v>
          </cell>
          <cell r="H114">
            <v>-1563</v>
          </cell>
          <cell r="I114">
            <v>-981</v>
          </cell>
          <cell r="J114">
            <v>-984</v>
          </cell>
          <cell r="K114">
            <v>-984</v>
          </cell>
          <cell r="L114">
            <v>-1233</v>
          </cell>
          <cell r="M114">
            <v>-1226</v>
          </cell>
          <cell r="N114">
            <v>-1227</v>
          </cell>
          <cell r="O114">
            <v>-1775</v>
          </cell>
          <cell r="P114">
            <v>-1708</v>
          </cell>
          <cell r="Q114">
            <v>-1707</v>
          </cell>
          <cell r="R114">
            <v>-1688</v>
          </cell>
          <cell r="S114">
            <v>-1666</v>
          </cell>
          <cell r="T114">
            <v>-1563</v>
          </cell>
          <cell r="U114">
            <v>-981</v>
          </cell>
          <cell r="V114">
            <v>-984</v>
          </cell>
          <cell r="W114">
            <v>-984</v>
          </cell>
          <cell r="X114">
            <v>-1233</v>
          </cell>
          <cell r="Y114">
            <v>-1226</v>
          </cell>
          <cell r="Z114">
            <v>-1227</v>
          </cell>
          <cell r="AA114">
            <v>-1775</v>
          </cell>
        </row>
        <row r="115">
          <cell r="C115">
            <v>590</v>
          </cell>
          <cell r="D115">
            <v>56693</v>
          </cell>
          <cell r="E115">
            <v>61779</v>
          </cell>
          <cell r="F115">
            <v>85335</v>
          </cell>
          <cell r="G115">
            <v>74369</v>
          </cell>
          <cell r="H115">
            <v>71039</v>
          </cell>
          <cell r="I115">
            <v>79481</v>
          </cell>
          <cell r="J115">
            <v>83926</v>
          </cell>
          <cell r="K115">
            <v>62717</v>
          </cell>
          <cell r="L115">
            <v>58354</v>
          </cell>
          <cell r="M115">
            <v>60677</v>
          </cell>
          <cell r="N115">
            <v>58637</v>
          </cell>
          <cell r="O115">
            <v>33264</v>
          </cell>
          <cell r="P115">
            <v>56693</v>
          </cell>
          <cell r="Q115">
            <v>61779</v>
          </cell>
          <cell r="R115">
            <v>85335</v>
          </cell>
          <cell r="S115">
            <v>74369</v>
          </cell>
          <cell r="T115">
            <v>71039</v>
          </cell>
          <cell r="U115">
            <v>79481</v>
          </cell>
          <cell r="V115">
            <v>83926</v>
          </cell>
          <cell r="W115">
            <v>62717</v>
          </cell>
          <cell r="X115">
            <v>58354</v>
          </cell>
          <cell r="Y115">
            <v>60677</v>
          </cell>
          <cell r="Z115">
            <v>58637</v>
          </cell>
          <cell r="AA115">
            <v>33264</v>
          </cell>
        </row>
        <row r="116">
          <cell r="C116">
            <v>591</v>
          </cell>
          <cell r="D116">
            <v>8836</v>
          </cell>
          <cell r="E116">
            <v>7350</v>
          </cell>
          <cell r="F116">
            <v>10902</v>
          </cell>
          <cell r="G116">
            <v>8875</v>
          </cell>
          <cell r="H116">
            <v>4785</v>
          </cell>
          <cell r="I116">
            <v>10320</v>
          </cell>
          <cell r="J116">
            <v>2743</v>
          </cell>
          <cell r="K116">
            <v>3399</v>
          </cell>
          <cell r="L116">
            <v>5905</v>
          </cell>
          <cell r="M116">
            <v>1440</v>
          </cell>
          <cell r="N116">
            <v>11338</v>
          </cell>
          <cell r="O116">
            <v>16929</v>
          </cell>
          <cell r="P116">
            <v>8836</v>
          </cell>
          <cell r="Q116">
            <v>7350</v>
          </cell>
          <cell r="R116">
            <v>10902</v>
          </cell>
          <cell r="S116">
            <v>8875</v>
          </cell>
          <cell r="T116">
            <v>4785</v>
          </cell>
          <cell r="U116">
            <v>10320</v>
          </cell>
          <cell r="V116">
            <v>2743</v>
          </cell>
          <cell r="W116">
            <v>3399</v>
          </cell>
          <cell r="X116">
            <v>5905</v>
          </cell>
          <cell r="Y116">
            <v>1440</v>
          </cell>
          <cell r="Z116">
            <v>11338</v>
          </cell>
          <cell r="AA116">
            <v>16929</v>
          </cell>
        </row>
        <row r="117">
          <cell r="C117">
            <v>592</v>
          </cell>
          <cell r="D117">
            <v>9667</v>
          </cell>
          <cell r="E117">
            <v>7119</v>
          </cell>
          <cell r="F117">
            <v>3960</v>
          </cell>
          <cell r="G117">
            <v>4181</v>
          </cell>
          <cell r="H117">
            <v>2691</v>
          </cell>
          <cell r="I117">
            <v>2208</v>
          </cell>
          <cell r="J117">
            <v>2019</v>
          </cell>
          <cell r="K117">
            <v>1635</v>
          </cell>
          <cell r="L117">
            <v>2292</v>
          </cell>
          <cell r="M117">
            <v>3031</v>
          </cell>
          <cell r="N117">
            <v>1444</v>
          </cell>
          <cell r="O117">
            <v>3883</v>
          </cell>
          <cell r="P117">
            <v>9667</v>
          </cell>
          <cell r="Q117">
            <v>7119</v>
          </cell>
          <cell r="R117">
            <v>3960</v>
          </cell>
          <cell r="S117">
            <v>4181</v>
          </cell>
          <cell r="T117">
            <v>2691</v>
          </cell>
          <cell r="U117">
            <v>2208</v>
          </cell>
          <cell r="V117">
            <v>2019</v>
          </cell>
          <cell r="W117">
            <v>1635</v>
          </cell>
          <cell r="X117">
            <v>2292</v>
          </cell>
          <cell r="Y117">
            <v>3031</v>
          </cell>
          <cell r="Z117">
            <v>1444</v>
          </cell>
          <cell r="AA117">
            <v>3883</v>
          </cell>
        </row>
        <row r="118">
          <cell r="C118">
            <v>593</v>
          </cell>
          <cell r="D118">
            <v>8630</v>
          </cell>
          <cell r="E118">
            <v>2070</v>
          </cell>
          <cell r="F118">
            <v>1990</v>
          </cell>
          <cell r="G118">
            <v>2690</v>
          </cell>
          <cell r="H118">
            <v>2906</v>
          </cell>
          <cell r="I118">
            <v>3594</v>
          </cell>
          <cell r="J118">
            <v>4330</v>
          </cell>
          <cell r="K118">
            <v>1494</v>
          </cell>
          <cell r="L118">
            <v>1069</v>
          </cell>
          <cell r="M118">
            <v>472</v>
          </cell>
          <cell r="N118">
            <v>462</v>
          </cell>
          <cell r="O118">
            <v>8318</v>
          </cell>
          <cell r="P118">
            <v>8630</v>
          </cell>
          <cell r="Q118">
            <v>2070</v>
          </cell>
          <cell r="R118">
            <v>1990</v>
          </cell>
          <cell r="S118">
            <v>2690</v>
          </cell>
          <cell r="T118">
            <v>2906</v>
          </cell>
          <cell r="U118">
            <v>3594</v>
          </cell>
          <cell r="V118">
            <v>4330</v>
          </cell>
          <cell r="W118">
            <v>1494</v>
          </cell>
          <cell r="X118">
            <v>1069</v>
          </cell>
          <cell r="Y118">
            <v>472</v>
          </cell>
          <cell r="Z118">
            <v>462</v>
          </cell>
          <cell r="AA118">
            <v>8318</v>
          </cell>
        </row>
        <row r="119">
          <cell r="C119">
            <v>594</v>
          </cell>
          <cell r="D119">
            <v>6173</v>
          </cell>
          <cell r="E119">
            <v>9521</v>
          </cell>
          <cell r="F119">
            <v>8931</v>
          </cell>
          <cell r="G119">
            <v>9315</v>
          </cell>
          <cell r="H119">
            <v>6815</v>
          </cell>
          <cell r="I119">
            <v>7145</v>
          </cell>
          <cell r="J119">
            <v>8310</v>
          </cell>
          <cell r="K119">
            <v>9571</v>
          </cell>
          <cell r="L119">
            <v>7848</v>
          </cell>
          <cell r="M119">
            <v>7811</v>
          </cell>
          <cell r="N119">
            <v>13069</v>
          </cell>
          <cell r="O119">
            <v>11483</v>
          </cell>
          <cell r="P119">
            <v>6173</v>
          </cell>
          <cell r="Q119">
            <v>9521</v>
          </cell>
          <cell r="R119">
            <v>8931</v>
          </cell>
          <cell r="S119">
            <v>9315</v>
          </cell>
          <cell r="T119">
            <v>6815</v>
          </cell>
          <cell r="U119">
            <v>7145</v>
          </cell>
          <cell r="V119">
            <v>8310</v>
          </cell>
          <cell r="W119">
            <v>9571</v>
          </cell>
          <cell r="X119">
            <v>7848</v>
          </cell>
          <cell r="Y119">
            <v>7811</v>
          </cell>
          <cell r="Z119">
            <v>13069</v>
          </cell>
          <cell r="AA119">
            <v>11483</v>
          </cell>
        </row>
        <row r="120">
          <cell r="C120">
            <v>595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</row>
        <row r="121">
          <cell r="C121">
            <v>596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</row>
        <row r="122">
          <cell r="C122">
            <v>597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</row>
        <row r="123">
          <cell r="C123">
            <v>598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</row>
        <row r="126">
          <cell r="C126">
            <v>600</v>
          </cell>
        </row>
        <row r="127">
          <cell r="C127">
            <v>601</v>
          </cell>
        </row>
        <row r="128">
          <cell r="C128">
            <v>602</v>
          </cell>
        </row>
        <row r="129">
          <cell r="C129">
            <v>603</v>
          </cell>
        </row>
        <row r="133">
          <cell r="C133">
            <v>1</v>
          </cell>
          <cell r="D133">
            <v>36772</v>
          </cell>
          <cell r="E133">
            <v>64829</v>
          </cell>
          <cell r="F133">
            <v>100986</v>
          </cell>
          <cell r="G133">
            <v>141980</v>
          </cell>
          <cell r="H133">
            <v>165179</v>
          </cell>
          <cell r="I133">
            <v>212933</v>
          </cell>
          <cell r="J133">
            <v>250855</v>
          </cell>
          <cell r="K133">
            <v>285709</v>
          </cell>
          <cell r="L133">
            <v>323261</v>
          </cell>
          <cell r="M133">
            <v>359618</v>
          </cell>
          <cell r="N133">
            <v>393527</v>
          </cell>
          <cell r="O133">
            <v>462173</v>
          </cell>
          <cell r="P133">
            <v>36772</v>
          </cell>
          <cell r="Q133">
            <v>28057</v>
          </cell>
          <cell r="R133">
            <v>36157</v>
          </cell>
          <cell r="S133">
            <v>40994</v>
          </cell>
          <cell r="T133">
            <v>23199</v>
          </cell>
          <cell r="U133">
            <v>47754</v>
          </cell>
          <cell r="V133">
            <v>37922</v>
          </cell>
          <cell r="W133">
            <v>34854</v>
          </cell>
          <cell r="X133">
            <v>37552</v>
          </cell>
          <cell r="Y133">
            <v>36357</v>
          </cell>
          <cell r="Z133">
            <v>33909</v>
          </cell>
          <cell r="AA133">
            <v>68646</v>
          </cell>
          <cell r="AB133">
            <v>0</v>
          </cell>
          <cell r="AC133">
            <v>0</v>
          </cell>
          <cell r="AD133">
            <v>110328</v>
          </cell>
          <cell r="AE133">
            <v>0</v>
          </cell>
          <cell r="AF133">
            <v>110328</v>
          </cell>
        </row>
        <row r="134">
          <cell r="C134">
            <v>2</v>
          </cell>
          <cell r="D134">
            <v>32221</v>
          </cell>
          <cell r="E134">
            <v>58358</v>
          </cell>
          <cell r="F134">
            <v>87058</v>
          </cell>
          <cell r="G134">
            <v>123726</v>
          </cell>
          <cell r="H134">
            <v>137790</v>
          </cell>
          <cell r="I134">
            <v>175316</v>
          </cell>
          <cell r="J134">
            <v>196864</v>
          </cell>
          <cell r="K134">
            <v>243040</v>
          </cell>
          <cell r="L134">
            <v>253195</v>
          </cell>
          <cell r="M134">
            <v>280635</v>
          </cell>
          <cell r="N134">
            <v>303160</v>
          </cell>
          <cell r="O134">
            <v>376222</v>
          </cell>
          <cell r="P134">
            <v>32221</v>
          </cell>
          <cell r="Q134">
            <v>26137</v>
          </cell>
          <cell r="R134">
            <v>28700</v>
          </cell>
          <cell r="S134">
            <v>36668</v>
          </cell>
          <cell r="T134">
            <v>14064</v>
          </cell>
          <cell r="U134">
            <v>37526</v>
          </cell>
          <cell r="V134">
            <v>21548</v>
          </cell>
          <cell r="W134">
            <v>46176</v>
          </cell>
          <cell r="X134">
            <v>10155</v>
          </cell>
          <cell r="Y134">
            <v>27440</v>
          </cell>
          <cell r="Z134">
            <v>22525</v>
          </cell>
          <cell r="AA134">
            <v>73062</v>
          </cell>
          <cell r="AB134">
            <v>0</v>
          </cell>
          <cell r="AC134">
            <v>0</v>
          </cell>
          <cell r="AD134">
            <v>77879</v>
          </cell>
          <cell r="AE134">
            <v>0</v>
          </cell>
          <cell r="AF134">
            <v>77879</v>
          </cell>
        </row>
        <row r="135">
          <cell r="C135">
            <v>170</v>
          </cell>
          <cell r="D135">
            <v>4551</v>
          </cell>
          <cell r="E135">
            <v>6471</v>
          </cell>
          <cell r="F135">
            <v>13928</v>
          </cell>
          <cell r="G135">
            <v>18254</v>
          </cell>
          <cell r="H135">
            <v>27389</v>
          </cell>
          <cell r="I135">
            <v>37617</v>
          </cell>
          <cell r="J135">
            <v>53991</v>
          </cell>
          <cell r="K135">
            <v>42669</v>
          </cell>
          <cell r="L135">
            <v>70066</v>
          </cell>
          <cell r="M135">
            <v>78983</v>
          </cell>
          <cell r="N135">
            <v>90367</v>
          </cell>
          <cell r="O135">
            <v>85951</v>
          </cell>
          <cell r="P135">
            <v>4551</v>
          </cell>
          <cell r="Q135">
            <v>1920</v>
          </cell>
          <cell r="R135">
            <v>7457</v>
          </cell>
          <cell r="S135">
            <v>4326</v>
          </cell>
          <cell r="T135">
            <v>9135</v>
          </cell>
          <cell r="U135">
            <v>10228</v>
          </cell>
          <cell r="V135">
            <v>16374</v>
          </cell>
          <cell r="W135">
            <v>-11322</v>
          </cell>
          <cell r="X135">
            <v>27397</v>
          </cell>
          <cell r="Y135">
            <v>8917</v>
          </cell>
          <cell r="Z135">
            <v>11384</v>
          </cell>
          <cell r="AA135">
            <v>-4416</v>
          </cell>
          <cell r="AB135">
            <v>0</v>
          </cell>
          <cell r="AC135">
            <v>0</v>
          </cell>
          <cell r="AD135">
            <v>32449</v>
          </cell>
          <cell r="AE135">
            <v>0</v>
          </cell>
          <cell r="AF135">
            <v>32449</v>
          </cell>
        </row>
        <row r="136">
          <cell r="C136">
            <v>3</v>
          </cell>
          <cell r="D136">
            <v>4296</v>
          </cell>
          <cell r="E136">
            <v>9337</v>
          </cell>
          <cell r="F136">
            <v>10328</v>
          </cell>
          <cell r="G136">
            <v>14969</v>
          </cell>
          <cell r="H136">
            <v>17685</v>
          </cell>
          <cell r="I136">
            <v>21650</v>
          </cell>
          <cell r="J136">
            <v>25618</v>
          </cell>
          <cell r="K136">
            <v>30369</v>
          </cell>
          <cell r="L136">
            <v>34187</v>
          </cell>
          <cell r="M136">
            <v>38713</v>
          </cell>
          <cell r="N136">
            <v>42945</v>
          </cell>
          <cell r="O136">
            <v>50046</v>
          </cell>
          <cell r="P136">
            <v>4296</v>
          </cell>
          <cell r="Q136">
            <v>5041</v>
          </cell>
          <cell r="R136">
            <v>991</v>
          </cell>
          <cell r="S136">
            <v>4641</v>
          </cell>
          <cell r="T136">
            <v>2716</v>
          </cell>
          <cell r="U136">
            <v>3965</v>
          </cell>
          <cell r="V136">
            <v>3968</v>
          </cell>
          <cell r="W136">
            <v>4751</v>
          </cell>
          <cell r="X136">
            <v>3818</v>
          </cell>
          <cell r="Y136">
            <v>4526</v>
          </cell>
          <cell r="Z136">
            <v>4232</v>
          </cell>
          <cell r="AA136">
            <v>7101</v>
          </cell>
          <cell r="AB136">
            <v>0</v>
          </cell>
          <cell r="AC136">
            <v>0</v>
          </cell>
          <cell r="AD136">
            <v>12537</v>
          </cell>
          <cell r="AE136">
            <v>0</v>
          </cell>
          <cell r="AF136">
            <v>12537</v>
          </cell>
        </row>
        <row r="137">
          <cell r="C137">
            <v>4</v>
          </cell>
          <cell r="D137">
            <v>3734</v>
          </cell>
          <cell r="E137">
            <v>6939</v>
          </cell>
          <cell r="F137">
            <v>10645</v>
          </cell>
          <cell r="G137">
            <v>14302</v>
          </cell>
          <cell r="H137">
            <v>16409</v>
          </cell>
          <cell r="I137">
            <v>18634</v>
          </cell>
          <cell r="J137">
            <v>22310</v>
          </cell>
          <cell r="K137">
            <v>26054</v>
          </cell>
          <cell r="L137">
            <v>33605</v>
          </cell>
          <cell r="M137">
            <v>37568</v>
          </cell>
          <cell r="N137">
            <v>41031</v>
          </cell>
          <cell r="O137">
            <v>51996</v>
          </cell>
          <cell r="P137">
            <v>3734</v>
          </cell>
          <cell r="Q137">
            <v>3205</v>
          </cell>
          <cell r="R137">
            <v>3706</v>
          </cell>
          <cell r="S137">
            <v>3657</v>
          </cell>
          <cell r="T137">
            <v>2107</v>
          </cell>
          <cell r="U137">
            <v>2225</v>
          </cell>
          <cell r="V137">
            <v>3676</v>
          </cell>
          <cell r="W137">
            <v>3744</v>
          </cell>
          <cell r="X137">
            <v>7551</v>
          </cell>
          <cell r="Y137">
            <v>3963</v>
          </cell>
          <cell r="Z137">
            <v>3463</v>
          </cell>
          <cell r="AA137">
            <v>10965</v>
          </cell>
          <cell r="AB137">
            <v>0</v>
          </cell>
          <cell r="AC137">
            <v>0</v>
          </cell>
          <cell r="AD137">
            <v>14971</v>
          </cell>
          <cell r="AE137">
            <v>0</v>
          </cell>
          <cell r="AF137">
            <v>14971</v>
          </cell>
        </row>
        <row r="138">
          <cell r="C138">
            <v>67</v>
          </cell>
          <cell r="D138">
            <v>-5488</v>
          </cell>
          <cell r="E138">
            <v>-13495</v>
          </cell>
          <cell r="F138">
            <v>-11996</v>
          </cell>
          <cell r="G138">
            <v>-15674</v>
          </cell>
          <cell r="H138">
            <v>-8917</v>
          </cell>
          <cell r="I138">
            <v>-5745</v>
          </cell>
          <cell r="J138">
            <v>1077</v>
          </cell>
          <cell r="K138">
            <v>-19419</v>
          </cell>
          <cell r="L138">
            <v>-10683</v>
          </cell>
          <cell r="M138">
            <v>-11286</v>
          </cell>
          <cell r="N138">
            <v>-8851</v>
          </cell>
          <cell r="O138">
            <v>-31375</v>
          </cell>
          <cell r="P138">
            <v>-5488</v>
          </cell>
          <cell r="Q138">
            <v>-8007</v>
          </cell>
          <cell r="R138">
            <v>1499</v>
          </cell>
          <cell r="S138">
            <v>-3678</v>
          </cell>
          <cell r="T138">
            <v>6757</v>
          </cell>
          <cell r="U138">
            <v>3172</v>
          </cell>
          <cell r="V138">
            <v>6822</v>
          </cell>
          <cell r="W138">
            <v>-20496</v>
          </cell>
          <cell r="X138">
            <v>8736</v>
          </cell>
          <cell r="Y138">
            <v>-603</v>
          </cell>
          <cell r="Z138">
            <v>2435</v>
          </cell>
          <cell r="AA138">
            <v>-22524</v>
          </cell>
          <cell r="AB138">
            <v>0</v>
          </cell>
          <cell r="AC138">
            <v>0</v>
          </cell>
          <cell r="AD138">
            <v>-4938</v>
          </cell>
          <cell r="AE138">
            <v>0</v>
          </cell>
          <cell r="AF138">
            <v>-4938</v>
          </cell>
        </row>
        <row r="139">
          <cell r="C139">
            <v>52</v>
          </cell>
          <cell r="D139">
            <v>-5669</v>
          </cell>
          <cell r="E139">
            <v>-13839</v>
          </cell>
          <cell r="F139">
            <v>-12447</v>
          </cell>
          <cell r="G139">
            <v>-16250</v>
          </cell>
          <cell r="H139">
            <v>-9595</v>
          </cell>
          <cell r="I139">
            <v>-6485</v>
          </cell>
          <cell r="J139">
            <v>289</v>
          </cell>
          <cell r="K139">
            <v>-20280</v>
          </cell>
          <cell r="L139">
            <v>-11643</v>
          </cell>
          <cell r="M139">
            <v>-12404</v>
          </cell>
          <cell r="N139">
            <v>-10026</v>
          </cell>
          <cell r="O139">
            <v>-53670</v>
          </cell>
          <cell r="P139">
            <v>-5669</v>
          </cell>
          <cell r="Q139">
            <v>-8170</v>
          </cell>
          <cell r="R139">
            <v>1392</v>
          </cell>
          <cell r="S139">
            <v>-3803</v>
          </cell>
          <cell r="T139">
            <v>6655</v>
          </cell>
          <cell r="U139">
            <v>3110</v>
          </cell>
          <cell r="V139">
            <v>6774</v>
          </cell>
          <cell r="W139">
            <v>-20569</v>
          </cell>
          <cell r="X139">
            <v>8637</v>
          </cell>
          <cell r="Y139">
            <v>-761</v>
          </cell>
          <cell r="Z139">
            <v>2378</v>
          </cell>
          <cell r="AA139">
            <v>-43644</v>
          </cell>
          <cell r="AB139">
            <v>0</v>
          </cell>
          <cell r="AC139">
            <v>0</v>
          </cell>
          <cell r="AD139">
            <v>-5158</v>
          </cell>
          <cell r="AE139">
            <v>0</v>
          </cell>
          <cell r="AF139">
            <v>-5158</v>
          </cell>
        </row>
        <row r="140">
          <cell r="C140">
            <v>69</v>
          </cell>
          <cell r="D140">
            <v>-3547</v>
          </cell>
          <cell r="E140">
            <v>-10548</v>
          </cell>
          <cell r="F140">
            <v>-8009</v>
          </cell>
          <cell r="G140">
            <v>-10514</v>
          </cell>
          <cell r="H140">
            <v>-1739</v>
          </cell>
          <cell r="I140">
            <v>2663</v>
          </cell>
          <cell r="J140">
            <v>10701</v>
          </cell>
          <cell r="K140">
            <v>-7825</v>
          </cell>
          <cell r="L140">
            <v>2795</v>
          </cell>
          <cell r="M140">
            <v>3703</v>
          </cell>
          <cell r="N140">
            <v>7743</v>
          </cell>
          <cell r="O140">
            <v>-12581</v>
          </cell>
          <cell r="P140">
            <v>-3547</v>
          </cell>
          <cell r="Q140">
            <v>-7001</v>
          </cell>
          <cell r="R140">
            <v>2539</v>
          </cell>
          <cell r="S140">
            <v>-2505</v>
          </cell>
          <cell r="T140">
            <v>8775</v>
          </cell>
          <cell r="U140">
            <v>4402</v>
          </cell>
          <cell r="V140">
            <v>8038</v>
          </cell>
          <cell r="W140">
            <v>-18526</v>
          </cell>
          <cell r="X140">
            <v>10620</v>
          </cell>
          <cell r="Y140">
            <v>908</v>
          </cell>
          <cell r="Z140">
            <v>4040</v>
          </cell>
          <cell r="AA140">
            <v>-20324</v>
          </cell>
          <cell r="AB140">
            <v>0</v>
          </cell>
          <cell r="AC140">
            <v>0</v>
          </cell>
          <cell r="AD140">
            <v>132</v>
          </cell>
          <cell r="AE140">
            <v>0</v>
          </cell>
          <cell r="AF140">
            <v>132</v>
          </cell>
        </row>
        <row r="141">
          <cell r="C141">
            <v>70</v>
          </cell>
          <cell r="D141">
            <v>-1859</v>
          </cell>
          <cell r="E141">
            <v>-7422</v>
          </cell>
          <cell r="F141">
            <v>-3552</v>
          </cell>
          <cell r="G141">
            <v>-4388</v>
          </cell>
          <cell r="H141">
            <v>5686</v>
          </cell>
          <cell r="I141">
            <v>12487</v>
          </cell>
          <cell r="J141">
            <v>22838</v>
          </cell>
          <cell r="K141">
            <v>5529</v>
          </cell>
          <cell r="L141">
            <v>16975</v>
          </cell>
          <cell r="M141">
            <v>19553</v>
          </cell>
          <cell r="N141">
            <v>25254</v>
          </cell>
          <cell r="O141">
            <v>7275</v>
          </cell>
          <cell r="P141">
            <v>-1859</v>
          </cell>
          <cell r="Q141">
            <v>-5563</v>
          </cell>
          <cell r="R141">
            <v>3870</v>
          </cell>
          <cell r="S141">
            <v>-836</v>
          </cell>
          <cell r="T141">
            <v>10074</v>
          </cell>
          <cell r="U141">
            <v>6801</v>
          </cell>
          <cell r="V141">
            <v>10351</v>
          </cell>
          <cell r="W141">
            <v>-17309</v>
          </cell>
          <cell r="X141">
            <v>11446</v>
          </cell>
          <cell r="Y141">
            <v>2578</v>
          </cell>
          <cell r="Z141">
            <v>5701</v>
          </cell>
          <cell r="AA141">
            <v>-17979</v>
          </cell>
          <cell r="AB141">
            <v>0</v>
          </cell>
          <cell r="AC141">
            <v>0</v>
          </cell>
          <cell r="AD141">
            <v>4488</v>
          </cell>
          <cell r="AE141">
            <v>0</v>
          </cell>
          <cell r="AF141">
            <v>4488</v>
          </cell>
        </row>
        <row r="142">
          <cell r="C142">
            <v>151</v>
          </cell>
          <cell r="D142">
            <v>368</v>
          </cell>
          <cell r="E142">
            <v>741</v>
          </cell>
          <cell r="F142">
            <v>1044</v>
          </cell>
          <cell r="G142">
            <v>1381</v>
          </cell>
          <cell r="H142">
            <v>1728</v>
          </cell>
          <cell r="I142">
            <v>2100</v>
          </cell>
          <cell r="J142">
            <v>2438</v>
          </cell>
          <cell r="K142">
            <v>2751</v>
          </cell>
          <cell r="L142">
            <v>3071</v>
          </cell>
          <cell r="M142">
            <v>3429</v>
          </cell>
          <cell r="N142">
            <v>3960</v>
          </cell>
          <cell r="O142">
            <v>4481</v>
          </cell>
          <cell r="P142">
            <v>368</v>
          </cell>
          <cell r="Q142">
            <v>373</v>
          </cell>
          <cell r="R142">
            <v>303</v>
          </cell>
          <cell r="S142">
            <v>337</v>
          </cell>
          <cell r="T142">
            <v>347</v>
          </cell>
          <cell r="U142">
            <v>372</v>
          </cell>
          <cell r="V142">
            <v>338</v>
          </cell>
          <cell r="W142">
            <v>313</v>
          </cell>
          <cell r="X142">
            <v>320</v>
          </cell>
          <cell r="Y142">
            <v>358</v>
          </cell>
          <cell r="Z142">
            <v>531</v>
          </cell>
          <cell r="AA142">
            <v>521</v>
          </cell>
          <cell r="AB142">
            <v>0</v>
          </cell>
          <cell r="AC142">
            <v>0</v>
          </cell>
          <cell r="AD142">
            <v>971</v>
          </cell>
          <cell r="AE142">
            <v>0</v>
          </cell>
          <cell r="AF142">
            <v>971</v>
          </cell>
        </row>
        <row r="143">
          <cell r="C143">
            <v>50</v>
          </cell>
          <cell r="D143">
            <v>115282</v>
          </cell>
          <cell r="E143">
            <v>115282</v>
          </cell>
          <cell r="F143">
            <v>115282</v>
          </cell>
          <cell r="G143">
            <v>115282</v>
          </cell>
          <cell r="H143">
            <v>115282</v>
          </cell>
          <cell r="I143">
            <v>115282</v>
          </cell>
          <cell r="J143">
            <v>115282</v>
          </cell>
          <cell r="K143">
            <v>115282</v>
          </cell>
          <cell r="L143">
            <v>115282</v>
          </cell>
          <cell r="M143">
            <v>115282</v>
          </cell>
          <cell r="N143">
            <v>115282</v>
          </cell>
          <cell r="O143">
            <v>115282</v>
          </cell>
          <cell r="P143">
            <v>115282</v>
          </cell>
          <cell r="Q143">
            <v>115282</v>
          </cell>
          <cell r="R143">
            <v>115282</v>
          </cell>
          <cell r="S143">
            <v>115282</v>
          </cell>
          <cell r="T143">
            <v>115282</v>
          </cell>
          <cell r="U143">
            <v>115282</v>
          </cell>
          <cell r="V143">
            <v>115282</v>
          </cell>
          <cell r="W143">
            <v>115282</v>
          </cell>
          <cell r="X143">
            <v>115282</v>
          </cell>
          <cell r="Y143">
            <v>115282</v>
          </cell>
          <cell r="Z143">
            <v>115282</v>
          </cell>
          <cell r="AA143">
            <v>115282</v>
          </cell>
        </row>
        <row r="144">
          <cell r="C144">
            <v>152</v>
          </cell>
          <cell r="D144">
            <v>1</v>
          </cell>
          <cell r="E144">
            <v>-1363</v>
          </cell>
          <cell r="F144">
            <v>-1357</v>
          </cell>
          <cell r="G144">
            <v>-1357</v>
          </cell>
          <cell r="H144">
            <v>-1357</v>
          </cell>
          <cell r="I144">
            <v>-1357</v>
          </cell>
          <cell r="J144">
            <v>-1357</v>
          </cell>
          <cell r="K144">
            <v>-1356</v>
          </cell>
          <cell r="L144">
            <v>-1356</v>
          </cell>
          <cell r="M144">
            <v>-1356</v>
          </cell>
          <cell r="N144">
            <v>-1356</v>
          </cell>
          <cell r="O144">
            <v>16159</v>
          </cell>
          <cell r="P144">
            <v>1</v>
          </cell>
          <cell r="Q144">
            <v>-1364</v>
          </cell>
          <cell r="R144">
            <v>6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1</v>
          </cell>
          <cell r="X144">
            <v>0</v>
          </cell>
          <cell r="Y144">
            <v>0</v>
          </cell>
          <cell r="Z144">
            <v>0</v>
          </cell>
          <cell r="AA144">
            <v>17515</v>
          </cell>
          <cell r="AB144">
            <v>0</v>
          </cell>
          <cell r="AC144">
            <v>0</v>
          </cell>
          <cell r="AD144">
            <v>1</v>
          </cell>
          <cell r="AE144">
            <v>0</v>
          </cell>
          <cell r="AF144">
            <v>1</v>
          </cell>
        </row>
        <row r="145">
          <cell r="C145">
            <v>18</v>
          </cell>
          <cell r="D145">
            <v>36772</v>
          </cell>
          <cell r="E145">
            <v>64829</v>
          </cell>
          <cell r="F145">
            <v>100986</v>
          </cell>
          <cell r="G145">
            <v>166899</v>
          </cell>
          <cell r="H145">
            <v>190098</v>
          </cell>
          <cell r="I145">
            <v>247057</v>
          </cell>
          <cell r="J145">
            <v>284979</v>
          </cell>
          <cell r="K145">
            <v>319833</v>
          </cell>
          <cell r="L145">
            <v>355681</v>
          </cell>
          <cell r="M145">
            <v>395894</v>
          </cell>
          <cell r="N145">
            <v>433502</v>
          </cell>
          <cell r="O145">
            <v>494163</v>
          </cell>
          <cell r="P145">
            <v>36772</v>
          </cell>
          <cell r="Q145">
            <v>28057</v>
          </cell>
          <cell r="R145">
            <v>36157</v>
          </cell>
          <cell r="S145">
            <v>65913</v>
          </cell>
          <cell r="T145">
            <v>23199</v>
          </cell>
          <cell r="U145">
            <v>56959</v>
          </cell>
          <cell r="V145">
            <v>37922</v>
          </cell>
          <cell r="W145">
            <v>34854</v>
          </cell>
          <cell r="X145">
            <v>35848</v>
          </cell>
          <cell r="Y145">
            <v>40213</v>
          </cell>
          <cell r="Z145">
            <v>37608</v>
          </cell>
          <cell r="AA145">
            <v>60661</v>
          </cell>
          <cell r="AB145">
            <v>0</v>
          </cell>
          <cell r="AC145">
            <v>0</v>
          </cell>
          <cell r="AD145">
            <v>108624</v>
          </cell>
          <cell r="AE145">
            <v>0</v>
          </cell>
          <cell r="AF145">
            <v>108624</v>
          </cell>
        </row>
        <row r="146">
          <cell r="C146">
            <v>71</v>
          </cell>
          <cell r="D146">
            <v>-7993</v>
          </cell>
          <cell r="E146">
            <v>-4036</v>
          </cell>
          <cell r="F146">
            <v>-14270</v>
          </cell>
          <cell r="G146">
            <v>-16816</v>
          </cell>
          <cell r="H146">
            <v>-18577</v>
          </cell>
          <cell r="I146">
            <v>-19297</v>
          </cell>
          <cell r="J146">
            <v>-25091</v>
          </cell>
          <cell r="K146">
            <v>-20064</v>
          </cell>
          <cell r="L146">
            <v>-25191</v>
          </cell>
          <cell r="M146">
            <v>-16243</v>
          </cell>
          <cell r="N146">
            <v>-18280</v>
          </cell>
          <cell r="O146">
            <v>19878</v>
          </cell>
          <cell r="P146">
            <v>-7993</v>
          </cell>
          <cell r="Q146">
            <v>3957</v>
          </cell>
          <cell r="R146">
            <v>-10234</v>
          </cell>
          <cell r="S146">
            <v>-2546</v>
          </cell>
          <cell r="T146">
            <v>-1761</v>
          </cell>
          <cell r="U146">
            <v>-720</v>
          </cell>
          <cell r="V146">
            <v>-5794</v>
          </cell>
          <cell r="W146">
            <v>5027</v>
          </cell>
          <cell r="X146">
            <v>-5127</v>
          </cell>
          <cell r="Y146">
            <v>8948</v>
          </cell>
          <cell r="Z146">
            <v>-2037</v>
          </cell>
          <cell r="AA146">
            <v>38158</v>
          </cell>
          <cell r="AB146">
            <v>0</v>
          </cell>
          <cell r="AC146">
            <v>0</v>
          </cell>
          <cell r="AD146">
            <v>-5894</v>
          </cell>
          <cell r="AE146">
            <v>0</v>
          </cell>
          <cell r="AF146">
            <v>-5894</v>
          </cell>
        </row>
        <row r="147">
          <cell r="C147">
            <v>72</v>
          </cell>
          <cell r="D147">
            <v>-2770</v>
          </cell>
          <cell r="E147">
            <v>-2876</v>
          </cell>
          <cell r="F147">
            <v>-3470</v>
          </cell>
          <cell r="G147">
            <v>-4163</v>
          </cell>
          <cell r="H147">
            <v>-4413</v>
          </cell>
          <cell r="I147">
            <v>-5055</v>
          </cell>
          <cell r="J147">
            <v>-5216</v>
          </cell>
          <cell r="K147">
            <v>-4446</v>
          </cell>
          <cell r="L147">
            <v>-134</v>
          </cell>
          <cell r="M147">
            <v>-316</v>
          </cell>
          <cell r="N147">
            <v>-588</v>
          </cell>
          <cell r="O147">
            <v>-976</v>
          </cell>
          <cell r="P147">
            <v>-2770</v>
          </cell>
          <cell r="Q147">
            <v>-106</v>
          </cell>
          <cell r="R147">
            <v>-594</v>
          </cell>
          <cell r="S147">
            <v>-693</v>
          </cell>
          <cell r="T147">
            <v>-250</v>
          </cell>
          <cell r="U147">
            <v>-642</v>
          </cell>
          <cell r="V147">
            <v>-161</v>
          </cell>
          <cell r="W147">
            <v>770</v>
          </cell>
          <cell r="X147">
            <v>4312</v>
          </cell>
          <cell r="Y147">
            <v>-182</v>
          </cell>
          <cell r="Z147">
            <v>-272</v>
          </cell>
          <cell r="AA147">
            <v>-388</v>
          </cell>
          <cell r="AB147">
            <v>0</v>
          </cell>
          <cell r="AC147">
            <v>0</v>
          </cell>
          <cell r="AD147">
            <v>4921</v>
          </cell>
          <cell r="AE147">
            <v>0</v>
          </cell>
          <cell r="AF147">
            <v>4921</v>
          </cell>
        </row>
        <row r="148">
          <cell r="C148">
            <v>73</v>
          </cell>
          <cell r="D148">
            <v>-1325</v>
          </cell>
          <cell r="E148">
            <v>-2003</v>
          </cell>
          <cell r="F148">
            <v>-1376</v>
          </cell>
          <cell r="G148">
            <v>-4397</v>
          </cell>
          <cell r="H148">
            <v>-3375</v>
          </cell>
          <cell r="I148">
            <v>-6985</v>
          </cell>
          <cell r="J148">
            <v>-897</v>
          </cell>
          <cell r="K148">
            <v>-190</v>
          </cell>
          <cell r="L148">
            <v>6536</v>
          </cell>
          <cell r="M148">
            <v>6571</v>
          </cell>
          <cell r="N148">
            <v>10724</v>
          </cell>
          <cell r="O148">
            <v>7663</v>
          </cell>
          <cell r="P148">
            <v>-1325</v>
          </cell>
          <cell r="Q148">
            <v>-678</v>
          </cell>
          <cell r="R148">
            <v>627</v>
          </cell>
          <cell r="S148">
            <v>-3021</v>
          </cell>
          <cell r="T148">
            <v>1022</v>
          </cell>
          <cell r="U148">
            <v>-3610</v>
          </cell>
          <cell r="V148">
            <v>6088</v>
          </cell>
          <cell r="W148">
            <v>707</v>
          </cell>
          <cell r="X148">
            <v>6726</v>
          </cell>
          <cell r="Y148">
            <v>35</v>
          </cell>
          <cell r="Z148">
            <v>4153</v>
          </cell>
          <cell r="AA148">
            <v>-3061</v>
          </cell>
          <cell r="AB148">
            <v>0</v>
          </cell>
          <cell r="AC148">
            <v>0</v>
          </cell>
          <cell r="AD148">
            <v>13521</v>
          </cell>
          <cell r="AE148">
            <v>0</v>
          </cell>
          <cell r="AF148">
            <v>13521</v>
          </cell>
        </row>
        <row r="149">
          <cell r="C149">
            <v>74</v>
          </cell>
          <cell r="D149">
            <v>12502</v>
          </cell>
          <cell r="E149">
            <v>13735</v>
          </cell>
          <cell r="F149">
            <v>13293</v>
          </cell>
          <cell r="G149">
            <v>7467</v>
          </cell>
          <cell r="H149">
            <v>3037</v>
          </cell>
          <cell r="I149">
            <v>12547</v>
          </cell>
          <cell r="J149">
            <v>-3538</v>
          </cell>
          <cell r="K149">
            <v>14623</v>
          </cell>
          <cell r="L149">
            <v>-53</v>
          </cell>
          <cell r="M149">
            <v>6205</v>
          </cell>
          <cell r="N149">
            <v>1285</v>
          </cell>
          <cell r="O149">
            <v>-10089</v>
          </cell>
          <cell r="P149">
            <v>12502</v>
          </cell>
          <cell r="Q149">
            <v>1233</v>
          </cell>
          <cell r="R149">
            <v>-442</v>
          </cell>
          <cell r="S149">
            <v>-5826</v>
          </cell>
          <cell r="T149">
            <v>-4430</v>
          </cell>
          <cell r="U149">
            <v>9510</v>
          </cell>
          <cell r="V149">
            <v>-16085</v>
          </cell>
          <cell r="W149">
            <v>18161</v>
          </cell>
          <cell r="X149">
            <v>-14676</v>
          </cell>
          <cell r="Y149">
            <v>6258</v>
          </cell>
          <cell r="Z149">
            <v>-4920</v>
          </cell>
          <cell r="AA149">
            <v>-11374</v>
          </cell>
          <cell r="AB149">
            <v>0</v>
          </cell>
          <cell r="AC149">
            <v>0</v>
          </cell>
          <cell r="AD149">
            <v>-12600</v>
          </cell>
          <cell r="AE149">
            <v>0</v>
          </cell>
          <cell r="AF149">
            <v>-12600</v>
          </cell>
        </row>
        <row r="150">
          <cell r="C150">
            <v>75</v>
          </cell>
          <cell r="D150">
            <v>1124</v>
          </cell>
          <cell r="E150">
            <v>390</v>
          </cell>
          <cell r="F150">
            <v>449</v>
          </cell>
          <cell r="G150">
            <v>-1335</v>
          </cell>
          <cell r="H150">
            <v>-448</v>
          </cell>
          <cell r="I150">
            <v>803</v>
          </cell>
          <cell r="J150">
            <v>-809</v>
          </cell>
          <cell r="K150">
            <v>-243</v>
          </cell>
          <cell r="L150">
            <v>-1941</v>
          </cell>
          <cell r="M150">
            <v>-3013</v>
          </cell>
          <cell r="N150">
            <v>-2127</v>
          </cell>
          <cell r="O150">
            <v>-103</v>
          </cell>
          <cell r="P150">
            <v>1124</v>
          </cell>
          <cell r="Q150">
            <v>-734</v>
          </cell>
          <cell r="R150">
            <v>59</v>
          </cell>
          <cell r="S150">
            <v>-1784</v>
          </cell>
          <cell r="T150">
            <v>887</v>
          </cell>
          <cell r="U150">
            <v>1251</v>
          </cell>
          <cell r="V150">
            <v>-1612</v>
          </cell>
          <cell r="W150">
            <v>566</v>
          </cell>
          <cell r="X150">
            <v>-1698</v>
          </cell>
          <cell r="Y150">
            <v>-1072</v>
          </cell>
          <cell r="Z150">
            <v>886</v>
          </cell>
          <cell r="AA150">
            <v>2024</v>
          </cell>
          <cell r="AB150">
            <v>0</v>
          </cell>
          <cell r="AC150">
            <v>0</v>
          </cell>
          <cell r="AD150">
            <v>-2744</v>
          </cell>
          <cell r="AE150">
            <v>0</v>
          </cell>
          <cell r="AF150">
            <v>-2744</v>
          </cell>
        </row>
        <row r="151">
          <cell r="C151">
            <v>76</v>
          </cell>
          <cell r="D151">
            <v>-1347</v>
          </cell>
          <cell r="E151">
            <v>-2766</v>
          </cell>
          <cell r="F151">
            <v>-2332</v>
          </cell>
          <cell r="G151">
            <v>8384</v>
          </cell>
          <cell r="H151">
            <v>4005</v>
          </cell>
          <cell r="I151">
            <v>-4991</v>
          </cell>
          <cell r="J151">
            <v>9047</v>
          </cell>
          <cell r="K151">
            <v>10524</v>
          </cell>
          <cell r="L151">
            <v>2167</v>
          </cell>
          <cell r="M151">
            <v>12555</v>
          </cell>
          <cell r="N151">
            <v>6048</v>
          </cell>
          <cell r="O151">
            <v>11304</v>
          </cell>
          <cell r="P151">
            <v>-1347</v>
          </cell>
          <cell r="Q151">
            <v>-1419</v>
          </cell>
          <cell r="R151">
            <v>434</v>
          </cell>
          <cell r="S151">
            <v>10716</v>
          </cell>
          <cell r="T151">
            <v>-4379</v>
          </cell>
          <cell r="U151">
            <v>-8996</v>
          </cell>
          <cell r="V151">
            <v>14038</v>
          </cell>
          <cell r="W151">
            <v>1477</v>
          </cell>
          <cell r="X151">
            <v>-8357</v>
          </cell>
          <cell r="Y151">
            <v>10388</v>
          </cell>
          <cell r="Z151">
            <v>-6507</v>
          </cell>
          <cell r="AA151">
            <v>5256</v>
          </cell>
          <cell r="AB151">
            <v>0</v>
          </cell>
          <cell r="AC151">
            <v>0</v>
          </cell>
          <cell r="AD151">
            <v>7158</v>
          </cell>
          <cell r="AE151">
            <v>0</v>
          </cell>
          <cell r="AF151">
            <v>7158</v>
          </cell>
        </row>
        <row r="152">
          <cell r="C152">
            <v>77</v>
          </cell>
          <cell r="D152">
            <v>-761</v>
          </cell>
          <cell r="E152">
            <v>-780</v>
          </cell>
          <cell r="F152">
            <v>-794</v>
          </cell>
          <cell r="G152">
            <v>-728</v>
          </cell>
          <cell r="H152">
            <v>-425</v>
          </cell>
          <cell r="I152">
            <v>-372</v>
          </cell>
          <cell r="J152">
            <v>-419</v>
          </cell>
          <cell r="K152">
            <v>-560</v>
          </cell>
          <cell r="L152">
            <v>-1708</v>
          </cell>
          <cell r="M152">
            <v>-1670</v>
          </cell>
          <cell r="N152">
            <v>-1678</v>
          </cell>
          <cell r="O152">
            <v>-1562</v>
          </cell>
          <cell r="P152">
            <v>-761</v>
          </cell>
          <cell r="Q152">
            <v>-19</v>
          </cell>
          <cell r="R152">
            <v>-14</v>
          </cell>
          <cell r="S152">
            <v>66</v>
          </cell>
          <cell r="T152">
            <v>303</v>
          </cell>
          <cell r="U152">
            <v>53</v>
          </cell>
          <cell r="V152">
            <v>-47</v>
          </cell>
          <cell r="W152">
            <v>-141</v>
          </cell>
          <cell r="X152">
            <v>-1148</v>
          </cell>
          <cell r="Y152">
            <v>38</v>
          </cell>
          <cell r="Z152">
            <v>-8</v>
          </cell>
          <cell r="AA152">
            <v>116</v>
          </cell>
          <cell r="AB152">
            <v>0</v>
          </cell>
          <cell r="AC152">
            <v>0</v>
          </cell>
          <cell r="AD152">
            <v>-1336</v>
          </cell>
          <cell r="AE152">
            <v>0</v>
          </cell>
          <cell r="AF152">
            <v>-1336</v>
          </cell>
        </row>
        <row r="153">
          <cell r="C153">
            <v>78</v>
          </cell>
          <cell r="D153">
            <v>81</v>
          </cell>
          <cell r="E153">
            <v>248</v>
          </cell>
          <cell r="F153">
            <v>-381</v>
          </cell>
          <cell r="G153">
            <v>-76</v>
          </cell>
          <cell r="H153">
            <v>-528</v>
          </cell>
          <cell r="I153">
            <v>-445</v>
          </cell>
          <cell r="J153">
            <v>-487</v>
          </cell>
          <cell r="K153">
            <v>-431</v>
          </cell>
          <cell r="L153">
            <v>-7981</v>
          </cell>
          <cell r="M153">
            <v>-7802</v>
          </cell>
          <cell r="N153">
            <v>-8131</v>
          </cell>
          <cell r="O153">
            <v>1763</v>
          </cell>
          <cell r="P153">
            <v>81</v>
          </cell>
          <cell r="Q153">
            <v>167</v>
          </cell>
          <cell r="R153">
            <v>-629</v>
          </cell>
          <cell r="S153">
            <v>305</v>
          </cell>
          <cell r="T153">
            <v>-452</v>
          </cell>
          <cell r="U153">
            <v>83</v>
          </cell>
          <cell r="V153">
            <v>-42</v>
          </cell>
          <cell r="W153">
            <v>56</v>
          </cell>
          <cell r="X153">
            <v>-7550</v>
          </cell>
          <cell r="Y153">
            <v>179</v>
          </cell>
          <cell r="Z153">
            <v>-329</v>
          </cell>
          <cell r="AA153">
            <v>9894</v>
          </cell>
          <cell r="AB153">
            <v>0</v>
          </cell>
          <cell r="AC153">
            <v>0</v>
          </cell>
          <cell r="AD153">
            <v>-7536</v>
          </cell>
          <cell r="AE153">
            <v>0</v>
          </cell>
          <cell r="AF153">
            <v>-7536</v>
          </cell>
        </row>
        <row r="154">
          <cell r="C154">
            <v>79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</row>
        <row r="155">
          <cell r="C155">
            <v>80</v>
          </cell>
          <cell r="D155">
            <v>107</v>
          </cell>
          <cell r="E155">
            <v>213</v>
          </cell>
          <cell r="F155">
            <v>319</v>
          </cell>
          <cell r="G155">
            <v>428</v>
          </cell>
          <cell r="H155">
            <v>536</v>
          </cell>
          <cell r="I155">
            <v>649</v>
          </cell>
          <cell r="J155">
            <v>762</v>
          </cell>
          <cell r="K155">
            <v>874</v>
          </cell>
          <cell r="L155">
            <v>988</v>
          </cell>
          <cell r="M155">
            <v>1101</v>
          </cell>
          <cell r="N155">
            <v>1214</v>
          </cell>
          <cell r="O155">
            <v>1327</v>
          </cell>
          <cell r="P155">
            <v>107</v>
          </cell>
          <cell r="Q155">
            <v>106</v>
          </cell>
          <cell r="R155">
            <v>106</v>
          </cell>
          <cell r="S155">
            <v>109</v>
          </cell>
          <cell r="T155">
            <v>108</v>
          </cell>
          <cell r="U155">
            <v>113</v>
          </cell>
          <cell r="V155">
            <v>113</v>
          </cell>
          <cell r="W155">
            <v>112</v>
          </cell>
          <cell r="X155">
            <v>114</v>
          </cell>
          <cell r="Y155">
            <v>113</v>
          </cell>
          <cell r="Z155">
            <v>113</v>
          </cell>
          <cell r="AA155">
            <v>113</v>
          </cell>
          <cell r="AB155">
            <v>0</v>
          </cell>
          <cell r="AC155">
            <v>0</v>
          </cell>
          <cell r="AD155">
            <v>339</v>
          </cell>
          <cell r="AE155">
            <v>0</v>
          </cell>
          <cell r="AF155">
            <v>339</v>
          </cell>
        </row>
        <row r="156">
          <cell r="C156">
            <v>81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</row>
        <row r="157">
          <cell r="C157">
            <v>82</v>
          </cell>
          <cell r="D157">
            <v>-1405</v>
          </cell>
          <cell r="E157">
            <v>-1436</v>
          </cell>
          <cell r="F157">
            <v>-1701</v>
          </cell>
          <cell r="G157">
            <v>2696</v>
          </cell>
          <cell r="H157">
            <v>2456</v>
          </cell>
          <cell r="I157">
            <v>2636</v>
          </cell>
          <cell r="J157">
            <v>2893</v>
          </cell>
          <cell r="K157">
            <v>2351</v>
          </cell>
          <cell r="L157">
            <v>2094</v>
          </cell>
          <cell r="M157">
            <v>-2793</v>
          </cell>
          <cell r="N157">
            <v>-2869</v>
          </cell>
          <cell r="O157">
            <v>-2090</v>
          </cell>
          <cell r="P157">
            <v>-1405</v>
          </cell>
          <cell r="Q157">
            <v>-31</v>
          </cell>
          <cell r="R157">
            <v>-265</v>
          </cell>
          <cell r="S157">
            <v>4397</v>
          </cell>
          <cell r="T157">
            <v>-240</v>
          </cell>
          <cell r="U157">
            <v>180</v>
          </cell>
          <cell r="V157">
            <v>257</v>
          </cell>
          <cell r="W157">
            <v>-542</v>
          </cell>
          <cell r="X157">
            <v>-257</v>
          </cell>
          <cell r="Y157">
            <v>-4887</v>
          </cell>
          <cell r="Z157">
            <v>-76</v>
          </cell>
          <cell r="AA157">
            <v>779</v>
          </cell>
          <cell r="AB157">
            <v>0</v>
          </cell>
          <cell r="AC157">
            <v>0</v>
          </cell>
          <cell r="AD157">
            <v>-542</v>
          </cell>
          <cell r="AE157">
            <v>0</v>
          </cell>
          <cell r="AF157">
            <v>-542</v>
          </cell>
        </row>
        <row r="158">
          <cell r="C158">
            <v>83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</row>
        <row r="159">
          <cell r="C159">
            <v>84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</row>
        <row r="160">
          <cell r="C160">
            <v>85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</row>
        <row r="161">
          <cell r="C161">
            <v>86</v>
          </cell>
          <cell r="D161">
            <v>37</v>
          </cell>
          <cell r="E161">
            <v>-124</v>
          </cell>
          <cell r="F161">
            <v>-68</v>
          </cell>
          <cell r="G161">
            <v>-91</v>
          </cell>
          <cell r="H161">
            <v>-107</v>
          </cell>
          <cell r="I161">
            <v>-1204</v>
          </cell>
          <cell r="J161">
            <v>-1074</v>
          </cell>
          <cell r="K161">
            <v>-575</v>
          </cell>
          <cell r="L161">
            <v>-640</v>
          </cell>
          <cell r="M161">
            <v>-553</v>
          </cell>
          <cell r="N161">
            <v>-472</v>
          </cell>
          <cell r="O161">
            <v>1790</v>
          </cell>
          <cell r="P161">
            <v>37</v>
          </cell>
          <cell r="Q161">
            <v>-161</v>
          </cell>
          <cell r="R161">
            <v>56</v>
          </cell>
          <cell r="S161">
            <v>-23</v>
          </cell>
          <cell r="T161">
            <v>-16</v>
          </cell>
          <cell r="U161">
            <v>-1097</v>
          </cell>
          <cell r="V161">
            <v>130</v>
          </cell>
          <cell r="W161">
            <v>499</v>
          </cell>
          <cell r="X161">
            <v>-65</v>
          </cell>
          <cell r="Y161">
            <v>87</v>
          </cell>
          <cell r="Z161">
            <v>81</v>
          </cell>
          <cell r="AA161">
            <v>2262</v>
          </cell>
          <cell r="AB161">
            <v>0</v>
          </cell>
          <cell r="AC161">
            <v>0</v>
          </cell>
          <cell r="AD161">
            <v>564</v>
          </cell>
          <cell r="AE161">
            <v>0</v>
          </cell>
          <cell r="AF161">
            <v>564</v>
          </cell>
        </row>
        <row r="162">
          <cell r="C162">
            <v>87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</row>
        <row r="163">
          <cell r="C163">
            <v>88</v>
          </cell>
          <cell r="D163">
            <v>0</v>
          </cell>
          <cell r="E163">
            <v>0</v>
          </cell>
          <cell r="F163">
            <v>3747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3747</v>
          </cell>
          <cell r="S163">
            <v>-3747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</row>
        <row r="164">
          <cell r="C164">
            <v>89</v>
          </cell>
          <cell r="D164">
            <v>0</v>
          </cell>
          <cell r="E164">
            <v>0</v>
          </cell>
          <cell r="F164">
            <v>1045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1045</v>
          </cell>
          <cell r="S164">
            <v>-1045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</row>
        <row r="165">
          <cell r="C165">
            <v>90</v>
          </cell>
          <cell r="D165">
            <v>204</v>
          </cell>
          <cell r="E165">
            <v>192</v>
          </cell>
          <cell r="F165">
            <v>-373</v>
          </cell>
          <cell r="G165">
            <v>-319</v>
          </cell>
          <cell r="H165">
            <v>-286</v>
          </cell>
          <cell r="I165">
            <v>-308</v>
          </cell>
          <cell r="J165">
            <v>-505</v>
          </cell>
          <cell r="K165">
            <v>-537</v>
          </cell>
          <cell r="L165">
            <v>-551</v>
          </cell>
          <cell r="M165">
            <v>-515</v>
          </cell>
          <cell r="N165">
            <v>-537</v>
          </cell>
          <cell r="O165">
            <v>-541</v>
          </cell>
          <cell r="P165">
            <v>204</v>
          </cell>
          <cell r="Q165">
            <v>-12</v>
          </cell>
          <cell r="R165">
            <v>-565</v>
          </cell>
          <cell r="S165">
            <v>54</v>
          </cell>
          <cell r="T165">
            <v>33</v>
          </cell>
          <cell r="U165">
            <v>-22</v>
          </cell>
          <cell r="V165">
            <v>-197</v>
          </cell>
          <cell r="W165">
            <v>-32</v>
          </cell>
          <cell r="X165">
            <v>-14</v>
          </cell>
          <cell r="Y165">
            <v>36</v>
          </cell>
          <cell r="Z165">
            <v>-22</v>
          </cell>
          <cell r="AA165">
            <v>-4</v>
          </cell>
          <cell r="AB165">
            <v>0</v>
          </cell>
          <cell r="AC165">
            <v>0</v>
          </cell>
          <cell r="AD165">
            <v>-243</v>
          </cell>
          <cell r="AE165">
            <v>0</v>
          </cell>
          <cell r="AF165">
            <v>-243</v>
          </cell>
        </row>
        <row r="166">
          <cell r="C166">
            <v>91</v>
          </cell>
          <cell r="D166">
            <v>-5</v>
          </cell>
          <cell r="E166">
            <v>-1284</v>
          </cell>
          <cell r="F166">
            <v>-1350</v>
          </cell>
          <cell r="G166">
            <v>-1292</v>
          </cell>
          <cell r="H166">
            <v>-875</v>
          </cell>
          <cell r="I166">
            <v>-1624</v>
          </cell>
          <cell r="J166">
            <v>-2307</v>
          </cell>
          <cell r="K166">
            <v>-2315</v>
          </cell>
          <cell r="L166">
            <v>-1410</v>
          </cell>
          <cell r="M166">
            <v>-1416</v>
          </cell>
          <cell r="N166">
            <v>-1312</v>
          </cell>
          <cell r="O166">
            <v>5523</v>
          </cell>
          <cell r="P166">
            <v>-5</v>
          </cell>
          <cell r="Q166">
            <v>-1279</v>
          </cell>
          <cell r="R166">
            <v>-66</v>
          </cell>
          <cell r="S166">
            <v>58</v>
          </cell>
          <cell r="T166">
            <v>417</v>
          </cell>
          <cell r="U166">
            <v>-749</v>
          </cell>
          <cell r="V166">
            <v>-683</v>
          </cell>
          <cell r="W166">
            <v>-8</v>
          </cell>
          <cell r="X166">
            <v>905</v>
          </cell>
          <cell r="Y166">
            <v>-6</v>
          </cell>
          <cell r="Z166">
            <v>104</v>
          </cell>
          <cell r="AA166">
            <v>6835</v>
          </cell>
          <cell r="AB166">
            <v>0</v>
          </cell>
          <cell r="AC166">
            <v>0</v>
          </cell>
          <cell r="AD166">
            <v>214</v>
          </cell>
          <cell r="AE166">
            <v>0</v>
          </cell>
          <cell r="AF166">
            <v>214</v>
          </cell>
        </row>
        <row r="167">
          <cell r="C167">
            <v>92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</row>
        <row r="168">
          <cell r="C168">
            <v>93</v>
          </cell>
          <cell r="D168">
            <v>-800</v>
          </cell>
          <cell r="E168">
            <v>-1200</v>
          </cell>
          <cell r="F168">
            <v>1193</v>
          </cell>
          <cell r="G168">
            <v>850</v>
          </cell>
          <cell r="H168">
            <v>1363</v>
          </cell>
          <cell r="I168">
            <v>-275</v>
          </cell>
          <cell r="J168">
            <v>-795</v>
          </cell>
          <cell r="K168">
            <v>-758</v>
          </cell>
          <cell r="L168">
            <v>-2458</v>
          </cell>
          <cell r="M168">
            <v>29818</v>
          </cell>
          <cell r="N168">
            <v>29523</v>
          </cell>
          <cell r="O168">
            <v>23305</v>
          </cell>
          <cell r="P168">
            <v>-800</v>
          </cell>
          <cell r="Q168">
            <v>-400</v>
          </cell>
          <cell r="R168">
            <v>2393</v>
          </cell>
          <cell r="S168">
            <v>-343</v>
          </cell>
          <cell r="T168">
            <v>513</v>
          </cell>
          <cell r="U168">
            <v>-1638</v>
          </cell>
          <cell r="V168">
            <v>-520</v>
          </cell>
          <cell r="W168">
            <v>37</v>
          </cell>
          <cell r="X168">
            <v>-1700</v>
          </cell>
          <cell r="Y168">
            <v>32276</v>
          </cell>
          <cell r="Z168">
            <v>-295</v>
          </cell>
          <cell r="AA168">
            <v>-6218</v>
          </cell>
          <cell r="AB168">
            <v>0</v>
          </cell>
          <cell r="AC168">
            <v>0</v>
          </cell>
          <cell r="AD168">
            <v>-2183</v>
          </cell>
          <cell r="AE168">
            <v>0</v>
          </cell>
          <cell r="AF168">
            <v>-2183</v>
          </cell>
        </row>
        <row r="169">
          <cell r="C169">
            <v>94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</row>
        <row r="170">
          <cell r="C170">
            <v>95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</row>
        <row r="171">
          <cell r="C171">
            <v>96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1771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1771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</row>
        <row r="172">
          <cell r="C172">
            <v>97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</row>
        <row r="174">
          <cell r="C174">
            <v>112</v>
          </cell>
          <cell r="D174">
            <v>179998</v>
          </cell>
          <cell r="E174">
            <v>355212</v>
          </cell>
          <cell r="F174">
            <v>530350</v>
          </cell>
          <cell r="G174">
            <v>701678</v>
          </cell>
          <cell r="H174">
            <v>882506</v>
          </cell>
          <cell r="I174">
            <v>1060935</v>
          </cell>
          <cell r="J174">
            <v>1245838</v>
          </cell>
          <cell r="K174">
            <v>1407701</v>
          </cell>
          <cell r="L174">
            <v>1575466</v>
          </cell>
          <cell r="M174">
            <v>1742489</v>
          </cell>
          <cell r="N174">
            <v>1912018</v>
          </cell>
          <cell r="O174">
            <v>2024669</v>
          </cell>
          <cell r="P174">
            <v>185667</v>
          </cell>
          <cell r="Q174">
            <v>187360</v>
          </cell>
          <cell r="R174">
            <v>188319</v>
          </cell>
          <cell r="S174">
            <v>187581.5</v>
          </cell>
          <cell r="T174">
            <v>189000.5</v>
          </cell>
          <cell r="U174">
            <v>187668.5</v>
          </cell>
          <cell r="V174">
            <v>184764</v>
          </cell>
          <cell r="W174">
            <v>183378.5</v>
          </cell>
          <cell r="X174">
            <v>180775.5</v>
          </cell>
          <cell r="Y174">
            <v>179417.5</v>
          </cell>
          <cell r="Z174">
            <v>179491</v>
          </cell>
          <cell r="AA174">
            <v>172938</v>
          </cell>
          <cell r="AB174">
            <v>0</v>
          </cell>
          <cell r="AC174">
            <v>0</v>
          </cell>
          <cell r="AD174">
            <v>548918</v>
          </cell>
          <cell r="AE174">
            <v>0</v>
          </cell>
          <cell r="AF174">
            <v>182972.66666666666</v>
          </cell>
        </row>
        <row r="175">
          <cell r="C175">
            <v>113</v>
          </cell>
          <cell r="D175">
            <v>322663</v>
          </cell>
          <cell r="E175">
            <v>471956</v>
          </cell>
          <cell r="F175">
            <v>798391</v>
          </cell>
          <cell r="G175">
            <v>1130130</v>
          </cell>
          <cell r="H175">
            <v>1458536</v>
          </cell>
          <cell r="I175">
            <v>1800898</v>
          </cell>
          <cell r="J175">
            <v>2129296</v>
          </cell>
          <cell r="K175">
            <v>2478199</v>
          </cell>
          <cell r="L175">
            <v>2814562</v>
          </cell>
          <cell r="M175">
            <v>3137615</v>
          </cell>
          <cell r="N175">
            <v>3459305</v>
          </cell>
          <cell r="O175">
            <v>3778052</v>
          </cell>
          <cell r="P175">
            <v>322663</v>
          </cell>
          <cell r="Q175">
            <v>333339</v>
          </cell>
          <cell r="R175">
            <v>338576</v>
          </cell>
          <cell r="S175">
            <v>341492.5</v>
          </cell>
          <cell r="T175">
            <v>345840</v>
          </cell>
          <cell r="U175">
            <v>346974.5</v>
          </cell>
          <cell r="V175">
            <v>340515.5</v>
          </cell>
          <cell r="W175">
            <v>340363</v>
          </cell>
          <cell r="X175">
            <v>350025.5</v>
          </cell>
          <cell r="Y175">
            <v>344311.5</v>
          </cell>
          <cell r="Z175">
            <v>334468.5</v>
          </cell>
          <cell r="AA175">
            <v>324880.5</v>
          </cell>
          <cell r="AB175">
            <v>0</v>
          </cell>
          <cell r="AC175">
            <v>0</v>
          </cell>
          <cell r="AD175">
            <v>1030904</v>
          </cell>
          <cell r="AE175">
            <v>0</v>
          </cell>
          <cell r="AF175">
            <v>343634.66666666669</v>
          </cell>
        </row>
        <row r="176">
          <cell r="C176">
            <v>108</v>
          </cell>
          <cell r="D176">
            <v>-0.37793753263925156</v>
          </cell>
          <cell r="E176">
            <v>-0.46751798925711968</v>
          </cell>
          <cell r="F176">
            <v>-0.28163288394456493</v>
          </cell>
          <cell r="G176">
            <v>-0.27790524998646104</v>
          </cell>
          <cell r="H176">
            <v>-0.13046936791364591</v>
          </cell>
          <cell r="I176">
            <v>-7.335039375645068E-2</v>
          </cell>
          <cell r="J176">
            <v>2.7836685026464115E-3</v>
          </cell>
          <cell r="K176">
            <v>-0.17287762102889748</v>
          </cell>
          <cell r="L176">
            <v>-8.8682332719335108E-2</v>
          </cell>
          <cell r="M176">
            <v>-8.5422633944891468E-2</v>
          </cell>
          <cell r="N176">
            <v>-6.2924093810832318E-2</v>
          </cell>
          <cell r="O176">
            <v>-0.31809643946738947</v>
          </cell>
          <cell r="P176">
            <v>-0.36639790592835558</v>
          </cell>
          <cell r="Q176">
            <v>-0.52327070879590099</v>
          </cell>
          <cell r="R176">
            <v>8.8700555971516409E-2</v>
          </cell>
          <cell r="S176">
            <v>-0.24328625157598163</v>
          </cell>
          <cell r="T176">
            <v>0.42253856471279178</v>
          </cell>
          <cell r="U176">
            <v>0.19886128998739799</v>
          </cell>
          <cell r="V176">
            <v>0.43995583555238033</v>
          </cell>
          <cell r="W176">
            <v>-1.3460029392758692</v>
          </cell>
          <cell r="X176">
            <v>0.57332990366504311</v>
          </cell>
          <cell r="Y176">
            <v>-5.0898045062493902E-2</v>
          </cell>
          <cell r="Z176">
            <v>0.15898290164966489</v>
          </cell>
          <cell r="AA176">
            <v>-3.0284148076189155</v>
          </cell>
          <cell r="AF176">
            <v>-0.33828003454067823</v>
          </cell>
        </row>
        <row r="177">
          <cell r="C177">
            <v>109</v>
          </cell>
          <cell r="D177">
            <v>-0.21083297434165058</v>
          </cell>
          <cell r="E177">
            <v>-0.35187178465789182</v>
          </cell>
          <cell r="F177">
            <v>-0.18708126719865328</v>
          </cell>
          <cell r="G177">
            <v>-0.17254652119667649</v>
          </cell>
          <cell r="H177">
            <v>-7.8942172150704537E-2</v>
          </cell>
          <cell r="I177">
            <v>-4.3211775458687832E-2</v>
          </cell>
          <cell r="J177">
            <v>1.6287073286194121E-3</v>
          </cell>
          <cell r="K177">
            <v>-9.8200346299873412E-2</v>
          </cell>
          <cell r="L177">
            <v>-4.964040586066322E-2</v>
          </cell>
          <cell r="M177">
            <v>-4.7439854794166909E-2</v>
          </cell>
          <cell r="N177">
            <v>-3.4779240338738561E-2</v>
          </cell>
          <cell r="O177">
            <v>-0.17046880244104634</v>
          </cell>
          <cell r="P177">
            <v>-0.21083297434165058</v>
          </cell>
          <cell r="Q177">
            <v>-0.29411500004499924</v>
          </cell>
          <cell r="R177">
            <v>4.9336042720098297E-2</v>
          </cell>
          <cell r="S177">
            <v>-0.13363690271382242</v>
          </cell>
          <cell r="T177">
            <v>0.23091603053435114</v>
          </cell>
          <cell r="U177">
            <v>0.10755833641953515</v>
          </cell>
          <cell r="V177">
            <v>0.23872041067146724</v>
          </cell>
          <cell r="W177">
            <v>-0.72519045842233143</v>
          </cell>
          <cell r="X177">
            <v>0.296104140984014</v>
          </cell>
          <cell r="Y177">
            <v>-2.6522494891980081E-2</v>
          </cell>
          <cell r="Z177">
            <v>8.5317451419191948E-2</v>
          </cell>
          <cell r="AA177">
            <v>-1.6120635125838578</v>
          </cell>
          <cell r="AF177">
            <v>-0.18012152440964435</v>
          </cell>
        </row>
        <row r="178">
          <cell r="C178">
            <v>999</v>
          </cell>
          <cell r="D178">
            <v>-7353</v>
          </cell>
          <cell r="E178">
            <v>-9618</v>
          </cell>
          <cell r="F178">
            <v>-12380</v>
          </cell>
          <cell r="G178">
            <v>-17456</v>
          </cell>
          <cell r="H178">
            <v>-14524</v>
          </cell>
          <cell r="I178">
            <v>-20452</v>
          </cell>
          <cell r="J178">
            <v>-15877</v>
          </cell>
          <cell r="K178">
            <v>-10694</v>
          </cell>
          <cell r="L178">
            <v>-32155</v>
          </cell>
          <cell r="M178">
            <v>21411</v>
          </cell>
          <cell r="N178">
            <v>16877</v>
          </cell>
          <cell r="O178">
            <v>19509</v>
          </cell>
          <cell r="P178">
            <v>-7353</v>
          </cell>
          <cell r="Q178">
            <v>-2265</v>
          </cell>
          <cell r="R178">
            <v>-2762</v>
          </cell>
          <cell r="S178">
            <v>-5076</v>
          </cell>
          <cell r="T178">
            <v>2932</v>
          </cell>
          <cell r="U178">
            <v>-5928</v>
          </cell>
          <cell r="V178">
            <v>4575</v>
          </cell>
          <cell r="W178">
            <v>5183</v>
          </cell>
          <cell r="X178">
            <v>-21461</v>
          </cell>
          <cell r="Y178">
            <v>53566</v>
          </cell>
          <cell r="Z178">
            <v>-4534</v>
          </cell>
          <cell r="AA178">
            <v>2632</v>
          </cell>
          <cell r="AB178">
            <v>0</v>
          </cell>
          <cell r="AC178">
            <v>0</v>
          </cell>
          <cell r="AD178">
            <v>-11703</v>
          </cell>
          <cell r="AE178">
            <v>0</v>
          </cell>
          <cell r="AF178">
            <v>-11703</v>
          </cell>
        </row>
        <row r="179">
          <cell r="C179">
            <v>800</v>
          </cell>
          <cell r="D179">
            <v>86334</v>
          </cell>
          <cell r="E179">
            <v>168711</v>
          </cell>
          <cell r="F179">
            <v>261322</v>
          </cell>
          <cell r="G179">
            <v>356479</v>
          </cell>
          <cell r="H179">
            <v>453397</v>
          </cell>
          <cell r="I179">
            <v>551035</v>
          </cell>
          <cell r="J179">
            <v>654467</v>
          </cell>
          <cell r="K179">
            <v>752872</v>
          </cell>
          <cell r="L179">
            <v>856404</v>
          </cell>
          <cell r="M179">
            <v>950988</v>
          </cell>
          <cell r="N179">
            <v>1047609</v>
          </cell>
          <cell r="O179">
            <v>1106072</v>
          </cell>
        </row>
        <row r="180">
          <cell r="C180">
            <v>801</v>
          </cell>
          <cell r="E180">
            <v>75</v>
          </cell>
          <cell r="F180">
            <v>84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38</v>
          </cell>
          <cell r="R180">
            <v>53</v>
          </cell>
          <cell r="S180">
            <v>40</v>
          </cell>
          <cell r="T180">
            <v>32</v>
          </cell>
          <cell r="U180">
            <v>27</v>
          </cell>
          <cell r="V180">
            <v>23</v>
          </cell>
          <cell r="W180">
            <v>20</v>
          </cell>
          <cell r="X180">
            <v>18</v>
          </cell>
          <cell r="Y180">
            <v>16</v>
          </cell>
          <cell r="Z180">
            <v>14</v>
          </cell>
          <cell r="AA180">
            <v>13</v>
          </cell>
        </row>
        <row r="181">
          <cell r="C181">
            <v>802</v>
          </cell>
          <cell r="D181">
            <v>107230</v>
          </cell>
          <cell r="E181">
            <v>213227</v>
          </cell>
          <cell r="F181">
            <v>319666</v>
          </cell>
          <cell r="G181">
            <v>431931</v>
          </cell>
          <cell r="H181">
            <v>548626</v>
          </cell>
          <cell r="I181">
            <v>655811</v>
          </cell>
          <cell r="J181">
            <v>779081</v>
          </cell>
          <cell r="K181">
            <v>884190</v>
          </cell>
          <cell r="L181">
            <v>1003975</v>
          </cell>
          <cell r="M181">
            <v>1117502</v>
          </cell>
          <cell r="N181">
            <v>1235949</v>
          </cell>
          <cell r="O181">
            <v>1365770</v>
          </cell>
        </row>
        <row r="182">
          <cell r="D182">
            <v>107230</v>
          </cell>
          <cell r="E182">
            <v>105997</v>
          </cell>
          <cell r="F182">
            <v>106439</v>
          </cell>
          <cell r="G182">
            <v>112265</v>
          </cell>
          <cell r="H182">
            <v>116695</v>
          </cell>
          <cell r="I182">
            <v>107185</v>
          </cell>
          <cell r="J182">
            <v>123270</v>
          </cell>
          <cell r="K182">
            <v>105109</v>
          </cell>
          <cell r="L182">
            <v>119785</v>
          </cell>
          <cell r="M182">
            <v>113527</v>
          </cell>
          <cell r="N182">
            <v>118447</v>
          </cell>
          <cell r="O182">
            <v>129821</v>
          </cell>
        </row>
        <row r="183">
          <cell r="C183">
            <v>803</v>
          </cell>
          <cell r="E183">
            <v>107</v>
          </cell>
          <cell r="F183">
            <v>108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54</v>
          </cell>
          <cell r="R183">
            <v>72</v>
          </cell>
          <cell r="S183">
            <v>54</v>
          </cell>
          <cell r="T183">
            <v>43</v>
          </cell>
          <cell r="U183">
            <v>36</v>
          </cell>
          <cell r="V183">
            <v>31</v>
          </cell>
          <cell r="W183">
            <v>27</v>
          </cell>
          <cell r="X183">
            <v>24</v>
          </cell>
          <cell r="Y183">
            <v>22</v>
          </cell>
          <cell r="Z183">
            <v>20</v>
          </cell>
          <cell r="AA183">
            <v>18</v>
          </cell>
        </row>
        <row r="184">
          <cell r="C184">
            <v>804</v>
          </cell>
          <cell r="D184">
            <v>52645</v>
          </cell>
          <cell r="E184">
            <v>100981</v>
          </cell>
          <cell r="F184">
            <v>157201</v>
          </cell>
          <cell r="G184">
            <v>217855</v>
          </cell>
          <cell r="H184">
            <v>268666</v>
          </cell>
          <cell r="I184">
            <v>313450</v>
          </cell>
          <cell r="J184">
            <v>367600</v>
          </cell>
          <cell r="K184">
            <v>420214</v>
          </cell>
          <cell r="L184">
            <v>466572</v>
          </cell>
          <cell r="M184">
            <v>522930</v>
          </cell>
          <cell r="N184">
            <v>572468</v>
          </cell>
          <cell r="O184">
            <v>624449</v>
          </cell>
        </row>
        <row r="185">
          <cell r="C185">
            <v>805</v>
          </cell>
          <cell r="E185">
            <v>116</v>
          </cell>
          <cell r="F185">
            <v>135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58</v>
          </cell>
          <cell r="R185">
            <v>84</v>
          </cell>
          <cell r="S185">
            <v>63</v>
          </cell>
          <cell r="T185">
            <v>50</v>
          </cell>
          <cell r="U185">
            <v>42</v>
          </cell>
          <cell r="V185">
            <v>36</v>
          </cell>
          <cell r="W185">
            <v>31</v>
          </cell>
          <cell r="X185">
            <v>28</v>
          </cell>
          <cell r="Y185">
            <v>25</v>
          </cell>
          <cell r="Z185">
            <v>23</v>
          </cell>
          <cell r="AA185">
            <v>21</v>
          </cell>
        </row>
        <row r="186">
          <cell r="D186">
            <v>0</v>
          </cell>
          <cell r="E186">
            <v>65</v>
          </cell>
          <cell r="F186">
            <v>3052</v>
          </cell>
          <cell r="G186">
            <v>3052</v>
          </cell>
          <cell r="H186">
            <v>3052</v>
          </cell>
          <cell r="I186">
            <v>3340</v>
          </cell>
          <cell r="J186">
            <v>3340</v>
          </cell>
          <cell r="K186">
            <v>3340</v>
          </cell>
          <cell r="L186">
            <v>3377</v>
          </cell>
          <cell r="M186">
            <v>3377</v>
          </cell>
          <cell r="N186">
            <v>3377</v>
          </cell>
          <cell r="O186">
            <v>6632</v>
          </cell>
        </row>
        <row r="187">
          <cell r="D187">
            <v>803</v>
          </cell>
          <cell r="E187">
            <v>1649</v>
          </cell>
          <cell r="F187">
            <v>971</v>
          </cell>
          <cell r="G187">
            <v>1893</v>
          </cell>
          <cell r="H187">
            <v>2392</v>
          </cell>
          <cell r="I187">
            <v>3198</v>
          </cell>
          <cell r="J187">
            <v>4006</v>
          </cell>
          <cell r="K187">
            <v>5046</v>
          </cell>
          <cell r="L187">
            <v>4705</v>
          </cell>
          <cell r="M187">
            <v>5569</v>
          </cell>
          <cell r="N187">
            <v>6296</v>
          </cell>
          <cell r="O187">
            <v>8754</v>
          </cell>
        </row>
        <row r="188">
          <cell r="D188">
            <v>1210</v>
          </cell>
          <cell r="E188">
            <v>1875</v>
          </cell>
          <cell r="F188">
            <v>2652</v>
          </cell>
          <cell r="G188">
            <v>3330</v>
          </cell>
          <cell r="H188">
            <v>4058</v>
          </cell>
          <cell r="I188">
            <v>4517</v>
          </cell>
          <cell r="J188">
            <v>5006</v>
          </cell>
          <cell r="K188">
            <v>5816</v>
          </cell>
          <cell r="L188">
            <v>9927</v>
          </cell>
          <cell r="M188">
            <v>10574</v>
          </cell>
          <cell r="N188">
            <v>11338</v>
          </cell>
          <cell r="O188">
            <v>14914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Balance Sheet2"/>
      <sheetName val="Monthly_Reports"/>
      <sheetName val="Income Statement"/>
      <sheetName val="Explicaciones"/>
      <sheetName val="Valores"/>
      <sheetName val="Balance Sheet"/>
      <sheetName val="Grafico"/>
      <sheetName val="Quarterly_Reports"/>
      <sheetName val="Actual"/>
      <sheetName val="Forecast"/>
      <sheetName val="Last_Year"/>
      <sheetName val="key Indicators"/>
      <sheetName val="Budget"/>
      <sheetName val="Op_Bal"/>
      <sheetName val="Module1"/>
      <sheetName val="Monthreps"/>
      <sheetName val="Qtrreps"/>
      <sheetName val="Rollreps"/>
    </sheetNames>
    <sheetDataSet>
      <sheetData sheetId="0">
        <row r="4">
          <cell r="B4">
            <v>12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C3">
            <v>0</v>
          </cell>
          <cell r="D3" t="str">
            <v>Jan - Ytd</v>
          </cell>
          <cell r="E3" t="str">
            <v>Feb - Ytd</v>
          </cell>
          <cell r="F3" t="str">
            <v>Mar - Ytd</v>
          </cell>
          <cell r="G3" t="str">
            <v>Apr - Ytd</v>
          </cell>
          <cell r="H3" t="str">
            <v>May -Ytd</v>
          </cell>
          <cell r="I3" t="str">
            <v>Jun -Ytd</v>
          </cell>
          <cell r="J3" t="str">
            <v>Jul - Ytd</v>
          </cell>
          <cell r="K3" t="str">
            <v>Aug - Ytd</v>
          </cell>
          <cell r="L3" t="str">
            <v>Sep - Ytd</v>
          </cell>
          <cell r="M3" t="str">
            <v>Oct - Ytd</v>
          </cell>
          <cell r="N3" t="str">
            <v>Nov - Ytd</v>
          </cell>
          <cell r="O3" t="str">
            <v>Dec -Ytd</v>
          </cell>
          <cell r="P3" t="str">
            <v>Jan 08</v>
          </cell>
          <cell r="Q3" t="str">
            <v>Feb 08</v>
          </cell>
          <cell r="R3" t="str">
            <v>Mar 08</v>
          </cell>
          <cell r="S3" t="str">
            <v>Apr 08</v>
          </cell>
          <cell r="T3" t="str">
            <v>May 08</v>
          </cell>
          <cell r="U3" t="str">
            <v>Jun 08</v>
          </cell>
          <cell r="V3" t="str">
            <v>Jul 08</v>
          </cell>
          <cell r="W3" t="str">
            <v>Aug 08</v>
          </cell>
          <cell r="X3" t="str">
            <v>Sep 08</v>
          </cell>
          <cell r="Y3" t="str">
            <v>Oct 08</v>
          </cell>
          <cell r="Z3" t="str">
            <v>Nov 08</v>
          </cell>
          <cell r="AA3" t="str">
            <v>Dec 08</v>
          </cell>
          <cell r="AB3" t="str">
            <v>Qtr 1</v>
          </cell>
          <cell r="AC3" t="str">
            <v>Qtr 2</v>
          </cell>
          <cell r="AD3" t="str">
            <v>Qtr 3</v>
          </cell>
          <cell r="AE3" t="str">
            <v>Qtr 4</v>
          </cell>
          <cell r="AF3" t="str">
            <v>Cur Qtr</v>
          </cell>
        </row>
        <row r="6">
          <cell r="C6">
            <v>200</v>
          </cell>
          <cell r="D6">
            <v>7648.3003600000011</v>
          </cell>
          <cell r="E6">
            <v>13481.637180000002</v>
          </cell>
          <cell r="F6">
            <v>17658.210290000003</v>
          </cell>
          <cell r="G6">
            <v>20280.647210000003</v>
          </cell>
          <cell r="H6">
            <v>25722</v>
          </cell>
          <cell r="I6">
            <v>29330</v>
          </cell>
          <cell r="J6">
            <v>33982</v>
          </cell>
          <cell r="K6">
            <v>36058</v>
          </cell>
          <cell r="L6">
            <v>38138.224240000003</v>
          </cell>
          <cell r="M6">
            <v>39584.576630000003</v>
          </cell>
          <cell r="N6">
            <v>41592.259450000005</v>
          </cell>
          <cell r="O6">
            <v>41936.644050000003</v>
          </cell>
          <cell r="P6">
            <v>7648.3003600000011</v>
          </cell>
          <cell r="Q6">
            <v>5833.3368200000004</v>
          </cell>
          <cell r="R6">
            <v>4176.5731100000012</v>
          </cell>
          <cell r="S6">
            <v>2622.4369200000001</v>
          </cell>
          <cell r="T6">
            <v>5441.3527899999972</v>
          </cell>
          <cell r="U6">
            <v>3608</v>
          </cell>
          <cell r="V6">
            <v>4652</v>
          </cell>
          <cell r="W6">
            <v>2076</v>
          </cell>
          <cell r="X6">
            <v>2080.2242400000032</v>
          </cell>
          <cell r="Y6">
            <v>1446.35239</v>
          </cell>
          <cell r="Z6">
            <v>2007.6828200000018</v>
          </cell>
          <cell r="AA6">
            <v>344.38459999999759</v>
          </cell>
          <cell r="AB6">
            <v>0</v>
          </cell>
          <cell r="AC6">
            <v>0</v>
          </cell>
          <cell r="AD6">
            <v>0</v>
          </cell>
          <cell r="AE6">
            <v>3798.4198099999994</v>
          </cell>
          <cell r="AF6">
            <v>3798.4198099999994</v>
          </cell>
        </row>
        <row r="7">
          <cell r="C7">
            <v>201</v>
          </cell>
          <cell r="D7">
            <v>3216.81648</v>
          </cell>
          <cell r="E7">
            <v>6795.2627400000001</v>
          </cell>
          <cell r="F7">
            <v>11130.48911</v>
          </cell>
          <cell r="G7">
            <v>14987.768530000001</v>
          </cell>
          <cell r="H7">
            <v>20472</v>
          </cell>
          <cell r="I7">
            <v>24823</v>
          </cell>
          <cell r="J7">
            <v>28686</v>
          </cell>
          <cell r="K7">
            <v>32841</v>
          </cell>
          <cell r="L7">
            <v>35754.878190000003</v>
          </cell>
          <cell r="M7">
            <v>38779.848310000001</v>
          </cell>
          <cell r="N7">
            <v>41641.46299</v>
          </cell>
          <cell r="O7">
            <v>43737.781459999998</v>
          </cell>
          <cell r="P7">
            <v>3216.81648</v>
          </cell>
          <cell r="Q7">
            <v>3578.4462600000002</v>
          </cell>
          <cell r="R7">
            <v>4335.2263700000003</v>
          </cell>
          <cell r="S7">
            <v>3857.2794200000008</v>
          </cell>
          <cell r="T7">
            <v>5484.2314699999988</v>
          </cell>
          <cell r="U7">
            <v>4351</v>
          </cell>
          <cell r="V7">
            <v>3863</v>
          </cell>
          <cell r="W7">
            <v>4155</v>
          </cell>
          <cell r="X7">
            <v>2913.8781900000031</v>
          </cell>
          <cell r="Y7">
            <v>3024.9701199999981</v>
          </cell>
          <cell r="Z7">
            <v>2861.6146799999988</v>
          </cell>
          <cell r="AA7">
            <v>2096.3184699999983</v>
          </cell>
          <cell r="AB7">
            <v>0</v>
          </cell>
          <cell r="AC7">
            <v>0</v>
          </cell>
          <cell r="AD7">
            <v>0</v>
          </cell>
          <cell r="AE7">
            <v>7982.9032699999952</v>
          </cell>
          <cell r="AF7">
            <v>7982.9032699999952</v>
          </cell>
        </row>
        <row r="8">
          <cell r="C8">
            <v>5</v>
          </cell>
          <cell r="D8">
            <v>86.445119999999989</v>
          </cell>
          <cell r="E8">
            <v>164.38642999999999</v>
          </cell>
          <cell r="F8">
            <v>264.60919999999999</v>
          </cell>
          <cell r="G8">
            <v>339.97755000000001</v>
          </cell>
          <cell r="H8">
            <v>411</v>
          </cell>
          <cell r="I8">
            <v>471</v>
          </cell>
          <cell r="J8">
            <v>532</v>
          </cell>
          <cell r="K8">
            <v>582</v>
          </cell>
          <cell r="L8">
            <v>815.79271000000006</v>
          </cell>
          <cell r="M8">
            <v>1044.1373100000001</v>
          </cell>
          <cell r="N8">
            <v>1253.3204500000002</v>
          </cell>
          <cell r="O8">
            <v>1449.5969200000002</v>
          </cell>
          <cell r="P8">
            <v>86.445119999999989</v>
          </cell>
          <cell r="Q8">
            <v>77.941310000000001</v>
          </cell>
          <cell r="R8">
            <v>100.22277</v>
          </cell>
          <cell r="S8">
            <v>75.368350000000021</v>
          </cell>
          <cell r="T8">
            <v>71.022449999999992</v>
          </cell>
          <cell r="U8">
            <v>60</v>
          </cell>
          <cell r="V8">
            <v>61</v>
          </cell>
          <cell r="W8">
            <v>50</v>
          </cell>
          <cell r="X8">
            <v>233.79271000000006</v>
          </cell>
          <cell r="Y8">
            <v>228.34460000000001</v>
          </cell>
          <cell r="Z8">
            <v>209.18314000000009</v>
          </cell>
          <cell r="AA8">
            <v>196.27647000000002</v>
          </cell>
          <cell r="AB8">
            <v>0</v>
          </cell>
          <cell r="AC8">
            <v>0</v>
          </cell>
          <cell r="AD8">
            <v>0</v>
          </cell>
          <cell r="AE8">
            <v>633.80421000000013</v>
          </cell>
          <cell r="AF8">
            <v>633.80421000000013</v>
          </cell>
        </row>
        <row r="9">
          <cell r="C9">
            <v>6</v>
          </cell>
          <cell r="D9">
            <v>2.0983400000000003</v>
          </cell>
          <cell r="E9">
            <v>7.8279899999999998</v>
          </cell>
          <cell r="F9">
            <v>44.248159999999999</v>
          </cell>
          <cell r="G9">
            <v>67.482759999999999</v>
          </cell>
          <cell r="H9">
            <v>88</v>
          </cell>
          <cell r="I9">
            <v>95</v>
          </cell>
          <cell r="J9">
            <v>102</v>
          </cell>
          <cell r="K9">
            <v>119</v>
          </cell>
          <cell r="L9">
            <v>123.14264999999999</v>
          </cell>
          <cell r="M9">
            <v>124.39908999999999</v>
          </cell>
          <cell r="N9">
            <v>271.58717999999999</v>
          </cell>
          <cell r="O9">
            <v>284.68196</v>
          </cell>
          <cell r="P9">
            <v>2.0983400000000003</v>
          </cell>
          <cell r="Q9">
            <v>5.7296499999999995</v>
          </cell>
          <cell r="R9">
            <v>36.420169999999999</v>
          </cell>
          <cell r="S9">
            <v>23.2346</v>
          </cell>
          <cell r="T9">
            <v>20.517240000000001</v>
          </cell>
          <cell r="U9">
            <v>7</v>
          </cell>
          <cell r="V9">
            <v>7</v>
          </cell>
          <cell r="W9">
            <v>17</v>
          </cell>
          <cell r="X9">
            <v>4.1426499999999891</v>
          </cell>
          <cell r="Y9">
            <v>1.2564399999999978</v>
          </cell>
          <cell r="Z9">
            <v>147.18808999999999</v>
          </cell>
          <cell r="AA9">
            <v>13.094780000000014</v>
          </cell>
          <cell r="AB9">
            <v>0</v>
          </cell>
          <cell r="AC9">
            <v>0</v>
          </cell>
          <cell r="AD9">
            <v>0</v>
          </cell>
          <cell r="AE9">
            <v>161.53931</v>
          </cell>
          <cell r="AF9">
            <v>161.53931</v>
          </cell>
        </row>
        <row r="10">
          <cell r="C10">
            <v>7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C11">
            <v>8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C12">
            <v>9</v>
          </cell>
          <cell r="D12">
            <v>-3864.90479</v>
          </cell>
          <cell r="E12">
            <v>-5438.0334700000003</v>
          </cell>
          <cell r="F12">
            <v>-3701.8972800000001</v>
          </cell>
          <cell r="G12">
            <v>-2584.8258900000001</v>
          </cell>
          <cell r="H12">
            <v>-1459</v>
          </cell>
          <cell r="I12">
            <v>-1526</v>
          </cell>
          <cell r="J12">
            <v>-1566</v>
          </cell>
          <cell r="K12">
            <v>-1520</v>
          </cell>
          <cell r="L12">
            <v>-1370.4782199999997</v>
          </cell>
          <cell r="M12">
            <v>3167.6234800000002</v>
          </cell>
          <cell r="N12">
            <v>4731.6704600000003</v>
          </cell>
          <cell r="O12">
            <v>4548.0512500000004</v>
          </cell>
          <cell r="P12">
            <v>-3864.90479</v>
          </cell>
          <cell r="Q12">
            <v>-1573.1286800000003</v>
          </cell>
          <cell r="R12">
            <v>1736.1361900000002</v>
          </cell>
          <cell r="S12">
            <v>1117.0713900000001</v>
          </cell>
          <cell r="T12">
            <v>1125.8258900000001</v>
          </cell>
          <cell r="U12">
            <v>-67</v>
          </cell>
          <cell r="V12">
            <v>-40</v>
          </cell>
          <cell r="W12">
            <v>46</v>
          </cell>
          <cell r="X12">
            <v>149.52178000000026</v>
          </cell>
          <cell r="Y12">
            <v>4538.1017000000002</v>
          </cell>
          <cell r="Z12">
            <v>1564.0469800000001</v>
          </cell>
          <cell r="AA12">
            <v>-183.61920999999984</v>
          </cell>
          <cell r="AB12">
            <v>0</v>
          </cell>
          <cell r="AC12">
            <v>0</v>
          </cell>
          <cell r="AD12">
            <v>0</v>
          </cell>
          <cell r="AE12">
            <v>5918.5294700000004</v>
          </cell>
          <cell r="AF12">
            <v>5918.5294700000004</v>
          </cell>
        </row>
        <row r="13">
          <cell r="C13">
            <v>10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</row>
        <row r="14">
          <cell r="C14">
            <v>11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C15">
            <v>12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6">
          <cell r="C16">
            <v>13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C17">
            <v>14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C18">
            <v>15</v>
          </cell>
          <cell r="D18">
            <v>-606.56500000000005</v>
          </cell>
          <cell r="E18">
            <v>-533.09800000000007</v>
          </cell>
          <cell r="F18">
            <v>86.536999999999921</v>
          </cell>
          <cell r="G18">
            <v>306.76899999999989</v>
          </cell>
          <cell r="H18">
            <v>1417</v>
          </cell>
          <cell r="I18">
            <v>1569</v>
          </cell>
          <cell r="J18">
            <v>1761</v>
          </cell>
          <cell r="K18">
            <v>1778</v>
          </cell>
          <cell r="L18">
            <v>1736.1559999999997</v>
          </cell>
          <cell r="M18">
            <v>3011.9609999999998</v>
          </cell>
          <cell r="N18">
            <v>3465.2109999999998</v>
          </cell>
          <cell r="O18">
            <v>3190.7049999999999</v>
          </cell>
          <cell r="P18">
            <v>-606.56500000000005</v>
          </cell>
          <cell r="Q18">
            <v>73.466999999999985</v>
          </cell>
          <cell r="R18">
            <v>619.63499999999999</v>
          </cell>
          <cell r="S18">
            <v>220.23199999999997</v>
          </cell>
          <cell r="T18">
            <v>1110.2310000000002</v>
          </cell>
          <cell r="U18">
            <v>152</v>
          </cell>
          <cell r="V18">
            <v>192</v>
          </cell>
          <cell r="W18">
            <v>17</v>
          </cell>
          <cell r="X18">
            <v>-41.844000000000278</v>
          </cell>
          <cell r="Y18">
            <v>1275.8050000000001</v>
          </cell>
          <cell r="Z18">
            <v>453.25</v>
          </cell>
          <cell r="AA18">
            <v>-274.50599999999986</v>
          </cell>
          <cell r="AB18">
            <v>0</v>
          </cell>
          <cell r="AC18">
            <v>0</v>
          </cell>
          <cell r="AD18">
            <v>0</v>
          </cell>
          <cell r="AE18">
            <v>1454.5490000000002</v>
          </cell>
          <cell r="AF18">
            <v>1454.5490000000002</v>
          </cell>
        </row>
        <row r="19">
          <cell r="C19">
            <v>16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C20">
            <v>17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3">
          <cell r="C23">
            <v>19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C24">
            <v>20</v>
          </cell>
          <cell r="D24">
            <v>104</v>
          </cell>
          <cell r="E24">
            <v>103</v>
          </cell>
          <cell r="F24">
            <v>104</v>
          </cell>
          <cell r="G24">
            <v>100</v>
          </cell>
          <cell r="H24">
            <v>98</v>
          </cell>
          <cell r="I24">
            <v>98</v>
          </cell>
          <cell r="J24">
            <v>90</v>
          </cell>
          <cell r="K24">
            <v>106</v>
          </cell>
          <cell r="L24">
            <v>106</v>
          </cell>
          <cell r="M24">
            <v>80</v>
          </cell>
          <cell r="N24">
            <v>82</v>
          </cell>
          <cell r="O24">
            <v>82</v>
          </cell>
          <cell r="P24">
            <v>104</v>
          </cell>
          <cell r="Q24">
            <v>103</v>
          </cell>
          <cell r="R24">
            <v>104</v>
          </cell>
          <cell r="S24">
            <v>100</v>
          </cell>
          <cell r="T24">
            <v>98</v>
          </cell>
          <cell r="U24">
            <v>98</v>
          </cell>
          <cell r="V24">
            <v>106</v>
          </cell>
          <cell r="W24">
            <v>106</v>
          </cell>
          <cell r="X24">
            <v>106</v>
          </cell>
          <cell r="Y24">
            <v>80</v>
          </cell>
          <cell r="Z24">
            <v>82</v>
          </cell>
          <cell r="AA24">
            <v>82</v>
          </cell>
        </row>
        <row r="25">
          <cell r="C25">
            <v>21</v>
          </cell>
          <cell r="D25">
            <v>16</v>
          </cell>
          <cell r="E25">
            <v>19</v>
          </cell>
          <cell r="F25">
            <v>18</v>
          </cell>
          <cell r="G25">
            <v>19</v>
          </cell>
          <cell r="H25">
            <v>19</v>
          </cell>
          <cell r="I25">
            <v>19</v>
          </cell>
          <cell r="J25">
            <v>19</v>
          </cell>
          <cell r="K25">
            <v>17</v>
          </cell>
          <cell r="L25">
            <v>17</v>
          </cell>
          <cell r="M25">
            <v>19</v>
          </cell>
          <cell r="N25">
            <v>18</v>
          </cell>
          <cell r="O25">
            <v>18</v>
          </cell>
          <cell r="P25">
            <v>16</v>
          </cell>
          <cell r="Q25">
            <v>19</v>
          </cell>
          <cell r="R25">
            <v>18</v>
          </cell>
          <cell r="S25">
            <v>19</v>
          </cell>
          <cell r="T25">
            <v>19</v>
          </cell>
          <cell r="U25">
            <v>19</v>
          </cell>
          <cell r="V25">
            <v>17</v>
          </cell>
          <cell r="W25">
            <v>17</v>
          </cell>
          <cell r="X25">
            <v>17</v>
          </cell>
          <cell r="Y25">
            <v>19</v>
          </cell>
          <cell r="Z25">
            <v>18</v>
          </cell>
          <cell r="AA25">
            <v>18</v>
          </cell>
        </row>
        <row r="28">
          <cell r="C28">
            <v>22</v>
          </cell>
          <cell r="D28">
            <v>3885.26253</v>
          </cell>
          <cell r="E28">
            <v>972.89819999999997</v>
          </cell>
          <cell r="F28">
            <v>2581.3540800000001</v>
          </cell>
          <cell r="G28">
            <v>3078.10556</v>
          </cell>
          <cell r="H28">
            <v>920</v>
          </cell>
          <cell r="I28">
            <v>3217</v>
          </cell>
          <cell r="J28">
            <v>1586</v>
          </cell>
          <cell r="K28">
            <v>737</v>
          </cell>
          <cell r="L28">
            <v>1143.91608</v>
          </cell>
          <cell r="M28">
            <v>1309.9819299999999</v>
          </cell>
          <cell r="N28">
            <v>1363.80528</v>
          </cell>
          <cell r="O28">
            <v>1546.65897</v>
          </cell>
          <cell r="P28">
            <v>3885.26253</v>
          </cell>
          <cell r="Q28">
            <v>972.89819999999997</v>
          </cell>
          <cell r="R28">
            <v>2581.3540800000001</v>
          </cell>
          <cell r="S28">
            <v>3078.10556</v>
          </cell>
          <cell r="T28">
            <v>920</v>
          </cell>
          <cell r="U28">
            <v>3217</v>
          </cell>
          <cell r="V28">
            <v>1586</v>
          </cell>
          <cell r="W28">
            <v>737</v>
          </cell>
          <cell r="X28">
            <v>1143.91608</v>
          </cell>
          <cell r="Y28">
            <v>1309.9819299999999</v>
          </cell>
          <cell r="Z28">
            <v>1363.80528</v>
          </cell>
          <cell r="AA28">
            <v>1546.65897</v>
          </cell>
        </row>
        <row r="29">
          <cell r="C29">
            <v>23</v>
          </cell>
          <cell r="D29">
            <v>9011.3958000000002</v>
          </cell>
          <cell r="E29">
            <v>9084.4193799999994</v>
          </cell>
          <cell r="F29">
            <v>7199.952839999999</v>
          </cell>
          <cell r="G29">
            <v>5259.4105799999988</v>
          </cell>
          <cell r="H29">
            <v>5597</v>
          </cell>
          <cell r="I29">
            <v>3868</v>
          </cell>
          <cell r="J29">
            <v>6215</v>
          </cell>
          <cell r="K29">
            <v>4635</v>
          </cell>
          <cell r="L29">
            <v>4765.340400000001</v>
          </cell>
          <cell r="M29">
            <v>3677.0319800000011</v>
          </cell>
          <cell r="N29">
            <v>4776.4958799999995</v>
          </cell>
          <cell r="O29">
            <v>3673.3462099999997</v>
          </cell>
          <cell r="P29">
            <v>9011.3958000000002</v>
          </cell>
          <cell r="Q29">
            <v>9084.4193799999994</v>
          </cell>
          <cell r="R29">
            <v>7199.952839999999</v>
          </cell>
          <cell r="S29">
            <v>5259.4105799999988</v>
          </cell>
          <cell r="T29">
            <v>5597</v>
          </cell>
          <cell r="U29">
            <v>3868</v>
          </cell>
          <cell r="V29">
            <v>6215</v>
          </cell>
          <cell r="W29">
            <v>4635</v>
          </cell>
          <cell r="X29">
            <v>4765.340400000001</v>
          </cell>
          <cell r="Y29">
            <v>3677.0319800000011</v>
          </cell>
          <cell r="Z29">
            <v>4776.4958799999995</v>
          </cell>
          <cell r="AA29">
            <v>3673.3462099999997</v>
          </cell>
        </row>
        <row r="30">
          <cell r="C30">
            <v>24</v>
          </cell>
          <cell r="D30">
            <v>616.83267999991222</v>
          </cell>
          <cell r="E30">
            <v>3313.6912899999879</v>
          </cell>
          <cell r="F30">
            <v>6410.8244599999962</v>
          </cell>
          <cell r="G30">
            <v>5569.4825899999632</v>
          </cell>
          <cell r="H30">
            <v>12884</v>
          </cell>
          <cell r="I30">
            <v>19151</v>
          </cell>
          <cell r="J30">
            <v>23369</v>
          </cell>
          <cell r="K30">
            <v>27050</v>
          </cell>
          <cell r="L30">
            <v>28041.881889999975</v>
          </cell>
          <cell r="M30">
            <v>32625.745919999958</v>
          </cell>
          <cell r="N30">
            <v>34478.026129999998</v>
          </cell>
          <cell r="O30">
            <v>33391.942570000036</v>
          </cell>
          <cell r="P30">
            <v>616.83267999991222</v>
          </cell>
          <cell r="Q30">
            <v>3313.6912899999879</v>
          </cell>
          <cell r="R30">
            <v>6410.8244599999962</v>
          </cell>
          <cell r="S30">
            <v>5569.4825899999632</v>
          </cell>
          <cell r="T30">
            <v>12884</v>
          </cell>
          <cell r="U30">
            <v>19151</v>
          </cell>
          <cell r="V30">
            <v>23369</v>
          </cell>
          <cell r="W30">
            <v>27050</v>
          </cell>
          <cell r="X30">
            <v>28041.881889999975</v>
          </cell>
          <cell r="Y30">
            <v>32625.745919999958</v>
          </cell>
          <cell r="Z30">
            <v>34478.026129999998</v>
          </cell>
          <cell r="AA30">
            <v>33391.942570000036</v>
          </cell>
        </row>
        <row r="31">
          <cell r="C31">
            <v>25</v>
          </cell>
          <cell r="D31">
            <v>21.614470000028611</v>
          </cell>
          <cell r="E31">
            <v>76.2756400000155</v>
          </cell>
          <cell r="F31">
            <v>51.439050000011918</v>
          </cell>
          <cell r="G31">
            <v>66.699740000039341</v>
          </cell>
          <cell r="H31">
            <v>18</v>
          </cell>
          <cell r="I31">
            <v>22</v>
          </cell>
          <cell r="J31">
            <v>56</v>
          </cell>
          <cell r="K31">
            <v>28</v>
          </cell>
          <cell r="L31">
            <v>50.051589999973771</v>
          </cell>
          <cell r="M31">
            <v>162.57554000002145</v>
          </cell>
          <cell r="N31">
            <v>33.508689999997614</v>
          </cell>
          <cell r="O31">
            <v>24.665590000003576</v>
          </cell>
          <cell r="P31">
            <v>21.614470000028611</v>
          </cell>
          <cell r="Q31">
            <v>76.2756400000155</v>
          </cell>
          <cell r="R31">
            <v>51.439050000011918</v>
          </cell>
          <cell r="S31">
            <v>66.699740000039341</v>
          </cell>
          <cell r="T31">
            <v>18</v>
          </cell>
          <cell r="U31">
            <v>22</v>
          </cell>
          <cell r="V31">
            <v>56</v>
          </cell>
          <cell r="W31">
            <v>28</v>
          </cell>
          <cell r="X31">
            <v>50.051589999973771</v>
          </cell>
          <cell r="Y31">
            <v>162.57554000002145</v>
          </cell>
          <cell r="Z31">
            <v>33.508689999997614</v>
          </cell>
          <cell r="AA31">
            <v>24.665590000003576</v>
          </cell>
        </row>
        <row r="32">
          <cell r="C32">
            <v>26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C33">
            <v>27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C34">
            <v>166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C35">
            <v>28</v>
          </cell>
          <cell r="D35">
            <v>9926.2171999999991</v>
          </cell>
          <cell r="E35">
            <v>10133.39386</v>
          </cell>
          <cell r="F35">
            <v>10735.19039</v>
          </cell>
          <cell r="G35">
            <v>10454.31007</v>
          </cell>
          <cell r="H35">
            <v>8962</v>
          </cell>
          <cell r="I35">
            <v>7198</v>
          </cell>
          <cell r="J35">
            <v>5846</v>
          </cell>
          <cell r="K35">
            <v>4399</v>
          </cell>
          <cell r="L35">
            <v>3489.03728</v>
          </cell>
          <cell r="M35">
            <v>3728.18354</v>
          </cell>
          <cell r="N35">
            <v>3830.0397200000002</v>
          </cell>
          <cell r="O35">
            <v>4878.3791600000004</v>
          </cell>
          <cell r="P35">
            <v>9926.2171999999991</v>
          </cell>
          <cell r="Q35">
            <v>10133.39386</v>
          </cell>
          <cell r="R35">
            <v>10735.19039</v>
          </cell>
          <cell r="S35">
            <v>10454.31007</v>
          </cell>
          <cell r="T35">
            <v>8962</v>
          </cell>
          <cell r="U35">
            <v>7198</v>
          </cell>
          <cell r="V35">
            <v>5846</v>
          </cell>
          <cell r="W35">
            <v>4399</v>
          </cell>
          <cell r="X35">
            <v>3489.03728</v>
          </cell>
          <cell r="Y35">
            <v>3728.18354</v>
          </cell>
          <cell r="Z35">
            <v>3830.0397200000002</v>
          </cell>
          <cell r="AA35">
            <v>4878.3791600000004</v>
          </cell>
        </row>
        <row r="36">
          <cell r="C36">
            <v>167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C37">
            <v>29</v>
          </cell>
          <cell r="D37">
            <v>-44.016390000000001</v>
          </cell>
          <cell r="E37">
            <v>-44.016390000000001</v>
          </cell>
          <cell r="F37">
            <v>-44.016390000000001</v>
          </cell>
          <cell r="G37">
            <v>-44.016390000000001</v>
          </cell>
          <cell r="H37">
            <v>-44</v>
          </cell>
          <cell r="I37">
            <v>-44</v>
          </cell>
          <cell r="J37">
            <v>-44</v>
          </cell>
          <cell r="K37">
            <v>-44</v>
          </cell>
          <cell r="L37">
            <v>-44.016390000000001</v>
          </cell>
          <cell r="M37">
            <v>-44.016390000000001</v>
          </cell>
          <cell r="N37">
            <v>-44.016390000000001</v>
          </cell>
          <cell r="O37">
            <v>-44.016390000000001</v>
          </cell>
          <cell r="P37">
            <v>-44.016390000000001</v>
          </cell>
          <cell r="Q37">
            <v>-44.016390000000001</v>
          </cell>
          <cell r="R37">
            <v>-44.016390000000001</v>
          </cell>
          <cell r="S37">
            <v>-44.016390000000001</v>
          </cell>
          <cell r="T37">
            <v>-44</v>
          </cell>
          <cell r="U37">
            <v>-44</v>
          </cell>
          <cell r="V37">
            <v>-44</v>
          </cell>
          <cell r="W37">
            <v>-44</v>
          </cell>
          <cell r="X37">
            <v>-44.016390000000001</v>
          </cell>
          <cell r="Y37">
            <v>-44.016390000000001</v>
          </cell>
          <cell r="Z37">
            <v>-44.016390000000001</v>
          </cell>
          <cell r="AA37">
            <v>-44.016390000000001</v>
          </cell>
        </row>
        <row r="38">
          <cell r="C38">
            <v>168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C39">
            <v>30</v>
          </cell>
          <cell r="D39">
            <v>10166.743410000001</v>
          </cell>
          <cell r="E39">
            <v>10069.235520000002</v>
          </cell>
          <cell r="F39">
            <v>10130.568790000001</v>
          </cell>
          <cell r="G39">
            <v>9159.5184300000001</v>
          </cell>
          <cell r="H39">
            <v>10045</v>
          </cell>
          <cell r="I39">
            <v>4278</v>
          </cell>
          <cell r="J39">
            <v>2573</v>
          </cell>
          <cell r="K39">
            <v>2546</v>
          </cell>
          <cell r="L39">
            <v>2398.7897499999999</v>
          </cell>
          <cell r="M39">
            <v>3805.7535800000001</v>
          </cell>
          <cell r="N39">
            <v>3261.5279399999999</v>
          </cell>
          <cell r="O39">
            <v>1615.4448799999998</v>
          </cell>
          <cell r="P39">
            <v>10166.743410000001</v>
          </cell>
          <cell r="Q39">
            <v>10069.235520000002</v>
          </cell>
          <cell r="R39">
            <v>10130.568790000001</v>
          </cell>
          <cell r="S39">
            <v>9159.5184300000001</v>
          </cell>
          <cell r="T39">
            <v>10045</v>
          </cell>
          <cell r="U39">
            <v>4278</v>
          </cell>
          <cell r="V39">
            <v>2573</v>
          </cell>
          <cell r="W39">
            <v>2546</v>
          </cell>
          <cell r="X39">
            <v>2398.7897499999999</v>
          </cell>
          <cell r="Y39">
            <v>3805.7535800000001</v>
          </cell>
          <cell r="Z39">
            <v>3261.5279399999999</v>
          </cell>
          <cell r="AA39">
            <v>1615.4448799999998</v>
          </cell>
        </row>
        <row r="40">
          <cell r="C40">
            <v>31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C41">
            <v>32</v>
          </cell>
          <cell r="D41">
            <v>135387.38356000002</v>
          </cell>
          <cell r="E41">
            <v>135387.38356000002</v>
          </cell>
          <cell r="F41">
            <v>135399.68017000001</v>
          </cell>
          <cell r="G41">
            <v>136566.20223000002</v>
          </cell>
          <cell r="H41">
            <v>136566</v>
          </cell>
          <cell r="I41">
            <v>136566</v>
          </cell>
          <cell r="J41">
            <v>136566</v>
          </cell>
          <cell r="K41">
            <v>136588</v>
          </cell>
          <cell r="L41">
            <v>136597.82647</v>
          </cell>
          <cell r="M41">
            <v>136921.04167000001</v>
          </cell>
          <cell r="N41">
            <v>136921.04167000001</v>
          </cell>
          <cell r="O41">
            <v>138023.29141000001</v>
          </cell>
          <cell r="P41">
            <v>135387.38356000002</v>
          </cell>
          <cell r="Q41">
            <v>135387.38356000002</v>
          </cell>
          <cell r="R41">
            <v>135399.68017000001</v>
          </cell>
          <cell r="S41">
            <v>136566.20223000002</v>
          </cell>
          <cell r="T41">
            <v>136566</v>
          </cell>
          <cell r="U41">
            <v>136566</v>
          </cell>
          <cell r="V41">
            <v>136566</v>
          </cell>
          <cell r="W41">
            <v>136588</v>
          </cell>
          <cell r="X41">
            <v>136597.82647</v>
          </cell>
          <cell r="Y41">
            <v>136921.04167000001</v>
          </cell>
          <cell r="Z41">
            <v>136921.04167000001</v>
          </cell>
          <cell r="AA41">
            <v>138023.29141000001</v>
          </cell>
        </row>
        <row r="42">
          <cell r="C42">
            <v>33</v>
          </cell>
          <cell r="D42">
            <v>1914.84818</v>
          </cell>
          <cell r="E42">
            <v>1914.84818</v>
          </cell>
          <cell r="F42">
            <v>1914.84818</v>
          </cell>
          <cell r="G42">
            <v>1914.84818</v>
          </cell>
          <cell r="H42">
            <v>1915</v>
          </cell>
          <cell r="I42">
            <v>1915</v>
          </cell>
          <cell r="J42">
            <v>1915</v>
          </cell>
          <cell r="K42">
            <v>1915</v>
          </cell>
          <cell r="L42">
            <v>1914.84818</v>
          </cell>
          <cell r="M42">
            <v>1914.84818</v>
          </cell>
          <cell r="N42">
            <v>1914.84818</v>
          </cell>
          <cell r="O42">
            <v>1914.84818</v>
          </cell>
          <cell r="P42">
            <v>1914.84818</v>
          </cell>
          <cell r="Q42">
            <v>1914.84818</v>
          </cell>
          <cell r="R42">
            <v>1914.84818</v>
          </cell>
          <cell r="S42">
            <v>1914.84818</v>
          </cell>
          <cell r="T42">
            <v>1915</v>
          </cell>
          <cell r="U42">
            <v>1915</v>
          </cell>
          <cell r="V42">
            <v>1915</v>
          </cell>
          <cell r="W42">
            <v>1915</v>
          </cell>
          <cell r="X42">
            <v>1914.84818</v>
          </cell>
          <cell r="Y42">
            <v>1914.84818</v>
          </cell>
          <cell r="Z42">
            <v>1914.84818</v>
          </cell>
          <cell r="AA42">
            <v>1914.84818</v>
          </cell>
        </row>
        <row r="43">
          <cell r="C43">
            <v>34</v>
          </cell>
          <cell r="D43">
            <v>113057.30658000002</v>
          </cell>
          <cell r="E43">
            <v>113288.73182</v>
          </cell>
          <cell r="F43">
            <v>113696.86086</v>
          </cell>
          <cell r="G43">
            <v>114105.34855</v>
          </cell>
          <cell r="H43">
            <v>114628</v>
          </cell>
          <cell r="I43">
            <v>115069</v>
          </cell>
          <cell r="J43">
            <v>115510</v>
          </cell>
          <cell r="K43">
            <v>115950</v>
          </cell>
          <cell r="L43">
            <v>116389.99446999999</v>
          </cell>
          <cell r="M43">
            <v>116829.33948000001</v>
          </cell>
          <cell r="N43">
            <v>117277.66259000001</v>
          </cell>
          <cell r="O43">
            <v>117629.32145999999</v>
          </cell>
          <cell r="P43">
            <v>113057.30658000002</v>
          </cell>
          <cell r="Q43">
            <v>113288.73182</v>
          </cell>
          <cell r="R43">
            <v>113696.86086</v>
          </cell>
          <cell r="S43">
            <v>114105.34855</v>
          </cell>
          <cell r="T43">
            <v>114628</v>
          </cell>
          <cell r="U43">
            <v>115069</v>
          </cell>
          <cell r="V43">
            <v>115510</v>
          </cell>
          <cell r="W43">
            <v>115950</v>
          </cell>
          <cell r="X43">
            <v>116389.99446999999</v>
          </cell>
          <cell r="Y43">
            <v>116829.33948000001</v>
          </cell>
          <cell r="Z43">
            <v>117277.66259000001</v>
          </cell>
          <cell r="AA43">
            <v>117629.32145999999</v>
          </cell>
        </row>
        <row r="44">
          <cell r="C44">
            <v>35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</row>
        <row r="45">
          <cell r="C45">
            <v>36</v>
          </cell>
          <cell r="D45">
            <v>13152.23977</v>
          </cell>
          <cell r="E45">
            <v>13078.77277</v>
          </cell>
          <cell r="F45">
            <v>12494.996710000001</v>
          </cell>
          <cell r="G45">
            <v>12470.47365</v>
          </cell>
          <cell r="H45">
            <v>12531</v>
          </cell>
          <cell r="I45">
            <v>12514</v>
          </cell>
          <cell r="J45">
            <v>12495</v>
          </cell>
          <cell r="K45">
            <v>12476</v>
          </cell>
          <cell r="L45">
            <v>12067.58641</v>
          </cell>
          <cell r="M45">
            <v>12049.78435</v>
          </cell>
          <cell r="N45">
            <v>12033.591289999998</v>
          </cell>
          <cell r="O45">
            <v>12012.577230000001</v>
          </cell>
          <cell r="P45">
            <v>13152.23977</v>
          </cell>
          <cell r="Q45">
            <v>13078.77277</v>
          </cell>
          <cell r="R45">
            <v>12494.996710000001</v>
          </cell>
          <cell r="S45">
            <v>12470.47365</v>
          </cell>
          <cell r="T45">
            <v>12531</v>
          </cell>
          <cell r="U45">
            <v>12514</v>
          </cell>
          <cell r="V45">
            <v>12495</v>
          </cell>
          <cell r="W45">
            <v>12476</v>
          </cell>
          <cell r="X45">
            <v>12067.58641</v>
          </cell>
          <cell r="Y45">
            <v>12049.78435</v>
          </cell>
          <cell r="Z45">
            <v>12033.591289999998</v>
          </cell>
          <cell r="AA45">
            <v>12012.577230000001</v>
          </cell>
        </row>
        <row r="46">
          <cell r="C46">
            <v>37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</row>
        <row r="47">
          <cell r="C47">
            <v>38</v>
          </cell>
          <cell r="D47">
            <v>5787.4999499999958</v>
          </cell>
          <cell r="E47">
            <v>5359.2893199999999</v>
          </cell>
          <cell r="F47">
            <v>5887.6468299999979</v>
          </cell>
          <cell r="G47">
            <v>2706.9656800000034</v>
          </cell>
          <cell r="H47">
            <v>2585</v>
          </cell>
          <cell r="I47">
            <v>1208</v>
          </cell>
          <cell r="J47">
            <v>1645</v>
          </cell>
          <cell r="K47">
            <v>707</v>
          </cell>
          <cell r="L47">
            <v>515.83574999999996</v>
          </cell>
          <cell r="M47">
            <v>1004.97993</v>
          </cell>
          <cell r="N47">
            <v>1686.6163599999998</v>
          </cell>
          <cell r="O47">
            <v>1404.2546200000002</v>
          </cell>
          <cell r="P47">
            <v>5787.4999499999958</v>
          </cell>
          <cell r="Q47">
            <v>5359.2893199999999</v>
          </cell>
          <cell r="R47">
            <v>5887.6468299999979</v>
          </cell>
          <cell r="S47">
            <v>2706.9656800000034</v>
          </cell>
          <cell r="T47">
            <v>2585</v>
          </cell>
          <cell r="U47">
            <v>1208</v>
          </cell>
          <cell r="V47">
            <v>1645</v>
          </cell>
          <cell r="W47">
            <v>707</v>
          </cell>
          <cell r="X47">
            <v>515.83574999999996</v>
          </cell>
          <cell r="Y47">
            <v>1004.97993</v>
          </cell>
          <cell r="Z47">
            <v>1686.6163599999998</v>
          </cell>
          <cell r="AA47">
            <v>1404.2546200000002</v>
          </cell>
        </row>
        <row r="48">
          <cell r="C48">
            <v>39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</row>
        <row r="49">
          <cell r="C49">
            <v>40</v>
          </cell>
          <cell r="D49">
            <v>1224.6755599999451</v>
          </cell>
          <cell r="E49">
            <v>1369.4523800000143</v>
          </cell>
          <cell r="F49">
            <v>1445.5190100000084</v>
          </cell>
          <cell r="G49">
            <v>1157.1531700000014</v>
          </cell>
          <cell r="H49">
            <v>1574</v>
          </cell>
          <cell r="I49">
            <v>1492</v>
          </cell>
          <cell r="J49">
            <v>1779</v>
          </cell>
          <cell r="K49">
            <v>1898</v>
          </cell>
          <cell r="L49">
            <v>2234.8696299999729</v>
          </cell>
          <cell r="M49">
            <v>2356.429619999969</v>
          </cell>
          <cell r="N49">
            <v>1955.099439999964</v>
          </cell>
          <cell r="O49">
            <v>1187.9456800000357</v>
          </cell>
          <cell r="P49">
            <v>1224.6755599999451</v>
          </cell>
          <cell r="Q49">
            <v>1369.4523800000143</v>
          </cell>
          <cell r="R49">
            <v>1445.5190100000084</v>
          </cell>
          <cell r="S49">
            <v>1157.1531700000014</v>
          </cell>
          <cell r="T49">
            <v>1574</v>
          </cell>
          <cell r="U49">
            <v>1492</v>
          </cell>
          <cell r="V49">
            <v>1779</v>
          </cell>
          <cell r="W49">
            <v>1898</v>
          </cell>
          <cell r="X49">
            <v>2234.8696299999729</v>
          </cell>
          <cell r="Y49">
            <v>2356.429619999969</v>
          </cell>
          <cell r="Z49">
            <v>1955.099439999964</v>
          </cell>
          <cell r="AA49">
            <v>1187.9456800000357</v>
          </cell>
        </row>
        <row r="50">
          <cell r="C50">
            <v>41</v>
          </cell>
          <cell r="D50">
            <v>-214.47200000000001</v>
          </cell>
          <cell r="E50">
            <v>-348.209</v>
          </cell>
          <cell r="F50">
            <v>-375.41199999999998</v>
          </cell>
          <cell r="G50">
            <v>-111.529</v>
          </cell>
          <cell r="H50">
            <v>982</v>
          </cell>
          <cell r="I50">
            <v>1085</v>
          </cell>
          <cell r="J50">
            <v>1258</v>
          </cell>
          <cell r="K50">
            <v>1267</v>
          </cell>
          <cell r="L50">
            <v>844.77300000000002</v>
          </cell>
          <cell r="M50">
            <v>2139.047</v>
          </cell>
          <cell r="N50">
            <v>2570.4369999999999</v>
          </cell>
          <cell r="O50">
            <v>2296.625</v>
          </cell>
          <cell r="P50">
            <v>-214.47200000000001</v>
          </cell>
          <cell r="Q50">
            <v>-348.209</v>
          </cell>
          <cell r="R50">
            <v>-375.41199999999998</v>
          </cell>
          <cell r="S50">
            <v>-111.529</v>
          </cell>
          <cell r="T50">
            <v>982</v>
          </cell>
          <cell r="U50">
            <v>1085</v>
          </cell>
          <cell r="V50">
            <v>1258</v>
          </cell>
          <cell r="W50">
            <v>1267</v>
          </cell>
          <cell r="X50">
            <v>844.77300000000002</v>
          </cell>
          <cell r="Y50">
            <v>2139.047</v>
          </cell>
          <cell r="Z50">
            <v>2570.4369999999999</v>
          </cell>
          <cell r="AA50">
            <v>2296.625</v>
          </cell>
        </row>
        <row r="51">
          <cell r="C51">
            <v>42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C52">
            <v>43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C53">
            <v>44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C54">
            <v>45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C55">
            <v>46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C56">
            <v>47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</row>
        <row r="57">
          <cell r="C57">
            <v>48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</row>
        <row r="58">
          <cell r="C58">
            <v>49</v>
          </cell>
          <cell r="D58">
            <v>413.09</v>
          </cell>
          <cell r="E58">
            <v>413.09</v>
          </cell>
          <cell r="F58">
            <v>436.839</v>
          </cell>
          <cell r="G58">
            <v>442.77600000000001</v>
          </cell>
          <cell r="H58">
            <v>449</v>
          </cell>
          <cell r="I58">
            <v>455</v>
          </cell>
          <cell r="J58">
            <v>461</v>
          </cell>
          <cell r="K58">
            <v>467</v>
          </cell>
          <cell r="L58">
            <v>472.46100000000001</v>
          </cell>
          <cell r="M58">
            <v>478.39800000000002</v>
          </cell>
          <cell r="N58">
            <v>484.33499999999998</v>
          </cell>
          <cell r="O58">
            <v>469.51600000000002</v>
          </cell>
          <cell r="P58">
            <v>413.09</v>
          </cell>
          <cell r="Q58">
            <v>413.09</v>
          </cell>
          <cell r="R58">
            <v>436.839</v>
          </cell>
          <cell r="S58">
            <v>442.77600000000001</v>
          </cell>
          <cell r="T58">
            <v>449</v>
          </cell>
          <cell r="U58">
            <v>455</v>
          </cell>
          <cell r="V58">
            <v>461</v>
          </cell>
          <cell r="W58">
            <v>467</v>
          </cell>
          <cell r="X58">
            <v>472.46100000000001</v>
          </cell>
          <cell r="Y58">
            <v>478.39800000000002</v>
          </cell>
          <cell r="Z58">
            <v>484.33499999999998</v>
          </cell>
          <cell r="AA58">
            <v>469.51600000000002</v>
          </cell>
        </row>
        <row r="59">
          <cell r="D59">
            <v>56306.467730000004</v>
          </cell>
          <cell r="E59">
            <v>56306.467730000004</v>
          </cell>
          <cell r="F59">
            <v>56306.467730000004</v>
          </cell>
          <cell r="G59">
            <v>56306.467730000004</v>
          </cell>
          <cell r="H59">
            <v>56306</v>
          </cell>
          <cell r="I59">
            <v>56306</v>
          </cell>
          <cell r="J59">
            <v>56306</v>
          </cell>
          <cell r="K59">
            <v>56306</v>
          </cell>
          <cell r="L59">
            <v>56306.467730000004</v>
          </cell>
          <cell r="M59">
            <v>56306.467730000004</v>
          </cell>
          <cell r="N59">
            <v>56306.467730000004</v>
          </cell>
          <cell r="O59">
            <v>56306.467730000004</v>
          </cell>
          <cell r="P59">
            <v>56306.467730000004</v>
          </cell>
          <cell r="Q59">
            <v>56306.467730000004</v>
          </cell>
          <cell r="R59">
            <v>56306.467730000004</v>
          </cell>
          <cell r="S59">
            <v>56306.467730000004</v>
          </cell>
          <cell r="T59">
            <v>56306</v>
          </cell>
          <cell r="U59">
            <v>56306</v>
          </cell>
          <cell r="V59">
            <v>56306</v>
          </cell>
          <cell r="W59">
            <v>56306</v>
          </cell>
          <cell r="X59">
            <v>56306.467730000004</v>
          </cell>
          <cell r="Y59">
            <v>56306.467730000004</v>
          </cell>
          <cell r="Z59">
            <v>56306.467730000004</v>
          </cell>
          <cell r="AA59">
            <v>56306.467730000004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</row>
        <row r="61">
          <cell r="C61">
            <v>165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</row>
        <row r="62">
          <cell r="C62">
            <v>51</v>
          </cell>
          <cell r="D62">
            <v>9019.3709000000017</v>
          </cell>
          <cell r="E62">
            <v>9019.3709000000017</v>
          </cell>
          <cell r="F62">
            <v>9019.3709000000017</v>
          </cell>
          <cell r="G62">
            <v>9019.3709000000017</v>
          </cell>
          <cell r="H62">
            <v>9019</v>
          </cell>
          <cell r="I62">
            <v>9019</v>
          </cell>
          <cell r="J62">
            <v>9019</v>
          </cell>
          <cell r="K62">
            <v>9019</v>
          </cell>
          <cell r="L62">
            <v>9019.3709000000017</v>
          </cell>
          <cell r="M62">
            <v>9019.3709000000017</v>
          </cell>
          <cell r="N62">
            <v>9019.3709000000017</v>
          </cell>
          <cell r="O62">
            <v>9019.3709000000017</v>
          </cell>
          <cell r="P62">
            <v>9019.3709000000017</v>
          </cell>
          <cell r="Q62">
            <v>9019.3709000000017</v>
          </cell>
          <cell r="R62">
            <v>9019.3709000000017</v>
          </cell>
          <cell r="S62">
            <v>9019.3709000000017</v>
          </cell>
          <cell r="T62">
            <v>9019</v>
          </cell>
          <cell r="U62">
            <v>9019</v>
          </cell>
          <cell r="V62">
            <v>9019</v>
          </cell>
          <cell r="W62">
            <v>9019</v>
          </cell>
          <cell r="X62">
            <v>9019.3709000000017</v>
          </cell>
          <cell r="Y62">
            <v>9019.3709000000017</v>
          </cell>
          <cell r="Z62">
            <v>9019.3709000000017</v>
          </cell>
          <cell r="AA62">
            <v>9019.3709000000017</v>
          </cell>
        </row>
        <row r="63">
          <cell r="C63" t="str">
            <v xml:space="preserve"> </v>
          </cell>
          <cell r="Q63">
            <v>0</v>
          </cell>
        </row>
        <row r="64">
          <cell r="C64">
            <v>53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C65">
            <v>54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8">
          <cell r="C68">
            <v>55</v>
          </cell>
          <cell r="D68">
            <v>420.96808000000004</v>
          </cell>
          <cell r="E68">
            <v>879.09351000000004</v>
          </cell>
          <cell r="F68">
            <v>1163.67759</v>
          </cell>
          <cell r="G68">
            <v>1493.64471</v>
          </cell>
          <cell r="H68">
            <v>2029.8788100000002</v>
          </cell>
          <cell r="I68">
            <v>2347.0973900000004</v>
          </cell>
          <cell r="J68">
            <v>2823.3675900000003</v>
          </cell>
          <cell r="K68">
            <v>3120.5708100000002</v>
          </cell>
          <cell r="L68">
            <v>3311.4915800000003</v>
          </cell>
          <cell r="M68">
            <v>3488.9010400000002</v>
          </cell>
          <cell r="N68">
            <v>3637.1866800000003</v>
          </cell>
          <cell r="O68">
            <v>3699.7902300000001</v>
          </cell>
          <cell r="P68">
            <v>420.96808000000004</v>
          </cell>
          <cell r="Q68">
            <v>458.12542999999999</v>
          </cell>
          <cell r="R68">
            <v>284.58407999999997</v>
          </cell>
          <cell r="S68">
            <v>329.96712000000002</v>
          </cell>
          <cell r="T68">
            <v>536.23410000000013</v>
          </cell>
          <cell r="U68">
            <v>317.2185800000002</v>
          </cell>
          <cell r="V68">
            <v>476.27019999999993</v>
          </cell>
          <cell r="W68">
            <v>297.20321999999987</v>
          </cell>
          <cell r="X68">
            <v>190.92077000000018</v>
          </cell>
          <cell r="Y68">
            <v>177.40945999999985</v>
          </cell>
          <cell r="Z68">
            <v>148.28564000000006</v>
          </cell>
          <cell r="AA68">
            <v>62.603549999999814</v>
          </cell>
          <cell r="AB68">
            <v>0</v>
          </cell>
          <cell r="AC68">
            <v>0</v>
          </cell>
          <cell r="AD68">
            <v>0</v>
          </cell>
          <cell r="AE68">
            <v>388.29864999999972</v>
          </cell>
          <cell r="AF68">
            <v>388.29864999999972</v>
          </cell>
        </row>
        <row r="69">
          <cell r="C69">
            <v>56</v>
          </cell>
          <cell r="D69">
            <v>4109.1084500000006</v>
          </cell>
          <cell r="E69">
            <v>7094.1234000000004</v>
          </cell>
          <cell r="F69">
            <v>9900.4583000000002</v>
          </cell>
          <cell r="G69">
            <v>11357.55107</v>
          </cell>
          <cell r="H69">
            <v>14446.477369999999</v>
          </cell>
          <cell r="I69">
            <v>16523.36766</v>
          </cell>
          <cell r="J69">
            <v>18270.48632</v>
          </cell>
          <cell r="K69">
            <v>19230.694</v>
          </cell>
          <cell r="L69">
            <v>20072.195540000001</v>
          </cell>
          <cell r="M69">
            <v>20683.322339999999</v>
          </cell>
          <cell r="N69">
            <v>21130.692169999998</v>
          </cell>
          <cell r="O69">
            <v>21216.108759999999</v>
          </cell>
          <cell r="P69">
            <v>4109.1084500000006</v>
          </cell>
          <cell r="Q69">
            <v>2985.0149499999998</v>
          </cell>
          <cell r="R69">
            <v>2806.3348999999998</v>
          </cell>
          <cell r="S69">
            <v>1457.0927699999993</v>
          </cell>
          <cell r="T69">
            <v>3088.9262999999992</v>
          </cell>
          <cell r="U69">
            <v>2076.8902900000012</v>
          </cell>
          <cell r="V69">
            <v>1747.1186600000001</v>
          </cell>
          <cell r="W69">
            <v>960.20767999999953</v>
          </cell>
          <cell r="X69">
            <v>841.50154000000111</v>
          </cell>
          <cell r="Y69">
            <v>611.12679999999818</v>
          </cell>
          <cell r="Z69">
            <v>447.36982999999964</v>
          </cell>
          <cell r="AA69">
            <v>85.416590000000724</v>
          </cell>
          <cell r="AB69">
            <v>0</v>
          </cell>
          <cell r="AC69">
            <v>0</v>
          </cell>
          <cell r="AD69">
            <v>0</v>
          </cell>
          <cell r="AE69">
            <v>1143.9132199999985</v>
          </cell>
          <cell r="AF69">
            <v>1143.9132199999985</v>
          </cell>
        </row>
        <row r="70">
          <cell r="C70">
            <v>57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C71">
            <v>58</v>
          </cell>
          <cell r="D71">
            <v>1749.9757500000001</v>
          </cell>
          <cell r="E71">
            <v>3370.4188399999998</v>
          </cell>
          <cell r="F71">
            <v>4661.9237000000003</v>
          </cell>
          <cell r="G71">
            <v>5791.9954900000002</v>
          </cell>
          <cell r="H71">
            <v>7368.4106500000007</v>
          </cell>
          <cell r="I71">
            <v>8556.2249000000011</v>
          </cell>
          <cell r="J71">
            <v>9971.4817700000003</v>
          </cell>
          <cell r="K71">
            <v>10920.846140000001</v>
          </cell>
          <cell r="L71">
            <v>11658.958790000001</v>
          </cell>
          <cell r="M71">
            <v>12320.335360000001</v>
          </cell>
          <cell r="N71">
            <v>12818.621340000002</v>
          </cell>
          <cell r="O71">
            <v>13186.956390000001</v>
          </cell>
          <cell r="P71">
            <v>1749.9757500000001</v>
          </cell>
          <cell r="Q71">
            <v>1620.4430899999998</v>
          </cell>
          <cell r="R71">
            <v>1291.5048600000005</v>
          </cell>
          <cell r="S71">
            <v>1130.07179</v>
          </cell>
          <cell r="T71">
            <v>1576.4151600000005</v>
          </cell>
          <cell r="U71">
            <v>1187.8142500000004</v>
          </cell>
          <cell r="V71">
            <v>1415.2568699999993</v>
          </cell>
          <cell r="W71">
            <v>949.36437000000114</v>
          </cell>
          <cell r="X71">
            <v>738.11264999999912</v>
          </cell>
          <cell r="Y71">
            <v>661.37657000000036</v>
          </cell>
          <cell r="Z71">
            <v>498.28598000000056</v>
          </cell>
          <cell r="AA71">
            <v>368.33504999999968</v>
          </cell>
          <cell r="AB71">
            <v>0</v>
          </cell>
          <cell r="AC71">
            <v>0</v>
          </cell>
          <cell r="AD71">
            <v>0</v>
          </cell>
          <cell r="AE71">
            <v>1527.9976000000006</v>
          </cell>
          <cell r="AF71">
            <v>1527.9976000000006</v>
          </cell>
        </row>
        <row r="72">
          <cell r="C72">
            <v>59</v>
          </cell>
          <cell r="D72">
            <v>212.63632999999999</v>
          </cell>
          <cell r="E72">
            <v>425.36719999999997</v>
          </cell>
          <cell r="F72">
            <v>895.99092999999993</v>
          </cell>
          <cell r="G72">
            <v>1366.9733099999999</v>
          </cell>
          <cell r="H72">
            <v>1870.7033199999998</v>
          </cell>
          <cell r="I72">
            <v>2374.4333299999998</v>
          </cell>
          <cell r="J72">
            <v>2877.7666199999999</v>
          </cell>
          <cell r="K72">
            <v>3381.0322900000001</v>
          </cell>
          <cell r="L72">
            <v>3883.8672000000001</v>
          </cell>
          <cell r="M72">
            <v>4386.1654500000004</v>
          </cell>
          <cell r="N72">
            <v>4905.3222300000007</v>
          </cell>
          <cell r="O72">
            <v>5387.0151800000003</v>
          </cell>
          <cell r="P72">
            <v>212.63632999999999</v>
          </cell>
          <cell r="Q72">
            <v>212.73086999999998</v>
          </cell>
          <cell r="R72">
            <v>470.62372999999997</v>
          </cell>
          <cell r="S72">
            <v>470.98237999999992</v>
          </cell>
          <cell r="T72">
            <v>503.73000999999999</v>
          </cell>
          <cell r="U72">
            <v>503.73000999999999</v>
          </cell>
          <cell r="V72">
            <v>503.33329000000003</v>
          </cell>
          <cell r="W72">
            <v>503.26567000000023</v>
          </cell>
          <cell r="X72">
            <v>502.83491000000004</v>
          </cell>
          <cell r="Y72">
            <v>502.29825000000028</v>
          </cell>
          <cell r="Z72">
            <v>519.15678000000025</v>
          </cell>
          <cell r="AA72">
            <v>481.69294999999966</v>
          </cell>
          <cell r="AB72">
            <v>0</v>
          </cell>
          <cell r="AC72">
            <v>0</v>
          </cell>
          <cell r="AD72">
            <v>0</v>
          </cell>
          <cell r="AE72">
            <v>1503.1479800000002</v>
          </cell>
          <cell r="AF72">
            <v>1503.1479800000002</v>
          </cell>
        </row>
        <row r="73">
          <cell r="C73">
            <v>60</v>
          </cell>
          <cell r="D73">
            <v>68.237160000000003</v>
          </cell>
          <cell r="E73">
            <v>184.76866000000001</v>
          </cell>
          <cell r="F73">
            <v>307.35135000000002</v>
          </cell>
          <cell r="G73">
            <v>390.86230999999992</v>
          </cell>
          <cell r="H73">
            <v>471.5318299999999</v>
          </cell>
          <cell r="I73">
            <v>648.24151999999992</v>
          </cell>
          <cell r="J73">
            <v>702.43089999999995</v>
          </cell>
          <cell r="K73">
            <v>794.59947999999997</v>
          </cell>
          <cell r="L73">
            <v>939.96394999999995</v>
          </cell>
          <cell r="M73">
            <v>1061.38616</v>
          </cell>
          <cell r="N73">
            <v>1242.4957300000001</v>
          </cell>
          <cell r="O73">
            <v>1630.2526600000001</v>
          </cell>
          <cell r="P73">
            <v>68.237160000000003</v>
          </cell>
          <cell r="Q73">
            <v>116.53150000000001</v>
          </cell>
          <cell r="R73">
            <v>122.58269000000001</v>
          </cell>
          <cell r="S73">
            <v>83.510959999999898</v>
          </cell>
          <cell r="T73">
            <v>80.669519999999977</v>
          </cell>
          <cell r="U73">
            <v>176.70969000000002</v>
          </cell>
          <cell r="V73">
            <v>54.189380000000028</v>
          </cell>
          <cell r="W73">
            <v>92.16858000000002</v>
          </cell>
          <cell r="X73">
            <v>145.36446999999998</v>
          </cell>
          <cell r="Y73">
            <v>121.42221000000006</v>
          </cell>
          <cell r="Z73">
            <v>181.10957000000008</v>
          </cell>
          <cell r="AA73">
            <v>387.75693000000001</v>
          </cell>
          <cell r="AB73">
            <v>0</v>
          </cell>
          <cell r="AC73">
            <v>0</v>
          </cell>
          <cell r="AD73">
            <v>0</v>
          </cell>
          <cell r="AE73">
            <v>690.28871000000015</v>
          </cell>
          <cell r="AF73">
            <v>690.28871000000015</v>
          </cell>
        </row>
        <row r="74">
          <cell r="C74">
            <v>61</v>
          </cell>
          <cell r="D74">
            <v>107.23826</v>
          </cell>
          <cell r="E74">
            <v>199.81304</v>
          </cell>
          <cell r="F74">
            <v>273.48521</v>
          </cell>
          <cell r="G74">
            <v>343.81998999999996</v>
          </cell>
          <cell r="H74">
            <v>420.44346999999993</v>
          </cell>
          <cell r="I74">
            <v>487.53737999999993</v>
          </cell>
          <cell r="J74">
            <v>557.54867999999988</v>
          </cell>
          <cell r="K74">
            <v>627.97737999999981</v>
          </cell>
          <cell r="L74">
            <v>703.48433999999986</v>
          </cell>
          <cell r="M74">
            <v>767.35216999999989</v>
          </cell>
          <cell r="N74">
            <v>863.24086999999986</v>
          </cell>
          <cell r="O74">
            <v>886.49043999999981</v>
          </cell>
          <cell r="P74">
            <v>107.23826</v>
          </cell>
          <cell r="Q74">
            <v>92.574780000000004</v>
          </cell>
          <cell r="R74">
            <v>73.672169999999994</v>
          </cell>
          <cell r="S74">
            <v>70.334779999999967</v>
          </cell>
          <cell r="T74">
            <v>76.623479999999972</v>
          </cell>
          <cell r="U74">
            <v>67.093909999999994</v>
          </cell>
          <cell r="V74">
            <v>70.011299999999949</v>
          </cell>
          <cell r="W74">
            <v>70.428699999999935</v>
          </cell>
          <cell r="X74">
            <v>75.506960000000049</v>
          </cell>
          <cell r="Y74">
            <v>63.867830000000026</v>
          </cell>
          <cell r="Z74">
            <v>95.888699999999972</v>
          </cell>
          <cell r="AA74">
            <v>23.249569999999949</v>
          </cell>
          <cell r="AB74">
            <v>0</v>
          </cell>
          <cell r="AC74">
            <v>0</v>
          </cell>
          <cell r="AD74">
            <v>0</v>
          </cell>
          <cell r="AE74">
            <v>183.00609999999995</v>
          </cell>
          <cell r="AF74">
            <v>183.00609999999995</v>
          </cell>
        </row>
        <row r="75">
          <cell r="C75">
            <v>160</v>
          </cell>
          <cell r="D75">
            <v>1624.7101499999999</v>
          </cell>
          <cell r="E75">
            <v>3180.1714299999999</v>
          </cell>
          <cell r="F75">
            <v>4795.7187199999998</v>
          </cell>
          <cell r="G75">
            <v>6333.4427599999999</v>
          </cell>
          <cell r="H75">
            <v>7776.7561999999998</v>
          </cell>
          <cell r="I75">
            <v>9033.5929899999992</v>
          </cell>
          <cell r="J75">
            <v>10519.243039999999</v>
          </cell>
          <cell r="K75">
            <v>11886.46306</v>
          </cell>
          <cell r="L75">
            <v>13343.549859999999</v>
          </cell>
          <cell r="M75">
            <v>14582.007949999999</v>
          </cell>
          <cell r="N75">
            <v>15927.460599999999</v>
          </cell>
          <cell r="O75">
            <v>17173.118399999999</v>
          </cell>
          <cell r="P75">
            <v>1624.7101499999999</v>
          </cell>
          <cell r="Q75">
            <v>1555.46128</v>
          </cell>
          <cell r="R75">
            <v>1615.54729</v>
          </cell>
          <cell r="S75">
            <v>1537.7240400000001</v>
          </cell>
          <cell r="T75">
            <v>1443.3134399999999</v>
          </cell>
          <cell r="U75">
            <v>1256.8367899999994</v>
          </cell>
          <cell r="V75">
            <v>1485.6500500000002</v>
          </cell>
          <cell r="W75">
            <v>1367.2200200000007</v>
          </cell>
          <cell r="X75">
            <v>1457.0867999999991</v>
          </cell>
          <cell r="Y75">
            <v>1238.4580900000001</v>
          </cell>
          <cell r="Z75">
            <v>1345.4526499999993</v>
          </cell>
          <cell r="AA75">
            <v>1245.6578000000009</v>
          </cell>
          <cell r="AB75">
            <v>0</v>
          </cell>
          <cell r="AC75">
            <v>0</v>
          </cell>
          <cell r="AD75">
            <v>0</v>
          </cell>
          <cell r="AE75">
            <v>3829.5685400000002</v>
          </cell>
          <cell r="AF75">
            <v>3829.5685400000002</v>
          </cell>
        </row>
        <row r="76">
          <cell r="C76">
            <v>161</v>
          </cell>
          <cell r="D76">
            <v>-2664.0858400000006</v>
          </cell>
          <cell r="E76">
            <v>-4588.8357700000006</v>
          </cell>
          <cell r="F76">
            <v>-6610.4174400000002</v>
          </cell>
          <cell r="G76">
            <v>-8111.9459400000005</v>
          </cell>
          <cell r="H76">
            <v>-9849.6019699999997</v>
          </cell>
          <cell r="I76">
            <v>-11650.029709999999</v>
          </cell>
          <cell r="J76">
            <v>-13413.055769999999</v>
          </cell>
          <cell r="K76">
            <v>-14837.690719999999</v>
          </cell>
          <cell r="L76">
            <v>-16623.582349999997</v>
          </cell>
          <cell r="M76">
            <v>-18057.241330000001</v>
          </cell>
          <cell r="N76">
            <v>-18474.430840000001</v>
          </cell>
          <cell r="O76">
            <v>-19646.821810000001</v>
          </cell>
          <cell r="P76">
            <v>-2664.0858400000006</v>
          </cell>
          <cell r="Q76">
            <v>-1924.7499299999999</v>
          </cell>
          <cell r="R76">
            <v>-2021.5816699999996</v>
          </cell>
          <cell r="S76">
            <v>-1501.5285000000003</v>
          </cell>
          <cell r="T76">
            <v>-1737.6560299999992</v>
          </cell>
          <cell r="U76">
            <v>-1800.4277399999992</v>
          </cell>
          <cell r="V76">
            <v>-1763.0260600000001</v>
          </cell>
          <cell r="W76">
            <v>-1424.6349499999997</v>
          </cell>
          <cell r="X76">
            <v>-1785.8916299999983</v>
          </cell>
          <cell r="Y76">
            <v>-1433.6589800000038</v>
          </cell>
          <cell r="Z76">
            <v>-417.18951000000015</v>
          </cell>
          <cell r="AA76">
            <v>-1172.3909700000004</v>
          </cell>
          <cell r="AB76">
            <v>0</v>
          </cell>
          <cell r="AC76">
            <v>0</v>
          </cell>
          <cell r="AD76">
            <v>0</v>
          </cell>
          <cell r="AE76">
            <v>-3023.2394600000043</v>
          </cell>
          <cell r="AF76">
            <v>-3023.2394600000043</v>
          </cell>
        </row>
        <row r="77">
          <cell r="C77">
            <v>62</v>
          </cell>
          <cell r="D77">
            <v>2365.4781600000001</v>
          </cell>
          <cell r="E77">
            <v>3837.8908900000001</v>
          </cell>
          <cell r="F77">
            <v>5830.0908300000001</v>
          </cell>
          <cell r="G77">
            <v>8141.5860200000006</v>
          </cell>
          <cell r="H77">
            <v>9486.1711500000001</v>
          </cell>
          <cell r="I77">
            <v>12226.58576</v>
          </cell>
          <cell r="J77">
            <v>14960.620220000001</v>
          </cell>
          <cell r="K77">
            <v>17268.028880000002</v>
          </cell>
          <cell r="L77">
            <v>19103.114140000001</v>
          </cell>
          <cell r="M77">
            <v>20342.484650000002</v>
          </cell>
          <cell r="N77">
            <v>21174.386570000002</v>
          </cell>
          <cell r="O77">
            <v>21384.703980000002</v>
          </cell>
          <cell r="P77">
            <v>2365.4781600000001</v>
          </cell>
          <cell r="Q77">
            <v>1472.41273</v>
          </cell>
          <cell r="R77">
            <v>1992.19994</v>
          </cell>
          <cell r="S77">
            <v>2311.4951900000005</v>
          </cell>
          <cell r="T77">
            <v>1344.5851299999995</v>
          </cell>
          <cell r="U77">
            <v>2740.4146099999998</v>
          </cell>
          <cell r="V77">
            <v>2734.0344600000008</v>
          </cell>
          <cell r="W77">
            <v>2307.408660000001</v>
          </cell>
          <cell r="X77">
            <v>1835.0852599999998</v>
          </cell>
          <cell r="Y77">
            <v>1239.3705100000006</v>
          </cell>
          <cell r="Z77">
            <v>831.90192000000025</v>
          </cell>
          <cell r="AA77">
            <v>210.31740999999965</v>
          </cell>
          <cell r="AB77">
            <v>0</v>
          </cell>
          <cell r="AC77">
            <v>0</v>
          </cell>
          <cell r="AD77">
            <v>0</v>
          </cell>
          <cell r="AE77">
            <v>2281.5898400000005</v>
          </cell>
          <cell r="AF77">
            <v>2281.5898400000005</v>
          </cell>
        </row>
        <row r="80">
          <cell r="C80">
            <v>130</v>
          </cell>
          <cell r="D80">
            <v>57.777339999999995</v>
          </cell>
          <cell r="E80">
            <v>117.02213</v>
          </cell>
          <cell r="F80">
            <v>176.09556000000001</v>
          </cell>
          <cell r="G80">
            <v>234.99315999999999</v>
          </cell>
          <cell r="H80">
            <v>305.53190999999998</v>
          </cell>
          <cell r="I80">
            <v>337.25207999999998</v>
          </cell>
          <cell r="J80">
            <v>375.30705</v>
          </cell>
          <cell r="K80">
            <v>415.17347000000001</v>
          </cell>
          <cell r="L80">
            <v>457.33078</v>
          </cell>
          <cell r="M80">
            <v>496.70576</v>
          </cell>
          <cell r="N80">
            <v>534.92191000000003</v>
          </cell>
          <cell r="O80">
            <v>573.94839000000002</v>
          </cell>
          <cell r="P80">
            <v>57.777339999999995</v>
          </cell>
          <cell r="Q80">
            <v>59.244790000000009</v>
          </cell>
          <cell r="R80">
            <v>59.073430000000002</v>
          </cell>
          <cell r="S80">
            <v>58.897599999999983</v>
          </cell>
          <cell r="T80">
            <v>70.538749999999993</v>
          </cell>
          <cell r="U80">
            <v>31.720169999999996</v>
          </cell>
          <cell r="V80">
            <v>38.054970000000026</v>
          </cell>
          <cell r="W80">
            <v>39.866420000000005</v>
          </cell>
          <cell r="X80">
            <v>42.157309999999995</v>
          </cell>
          <cell r="Y80">
            <v>39.374979999999994</v>
          </cell>
          <cell r="Z80">
            <v>38.216150000000027</v>
          </cell>
          <cell r="AA80">
            <v>39.026479999999992</v>
          </cell>
          <cell r="AB80">
            <v>0</v>
          </cell>
          <cell r="AC80">
            <v>0</v>
          </cell>
          <cell r="AD80">
            <v>0</v>
          </cell>
          <cell r="AE80">
            <v>116.61761000000001</v>
          </cell>
          <cell r="AF80">
            <v>116.61761000000001</v>
          </cell>
        </row>
        <row r="81">
          <cell r="C81">
            <v>131</v>
          </cell>
          <cell r="D81">
            <v>52.720349999999996</v>
          </cell>
          <cell r="E81">
            <v>106.4199</v>
          </cell>
          <cell r="F81">
            <v>159.80849000000001</v>
          </cell>
          <cell r="G81">
            <v>213.74284</v>
          </cell>
          <cell r="H81">
            <v>268.20238999999998</v>
          </cell>
          <cell r="I81">
            <v>361.36820999999998</v>
          </cell>
          <cell r="J81">
            <v>441.36820999999998</v>
          </cell>
          <cell r="K81">
            <v>496.76415999999995</v>
          </cell>
          <cell r="L81">
            <v>556.31385999999998</v>
          </cell>
          <cell r="M81">
            <v>607.05752999999993</v>
          </cell>
          <cell r="N81">
            <v>561.3579299999999</v>
          </cell>
          <cell r="O81">
            <v>537.89819999999986</v>
          </cell>
          <cell r="P81">
            <v>52.720349999999996</v>
          </cell>
          <cell r="Q81">
            <v>53.699550000000002</v>
          </cell>
          <cell r="R81">
            <v>53.388590000000008</v>
          </cell>
          <cell r="S81">
            <v>53.934349999999995</v>
          </cell>
          <cell r="T81">
            <v>54.459549999999979</v>
          </cell>
          <cell r="U81">
            <v>93.165819999999997</v>
          </cell>
          <cell r="V81">
            <v>80</v>
          </cell>
          <cell r="W81">
            <v>55.395949999999971</v>
          </cell>
          <cell r="X81">
            <v>59.54970000000003</v>
          </cell>
          <cell r="Y81">
            <v>50.743669999999952</v>
          </cell>
          <cell r="Z81">
            <v>-45.699600000000032</v>
          </cell>
          <cell r="AA81">
            <v>-23.459730000000036</v>
          </cell>
          <cell r="AB81">
            <v>0</v>
          </cell>
          <cell r="AC81">
            <v>0</v>
          </cell>
          <cell r="AD81">
            <v>0</v>
          </cell>
          <cell r="AE81">
            <v>-18.415660000000116</v>
          </cell>
          <cell r="AF81">
            <v>-18.415660000000116</v>
          </cell>
        </row>
        <row r="82">
          <cell r="C82">
            <v>132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C83">
            <v>133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C84">
            <v>134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5">
          <cell r="C85">
            <v>135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</row>
        <row r="86">
          <cell r="C86">
            <v>136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C87">
            <v>137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C88">
            <v>138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89">
          <cell r="C89">
            <v>139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</row>
        <row r="90">
          <cell r="C90">
            <v>162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</row>
        <row r="91">
          <cell r="C91">
            <v>169</v>
          </cell>
          <cell r="D91">
            <v>24.91506</v>
          </cell>
          <cell r="E91">
            <v>48.914490000000001</v>
          </cell>
          <cell r="F91">
            <v>67.344059999999999</v>
          </cell>
          <cell r="G91">
            <v>114.57628</v>
          </cell>
          <cell r="H91">
            <v>126.59609999999999</v>
          </cell>
          <cell r="I91">
            <v>136.56718999999998</v>
          </cell>
          <cell r="J91">
            <v>149.45943999999997</v>
          </cell>
          <cell r="K91">
            <v>162.32518999999996</v>
          </cell>
          <cell r="L91">
            <v>169.17962999999997</v>
          </cell>
          <cell r="M91">
            <v>175.63562999999996</v>
          </cell>
          <cell r="N91">
            <v>183.20663999999996</v>
          </cell>
          <cell r="O91">
            <v>195.73396999999997</v>
          </cell>
          <cell r="P91">
            <v>24.91506</v>
          </cell>
          <cell r="Q91">
            <v>23.99943</v>
          </cell>
          <cell r="R91">
            <v>18.429569999999998</v>
          </cell>
          <cell r="S91">
            <v>47.232219999999998</v>
          </cell>
          <cell r="T91">
            <v>12.019819999999996</v>
          </cell>
          <cell r="U91">
            <v>9.9710899999999896</v>
          </cell>
          <cell r="V91">
            <v>12.89224999999999</v>
          </cell>
          <cell r="W91">
            <v>12.865749999999991</v>
          </cell>
          <cell r="X91">
            <v>6.854440000000011</v>
          </cell>
          <cell r="Y91">
            <v>6.4559999999999889</v>
          </cell>
          <cell r="Z91">
            <v>7.5710100000000011</v>
          </cell>
          <cell r="AA91">
            <v>12.527330000000006</v>
          </cell>
          <cell r="AB91">
            <v>0</v>
          </cell>
          <cell r="AC91">
            <v>0</v>
          </cell>
          <cell r="AD91">
            <v>0</v>
          </cell>
          <cell r="AE91">
            <v>26.554339999999996</v>
          </cell>
          <cell r="AF91">
            <v>26.554339999999996</v>
          </cell>
        </row>
        <row r="92">
          <cell r="C92">
            <v>140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5">
          <cell r="C95">
            <v>141</v>
          </cell>
          <cell r="D95">
            <v>247.96326999999999</v>
          </cell>
          <cell r="E95">
            <v>499.93655999999999</v>
          </cell>
          <cell r="F95">
            <v>780.58777999999995</v>
          </cell>
          <cell r="G95">
            <v>1040.62997</v>
          </cell>
          <cell r="H95">
            <v>1292.2080000000001</v>
          </cell>
          <cell r="I95">
            <v>1524.4090200000001</v>
          </cell>
          <cell r="J95">
            <v>1758.9596799999999</v>
          </cell>
          <cell r="K95">
            <v>2055.0947999999999</v>
          </cell>
          <cell r="L95">
            <v>2376.1835599999999</v>
          </cell>
          <cell r="M95">
            <v>2685.8217599999998</v>
          </cell>
          <cell r="N95">
            <v>2988.9658199999999</v>
          </cell>
          <cell r="O95">
            <v>3665.4513699999998</v>
          </cell>
          <cell r="P95">
            <v>247.96326999999999</v>
          </cell>
          <cell r="Q95">
            <v>251.97328999999999</v>
          </cell>
          <cell r="R95">
            <v>280.65121999999997</v>
          </cell>
          <cell r="S95">
            <v>260.04219000000001</v>
          </cell>
          <cell r="T95">
            <v>251.57803000000013</v>
          </cell>
          <cell r="U95">
            <v>232.20101999999997</v>
          </cell>
          <cell r="V95">
            <v>234.55065999999988</v>
          </cell>
          <cell r="W95">
            <v>296.13511999999992</v>
          </cell>
          <cell r="X95">
            <v>321.08876000000009</v>
          </cell>
          <cell r="Y95">
            <v>309.63819999999987</v>
          </cell>
          <cell r="Z95">
            <v>303.14406000000008</v>
          </cell>
          <cell r="AA95">
            <v>676.48554999999988</v>
          </cell>
          <cell r="AB95">
            <v>0</v>
          </cell>
          <cell r="AC95">
            <v>0</v>
          </cell>
          <cell r="AD95">
            <v>0</v>
          </cell>
          <cell r="AE95">
            <v>1289.2678099999998</v>
          </cell>
          <cell r="AF95">
            <v>1289.2678099999998</v>
          </cell>
        </row>
        <row r="96">
          <cell r="C96">
            <v>142</v>
          </cell>
          <cell r="D96">
            <v>18.65419</v>
          </cell>
          <cell r="E96">
            <v>37.348559999999999</v>
          </cell>
          <cell r="F96">
            <v>56.042929999999998</v>
          </cell>
          <cell r="G96">
            <v>74.737300000000005</v>
          </cell>
          <cell r="H96">
            <v>93.431669999999997</v>
          </cell>
          <cell r="I96">
            <v>112.12603999999999</v>
          </cell>
          <cell r="J96">
            <v>130.53276</v>
          </cell>
          <cell r="K96">
            <v>148.93948</v>
          </cell>
          <cell r="L96">
            <v>167.24557000000001</v>
          </cell>
          <cell r="M96">
            <v>185.48139</v>
          </cell>
          <cell r="N96">
            <v>195.83678</v>
          </cell>
          <cell r="O96">
            <v>224.33476000000002</v>
          </cell>
          <cell r="P96">
            <v>18.65419</v>
          </cell>
          <cell r="Q96">
            <v>18.694369999999999</v>
          </cell>
          <cell r="R96">
            <v>18.694369999999999</v>
          </cell>
          <cell r="S96">
            <v>18.694370000000006</v>
          </cell>
          <cell r="T96">
            <v>18.694369999999992</v>
          </cell>
          <cell r="U96">
            <v>18.694369999999992</v>
          </cell>
          <cell r="V96">
            <v>18.406720000000007</v>
          </cell>
          <cell r="W96">
            <v>18.406720000000007</v>
          </cell>
          <cell r="X96">
            <v>18.306090000000012</v>
          </cell>
          <cell r="Y96">
            <v>18.23581999999999</v>
          </cell>
          <cell r="Z96">
            <v>10.35539</v>
          </cell>
          <cell r="AA96">
            <v>28.497980000000013</v>
          </cell>
          <cell r="AB96">
            <v>0</v>
          </cell>
          <cell r="AC96">
            <v>0</v>
          </cell>
          <cell r="AD96">
            <v>0</v>
          </cell>
          <cell r="AE96">
            <v>57.089190000000002</v>
          </cell>
          <cell r="AF96">
            <v>57.089190000000002</v>
          </cell>
        </row>
        <row r="97">
          <cell r="C97">
            <v>143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8">
          <cell r="C98">
            <v>144</v>
          </cell>
          <cell r="D98">
            <v>484.58302000000003</v>
          </cell>
          <cell r="E98">
            <v>927.98464000000001</v>
          </cell>
          <cell r="F98">
            <v>1328.2662500000001</v>
          </cell>
          <cell r="G98">
            <v>1746.4574500000001</v>
          </cell>
          <cell r="H98">
            <v>2181.1723500000003</v>
          </cell>
          <cell r="I98">
            <v>2621.4306600000004</v>
          </cell>
          <cell r="J98">
            <v>3046.4800600000003</v>
          </cell>
          <cell r="K98">
            <v>3482.6208600000004</v>
          </cell>
          <cell r="L98">
            <v>3984.2370100000003</v>
          </cell>
          <cell r="M98">
            <v>4399.88015</v>
          </cell>
          <cell r="N98">
            <v>4740.8618500000002</v>
          </cell>
          <cell r="O98">
            <v>5060.2884899999999</v>
          </cell>
          <cell r="P98">
            <v>484.58302000000003</v>
          </cell>
          <cell r="Q98">
            <v>443.40161999999998</v>
          </cell>
          <cell r="R98">
            <v>400.28161000000011</v>
          </cell>
          <cell r="S98">
            <v>418.19119999999998</v>
          </cell>
          <cell r="T98">
            <v>434.71490000000017</v>
          </cell>
          <cell r="U98">
            <v>440.25831000000017</v>
          </cell>
          <cell r="V98">
            <v>425.04939999999988</v>
          </cell>
          <cell r="W98">
            <v>436.14080000000013</v>
          </cell>
          <cell r="X98">
            <v>501.61614999999983</v>
          </cell>
          <cell r="Y98">
            <v>415.64313999999968</v>
          </cell>
          <cell r="Z98">
            <v>340.98170000000027</v>
          </cell>
          <cell r="AA98">
            <v>319.42663999999968</v>
          </cell>
          <cell r="AB98">
            <v>0</v>
          </cell>
          <cell r="AC98">
            <v>0</v>
          </cell>
          <cell r="AD98">
            <v>0</v>
          </cell>
          <cell r="AE98">
            <v>1076.0514799999996</v>
          </cell>
          <cell r="AF98">
            <v>1076.0514799999996</v>
          </cell>
        </row>
        <row r="99">
          <cell r="C99">
            <v>145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</row>
        <row r="100">
          <cell r="C100">
            <v>146</v>
          </cell>
          <cell r="D100">
            <v>0</v>
          </cell>
          <cell r="E100">
            <v>3.4262800000000002</v>
          </cell>
          <cell r="F100">
            <v>5.69902</v>
          </cell>
          <cell r="G100">
            <v>5.69902</v>
          </cell>
          <cell r="H100">
            <v>24.05904</v>
          </cell>
          <cell r="I100">
            <v>37.779060000000001</v>
          </cell>
          <cell r="J100">
            <v>37.779060000000001</v>
          </cell>
          <cell r="K100">
            <v>44.09243</v>
          </cell>
          <cell r="L100">
            <v>44.34243</v>
          </cell>
          <cell r="M100">
            <v>51.15034</v>
          </cell>
          <cell r="N100">
            <v>44.34243</v>
          </cell>
          <cell r="O100">
            <v>44.34243</v>
          </cell>
          <cell r="P100">
            <v>0</v>
          </cell>
          <cell r="Q100">
            <v>3.4262800000000002</v>
          </cell>
          <cell r="R100">
            <v>2.2727399999999998</v>
          </cell>
          <cell r="S100">
            <v>0</v>
          </cell>
          <cell r="T100">
            <v>18.360019999999999</v>
          </cell>
          <cell r="U100">
            <v>13.720020000000002</v>
          </cell>
          <cell r="V100">
            <v>0</v>
          </cell>
          <cell r="W100">
            <v>6.313369999999999</v>
          </cell>
          <cell r="X100">
            <v>0.25</v>
          </cell>
          <cell r="Y100">
            <v>6.8079099999999997</v>
          </cell>
          <cell r="Z100">
            <v>-6.8079099999999997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</row>
        <row r="101">
          <cell r="C101">
            <v>147</v>
          </cell>
          <cell r="D101">
            <v>9</v>
          </cell>
          <cell r="E101">
            <v>18</v>
          </cell>
          <cell r="F101">
            <v>27</v>
          </cell>
          <cell r="G101">
            <v>36</v>
          </cell>
          <cell r="H101">
            <v>45</v>
          </cell>
          <cell r="I101">
            <v>54</v>
          </cell>
          <cell r="J101">
            <v>62.999980000000008</v>
          </cell>
          <cell r="K101">
            <v>44.999980000000008</v>
          </cell>
          <cell r="L101">
            <v>44.999980000000008</v>
          </cell>
          <cell r="M101">
            <v>44.999980000000008</v>
          </cell>
          <cell r="N101">
            <v>44.999980000000008</v>
          </cell>
          <cell r="O101">
            <v>44.999980000000008</v>
          </cell>
          <cell r="P101">
            <v>9</v>
          </cell>
          <cell r="Q101">
            <v>9</v>
          </cell>
          <cell r="R101">
            <v>9</v>
          </cell>
          <cell r="S101">
            <v>9</v>
          </cell>
          <cell r="T101">
            <v>9</v>
          </cell>
          <cell r="U101">
            <v>9</v>
          </cell>
          <cell r="V101">
            <v>8.9999800000000079</v>
          </cell>
          <cell r="W101">
            <v>-18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C102">
            <v>148</v>
          </cell>
          <cell r="D102">
            <v>7.3954399999999998</v>
          </cell>
          <cell r="E102">
            <v>14.395440000000001</v>
          </cell>
          <cell r="F102">
            <v>21.520379999999999</v>
          </cell>
          <cell r="G102">
            <v>44.790369999999996</v>
          </cell>
          <cell r="H102">
            <v>51.790369999999996</v>
          </cell>
          <cell r="I102">
            <v>58.790369999999996</v>
          </cell>
          <cell r="J102">
            <v>103.42926</v>
          </cell>
          <cell r="K102">
            <v>110.42926</v>
          </cell>
          <cell r="L102">
            <v>134.42926</v>
          </cell>
          <cell r="M102">
            <v>149.83734999999999</v>
          </cell>
          <cell r="N102">
            <v>167.45364999999998</v>
          </cell>
          <cell r="O102">
            <v>144.45364999999998</v>
          </cell>
          <cell r="P102">
            <v>7.3954399999999998</v>
          </cell>
          <cell r="Q102">
            <v>7.0000000000000009</v>
          </cell>
          <cell r="R102">
            <v>7.1249399999999987</v>
          </cell>
          <cell r="S102">
            <v>23.269989999999996</v>
          </cell>
          <cell r="T102">
            <v>7</v>
          </cell>
          <cell r="U102">
            <v>7</v>
          </cell>
          <cell r="V102">
            <v>44.638890000000004</v>
          </cell>
          <cell r="W102">
            <v>7</v>
          </cell>
          <cell r="X102">
            <v>24</v>
          </cell>
          <cell r="Y102">
            <v>15.408089999999987</v>
          </cell>
          <cell r="Z102">
            <v>17.616299999999995</v>
          </cell>
          <cell r="AA102">
            <v>-23</v>
          </cell>
          <cell r="AB102">
            <v>0</v>
          </cell>
          <cell r="AC102">
            <v>0</v>
          </cell>
          <cell r="AD102">
            <v>0</v>
          </cell>
          <cell r="AE102">
            <v>10.024389999999983</v>
          </cell>
          <cell r="AF102">
            <v>10.024389999999983</v>
          </cell>
        </row>
        <row r="103">
          <cell r="C103">
            <v>149</v>
          </cell>
          <cell r="D103">
            <v>3.9411399999999999</v>
          </cell>
          <cell r="E103">
            <v>3.9411399999999999</v>
          </cell>
          <cell r="F103">
            <v>3.9411399999999999</v>
          </cell>
          <cell r="G103">
            <v>3.9411399999999999</v>
          </cell>
          <cell r="H103">
            <v>3.9411399999999999</v>
          </cell>
          <cell r="I103">
            <v>11.846219999999999</v>
          </cell>
          <cell r="J103">
            <v>11.846219999999999</v>
          </cell>
          <cell r="K103">
            <v>11.846219999999999</v>
          </cell>
          <cell r="L103">
            <v>11.846219999999999</v>
          </cell>
          <cell r="M103">
            <v>16.936219999999999</v>
          </cell>
          <cell r="N103">
            <v>13.136219999999998</v>
          </cell>
          <cell r="O103">
            <v>13.329419999999997</v>
          </cell>
          <cell r="P103">
            <v>3.9411399999999999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7.905079999999999</v>
          </cell>
          <cell r="V103">
            <v>0</v>
          </cell>
          <cell r="W103">
            <v>0</v>
          </cell>
          <cell r="X103">
            <v>0</v>
          </cell>
          <cell r="Y103">
            <v>5.09</v>
          </cell>
          <cell r="Z103">
            <v>-3.8000000000000007</v>
          </cell>
          <cell r="AA103">
            <v>0.19319999999999915</v>
          </cell>
          <cell r="AB103">
            <v>0</v>
          </cell>
          <cell r="AC103">
            <v>0</v>
          </cell>
          <cell r="AD103">
            <v>0</v>
          </cell>
          <cell r="AE103">
            <v>1.4831999999999983</v>
          </cell>
          <cell r="AF103">
            <v>1.4831999999999983</v>
          </cell>
        </row>
        <row r="104">
          <cell r="C104">
            <v>163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  <row r="105">
          <cell r="C105">
            <v>164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</row>
        <row r="106">
          <cell r="C106">
            <v>150</v>
          </cell>
          <cell r="D106">
            <v>84.402100000000019</v>
          </cell>
          <cell r="E106">
            <v>172.80811000000003</v>
          </cell>
          <cell r="F106">
            <v>301.24432000000002</v>
          </cell>
          <cell r="G106">
            <v>389.34899999999999</v>
          </cell>
          <cell r="H106">
            <v>467.49352999999996</v>
          </cell>
          <cell r="I106">
            <v>550.82422999999994</v>
          </cell>
          <cell r="J106">
            <v>631.00744999999995</v>
          </cell>
          <cell r="K106">
            <v>731.62619999999993</v>
          </cell>
          <cell r="L106">
            <v>778.8595499999999</v>
          </cell>
          <cell r="M106">
            <v>858.40069999999992</v>
          </cell>
          <cell r="N106">
            <v>918.30352999999991</v>
          </cell>
          <cell r="O106">
            <v>1061.2740099999999</v>
          </cell>
          <cell r="P106">
            <v>84.402100000000019</v>
          </cell>
          <cell r="Q106">
            <v>88.406010000000009</v>
          </cell>
          <cell r="R106">
            <v>128.43620999999999</v>
          </cell>
          <cell r="S106">
            <v>88.104679999999973</v>
          </cell>
          <cell r="T106">
            <v>78.144529999999975</v>
          </cell>
          <cell r="U106">
            <v>83.330699999999979</v>
          </cell>
          <cell r="V106">
            <v>80.183220000000006</v>
          </cell>
          <cell r="W106">
            <v>100.61874999999998</v>
          </cell>
          <cell r="X106">
            <v>47.233349999999973</v>
          </cell>
          <cell r="Y106">
            <v>79.541150000000016</v>
          </cell>
          <cell r="Z106">
            <v>59.902829999999994</v>
          </cell>
          <cell r="AA106">
            <v>142.97047999999995</v>
          </cell>
          <cell r="AB106">
            <v>0</v>
          </cell>
          <cell r="AC106">
            <v>0</v>
          </cell>
          <cell r="AD106">
            <v>0</v>
          </cell>
          <cell r="AE106">
            <v>282.41445999999996</v>
          </cell>
          <cell r="AF106">
            <v>282.41445999999996</v>
          </cell>
        </row>
        <row r="109">
          <cell r="C109">
            <v>98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</row>
        <row r="112">
          <cell r="C112">
            <v>501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</row>
        <row r="113">
          <cell r="C113">
            <v>500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</row>
        <row r="114">
          <cell r="C114">
            <v>502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</row>
        <row r="115">
          <cell r="C115">
            <v>503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</row>
        <row r="116">
          <cell r="C116">
            <v>504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</row>
        <row r="117">
          <cell r="C117">
            <v>506</v>
          </cell>
          <cell r="D117">
            <v>1.3835600000165869</v>
          </cell>
          <cell r="E117">
            <v>1.3835600000165869</v>
          </cell>
          <cell r="F117">
            <v>13.68017000000691</v>
          </cell>
          <cell r="G117">
            <v>1180.2022300000244</v>
          </cell>
          <cell r="H117">
            <v>1180</v>
          </cell>
          <cell r="I117">
            <v>1180</v>
          </cell>
          <cell r="J117">
            <v>1180</v>
          </cell>
          <cell r="K117">
            <v>1202</v>
          </cell>
          <cell r="L117">
            <v>1211.82647</v>
          </cell>
          <cell r="M117">
            <v>1535.041670000006</v>
          </cell>
          <cell r="N117">
            <v>1535.041670000006</v>
          </cell>
          <cell r="O117">
            <v>2637.2914100000053</v>
          </cell>
          <cell r="P117">
            <v>1.3835600000165869</v>
          </cell>
          <cell r="Q117">
            <v>0</v>
          </cell>
          <cell r="R117">
            <v>12.296609999990324</v>
          </cell>
          <cell r="S117">
            <v>1166.5220600000175</v>
          </cell>
          <cell r="T117">
            <v>-0.20223000002442859</v>
          </cell>
          <cell r="U117">
            <v>0</v>
          </cell>
          <cell r="V117">
            <v>0</v>
          </cell>
          <cell r="W117">
            <v>22</v>
          </cell>
          <cell r="X117">
            <v>9.8264699999999721</v>
          </cell>
          <cell r="Y117">
            <v>323.21520000000601</v>
          </cell>
          <cell r="Z117">
            <v>0</v>
          </cell>
          <cell r="AA117">
            <v>1102.2497399999993</v>
          </cell>
          <cell r="AB117">
            <v>0</v>
          </cell>
          <cell r="AC117">
            <v>0</v>
          </cell>
          <cell r="AD117">
            <v>0</v>
          </cell>
          <cell r="AE117">
            <v>1425.4649400000053</v>
          </cell>
          <cell r="AF117">
            <v>1425.4649400000053</v>
          </cell>
        </row>
        <row r="118">
          <cell r="C118">
            <v>505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</row>
        <row r="119">
          <cell r="C119">
            <v>507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</row>
        <row r="120">
          <cell r="C120">
            <v>508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</row>
        <row r="121">
          <cell r="C121">
            <v>509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</row>
        <row r="122">
          <cell r="C122">
            <v>511</v>
          </cell>
          <cell r="D122">
            <v>-0.15182000000004336</v>
          </cell>
          <cell r="E122">
            <v>-0.15182000000004336</v>
          </cell>
          <cell r="F122">
            <v>-0.15182000000004336</v>
          </cell>
          <cell r="G122">
            <v>-0.15182000000004336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-0.15182000000004336</v>
          </cell>
          <cell r="M122">
            <v>-0.15182000000004336</v>
          </cell>
          <cell r="N122">
            <v>-0.15182000000004336</v>
          </cell>
          <cell r="O122">
            <v>-0.15182000000004336</v>
          </cell>
          <cell r="P122">
            <v>-0.15182000000004336</v>
          </cell>
          <cell r="Q122">
            <v>0</v>
          </cell>
          <cell r="R122">
            <v>0</v>
          </cell>
          <cell r="S122">
            <v>0</v>
          </cell>
          <cell r="T122">
            <v>0.15182000000004336</v>
          </cell>
          <cell r="U122">
            <v>0</v>
          </cell>
          <cell r="V122">
            <v>0</v>
          </cell>
          <cell r="W122">
            <v>0</v>
          </cell>
          <cell r="X122">
            <v>-0.15182000000004336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</row>
        <row r="123">
          <cell r="C123">
            <v>510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</row>
        <row r="124">
          <cell r="C124">
            <v>512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</row>
        <row r="125">
          <cell r="C125">
            <v>513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</row>
        <row r="126">
          <cell r="C126">
            <v>514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</row>
        <row r="127">
          <cell r="C127">
            <v>515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</row>
        <row r="128">
          <cell r="C128">
            <v>516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</row>
        <row r="129">
          <cell r="C129">
            <v>517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</row>
        <row r="130">
          <cell r="C130">
            <v>518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</row>
        <row r="131">
          <cell r="C131">
            <v>519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</row>
        <row r="132">
          <cell r="C132">
            <v>520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</row>
        <row r="133">
          <cell r="C133">
            <v>521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</row>
        <row r="134">
          <cell r="C134">
            <v>522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</row>
        <row r="135">
          <cell r="C135">
            <v>523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</row>
        <row r="136">
          <cell r="C136">
            <v>524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</row>
        <row r="137">
          <cell r="C137">
            <v>525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</row>
        <row r="138">
          <cell r="C138">
            <v>526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</row>
        <row r="139">
          <cell r="C139">
            <v>527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</row>
        <row r="140">
          <cell r="C140">
            <v>528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</row>
        <row r="141">
          <cell r="C141">
            <v>529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</row>
        <row r="142">
          <cell r="C142">
            <v>530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</row>
        <row r="143">
          <cell r="C143">
            <v>531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</row>
        <row r="144">
          <cell r="C144">
            <v>532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</row>
        <row r="145">
          <cell r="C145">
            <v>533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</row>
        <row r="146">
          <cell r="C146">
            <v>534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</row>
        <row r="147">
          <cell r="C147">
            <v>535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</row>
        <row r="148">
          <cell r="C148">
            <v>537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</row>
        <row r="149">
          <cell r="C149">
            <v>538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</row>
        <row r="150">
          <cell r="C150">
            <v>539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</row>
        <row r="151">
          <cell r="C151">
            <v>536</v>
          </cell>
          <cell r="D151">
            <v>-2287.7602299999999</v>
          </cell>
          <cell r="E151">
            <v>-2361.2272300000004</v>
          </cell>
          <cell r="F151">
            <v>-2945.0032899999987</v>
          </cell>
          <cell r="G151">
            <v>-2969.5263500000001</v>
          </cell>
          <cell r="H151">
            <v>-2909</v>
          </cell>
          <cell r="I151">
            <v>-2926</v>
          </cell>
          <cell r="J151">
            <v>-2945</v>
          </cell>
          <cell r="K151">
            <v>-2964</v>
          </cell>
          <cell r="L151">
            <v>-3372.4135900000001</v>
          </cell>
          <cell r="M151">
            <v>-3390.2156500000001</v>
          </cell>
          <cell r="N151">
            <v>-3406.4087100000015</v>
          </cell>
          <cell r="O151">
            <v>-3427.4227699999992</v>
          </cell>
          <cell r="P151">
            <v>-2287.7602299999999</v>
          </cell>
          <cell r="Q151">
            <v>-73.467000000000553</v>
          </cell>
          <cell r="R151">
            <v>-583.77605999999832</v>
          </cell>
          <cell r="S151">
            <v>-24.523060000001351</v>
          </cell>
          <cell r="T151">
            <v>60.526350000000093</v>
          </cell>
          <cell r="U151">
            <v>-17</v>
          </cell>
          <cell r="V151">
            <v>-19</v>
          </cell>
          <cell r="W151">
            <v>-19</v>
          </cell>
          <cell r="X151">
            <v>-408.41359000000011</v>
          </cell>
          <cell r="Y151">
            <v>-17.802059999999983</v>
          </cell>
          <cell r="Z151">
            <v>-16.193060000001424</v>
          </cell>
          <cell r="AA151">
            <v>-21.014059999997698</v>
          </cell>
          <cell r="AB151">
            <v>0</v>
          </cell>
          <cell r="AC151">
            <v>0</v>
          </cell>
          <cell r="AD151">
            <v>0</v>
          </cell>
          <cell r="AE151">
            <v>-55.009179999999105</v>
          </cell>
          <cell r="AF151">
            <v>-55.009179999999105</v>
          </cell>
        </row>
        <row r="152">
          <cell r="C152">
            <v>541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</row>
        <row r="153">
          <cell r="C153">
            <v>540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</row>
        <row r="154">
          <cell r="C154">
            <v>542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</row>
        <row r="155">
          <cell r="C155">
            <v>543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</row>
        <row r="156">
          <cell r="C156">
            <v>544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</row>
        <row r="157">
          <cell r="C157">
            <v>546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</row>
        <row r="158">
          <cell r="C158">
            <v>545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</row>
        <row r="159">
          <cell r="C159">
            <v>547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</row>
        <row r="160">
          <cell r="C160">
            <v>548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</row>
        <row r="161">
          <cell r="C161">
            <v>549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</row>
        <row r="162">
          <cell r="C162">
            <v>551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</row>
        <row r="163">
          <cell r="C163">
            <v>550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</row>
        <row r="164">
          <cell r="C164">
            <v>552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</row>
        <row r="165">
          <cell r="C165">
            <v>553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</row>
        <row r="166">
          <cell r="C166">
            <v>554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</row>
        <row r="167">
          <cell r="C167">
            <v>556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</row>
        <row r="168">
          <cell r="C168">
            <v>555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</row>
        <row r="169">
          <cell r="C169">
            <v>557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</row>
        <row r="170">
          <cell r="C170">
            <v>558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</row>
        <row r="171">
          <cell r="C171">
            <v>559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</row>
        <row r="173">
          <cell r="C173">
            <v>560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</row>
        <row r="174">
          <cell r="C174">
            <v>561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</row>
        <row r="175">
          <cell r="C175">
            <v>562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</row>
        <row r="176">
          <cell r="C176">
            <v>563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</row>
        <row r="177">
          <cell r="C177">
            <v>564</v>
          </cell>
          <cell r="D177">
            <v>231.30658000001858</v>
          </cell>
          <cell r="E177">
            <v>462.73182000000088</v>
          </cell>
          <cell r="F177">
            <v>870.86086000000068</v>
          </cell>
          <cell r="G177">
            <v>1279.3485499999952</v>
          </cell>
          <cell r="H177">
            <v>1802</v>
          </cell>
          <cell r="I177">
            <v>2243</v>
          </cell>
          <cell r="J177">
            <v>2684</v>
          </cell>
          <cell r="K177">
            <v>3124</v>
          </cell>
          <cell r="L177">
            <v>3563.9944699999905</v>
          </cell>
          <cell r="M177">
            <v>4003.3394800000096</v>
          </cell>
          <cell r="N177">
            <v>4451.6625900000072</v>
          </cell>
          <cell r="O177">
            <v>4803.3214599999919</v>
          </cell>
          <cell r="P177">
            <v>231.30658000001858</v>
          </cell>
          <cell r="Q177">
            <v>231.4252399999823</v>
          </cell>
          <cell r="R177">
            <v>408.1290399999998</v>
          </cell>
          <cell r="S177">
            <v>408.48768999999447</v>
          </cell>
          <cell r="T177">
            <v>522.65145000000484</v>
          </cell>
          <cell r="U177">
            <v>441</v>
          </cell>
          <cell r="V177">
            <v>441</v>
          </cell>
          <cell r="W177">
            <v>440</v>
          </cell>
          <cell r="X177">
            <v>439.99446999999054</v>
          </cell>
          <cell r="Y177">
            <v>439.3450100000191</v>
          </cell>
          <cell r="Z177">
            <v>448.32310999999754</v>
          </cell>
          <cell r="AA177">
            <v>351.65886999998474</v>
          </cell>
          <cell r="AB177">
            <v>0</v>
          </cell>
          <cell r="AC177">
            <v>0</v>
          </cell>
          <cell r="AD177">
            <v>0</v>
          </cell>
          <cell r="AE177">
            <v>1239.3269900000014</v>
          </cell>
          <cell r="AF177">
            <v>1239.3269900000014</v>
          </cell>
        </row>
        <row r="178">
          <cell r="C178">
            <v>565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</row>
        <row r="179">
          <cell r="C179">
            <v>566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</row>
        <row r="180">
          <cell r="C180">
            <v>567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</row>
        <row r="181">
          <cell r="C181">
            <v>568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</row>
        <row r="182">
          <cell r="C182">
            <v>569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</row>
        <row r="183">
          <cell r="C183">
            <v>570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</row>
        <row r="184">
          <cell r="C184">
            <v>571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</row>
        <row r="185">
          <cell r="C185">
            <v>572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</row>
        <row r="186">
          <cell r="C186">
            <v>573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</row>
        <row r="187">
          <cell r="C187">
            <v>574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</row>
        <row r="188">
          <cell r="C188">
            <v>575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</row>
        <row r="189">
          <cell r="C189">
            <v>576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</row>
        <row r="190">
          <cell r="C190">
            <v>577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</row>
        <row r="191">
          <cell r="C191">
            <v>578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</row>
        <row r="192">
          <cell r="C192">
            <v>579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</row>
        <row r="193">
          <cell r="C193">
            <v>580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</row>
        <row r="194">
          <cell r="C194">
            <v>581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</row>
        <row r="195">
          <cell r="C195">
            <v>582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</row>
        <row r="196">
          <cell r="C196">
            <v>583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</row>
        <row r="197">
          <cell r="C197">
            <v>584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</row>
        <row r="198">
          <cell r="C198">
            <v>585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</row>
        <row r="199">
          <cell r="C199">
            <v>586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</row>
        <row r="200">
          <cell r="C200">
            <v>587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</row>
        <row r="203">
          <cell r="C203">
            <v>588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</row>
        <row r="204">
          <cell r="C204">
            <v>589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</row>
        <row r="205">
          <cell r="C205">
            <v>590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</row>
        <row r="206">
          <cell r="C206">
            <v>591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</row>
        <row r="207">
          <cell r="C207">
            <v>592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</row>
        <row r="208">
          <cell r="C208">
            <v>593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</row>
        <row r="209">
          <cell r="C209">
            <v>594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</row>
        <row r="210">
          <cell r="C210">
            <v>595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</row>
        <row r="211">
          <cell r="C211">
            <v>596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</row>
        <row r="212">
          <cell r="C212">
            <v>597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</row>
        <row r="213">
          <cell r="C213">
            <v>598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</row>
        <row r="216">
          <cell r="C216">
            <v>600</v>
          </cell>
        </row>
        <row r="217">
          <cell r="C217">
            <v>601</v>
          </cell>
        </row>
        <row r="218">
          <cell r="C218">
            <v>602</v>
          </cell>
        </row>
        <row r="219">
          <cell r="C219">
            <v>603</v>
          </cell>
        </row>
        <row r="223">
          <cell r="C223">
            <v>1</v>
          </cell>
          <cell r="D223">
            <v>10865.116840000001</v>
          </cell>
          <cell r="E223">
            <v>20276.899920000003</v>
          </cell>
          <cell r="F223">
            <v>28788.699400000005</v>
          </cell>
          <cell r="G223">
            <v>35268.415740000004</v>
          </cell>
          <cell r="H223">
            <v>46194</v>
          </cell>
          <cell r="I223">
            <v>54153</v>
          </cell>
          <cell r="J223">
            <v>62668</v>
          </cell>
          <cell r="K223">
            <v>68899</v>
          </cell>
          <cell r="L223">
            <v>73893.102429999999</v>
          </cell>
          <cell r="M223">
            <v>78364.424939999997</v>
          </cell>
          <cell r="N223">
            <v>83233.722440000012</v>
          </cell>
          <cell r="O223">
            <v>85674.425510000001</v>
          </cell>
          <cell r="P223">
            <v>10865.116840000001</v>
          </cell>
          <cell r="Q223">
            <v>9411.7830800000029</v>
          </cell>
          <cell r="R223">
            <v>8511.7994800000015</v>
          </cell>
          <cell r="S223">
            <v>6479.716339999999</v>
          </cell>
          <cell r="T223">
            <v>10925.584259999996</v>
          </cell>
          <cell r="U223">
            <v>7959</v>
          </cell>
          <cell r="V223">
            <v>8515</v>
          </cell>
          <cell r="W223">
            <v>6231</v>
          </cell>
          <cell r="X223">
            <v>4994.102429999999</v>
          </cell>
          <cell r="Y223">
            <v>4471.3225099999981</v>
          </cell>
          <cell r="Z223">
            <v>4869.2975000000151</v>
          </cell>
          <cell r="AA223">
            <v>2440.7030699999887</v>
          </cell>
          <cell r="AB223">
            <v>0</v>
          </cell>
          <cell r="AC223">
            <v>0</v>
          </cell>
          <cell r="AD223">
            <v>0</v>
          </cell>
          <cell r="AE223">
            <v>11781.323080000002</v>
          </cell>
          <cell r="AF223">
            <v>11781.323080000002</v>
          </cell>
        </row>
        <row r="224">
          <cell r="C224">
            <v>2</v>
          </cell>
          <cell r="D224">
            <v>7994.2664999999979</v>
          </cell>
          <cell r="E224">
            <v>14582.811200000002</v>
          </cell>
          <cell r="F224">
            <v>21218.279190000001</v>
          </cell>
          <cell r="G224">
            <v>27107.92972</v>
          </cell>
          <cell r="H224">
            <v>34020.770830000001</v>
          </cell>
          <cell r="I224">
            <v>40547.051220000001</v>
          </cell>
          <cell r="J224">
            <v>47269.889370000004</v>
          </cell>
          <cell r="K224">
            <v>52392.52132</v>
          </cell>
          <cell r="L224">
            <v>56393.043050000007</v>
          </cell>
          <cell r="M224">
            <v>59574.713789999994</v>
          </cell>
          <cell r="N224">
            <v>63224.975350000001</v>
          </cell>
          <cell r="O224">
            <v>64917.614230000007</v>
          </cell>
          <cell r="P224">
            <v>7994.2664999999979</v>
          </cell>
          <cell r="Q224">
            <v>6588.544700000004</v>
          </cell>
          <cell r="R224">
            <v>6635.4679899999992</v>
          </cell>
          <cell r="S224">
            <v>5889.650529999999</v>
          </cell>
          <cell r="T224">
            <v>6912.8411100000012</v>
          </cell>
          <cell r="U224">
            <v>6526.2803899999999</v>
          </cell>
          <cell r="V224">
            <v>6722.8381500000032</v>
          </cell>
          <cell r="W224">
            <v>5122.6319499999954</v>
          </cell>
          <cell r="X224">
            <v>4000.5217300000077</v>
          </cell>
          <cell r="Y224">
            <v>3181.6707399999868</v>
          </cell>
          <cell r="Z224">
            <v>3650.2615600000063</v>
          </cell>
          <cell r="AA224">
            <v>1692.6388800000059</v>
          </cell>
          <cell r="AB224">
            <v>0</v>
          </cell>
          <cell r="AC224">
            <v>0</v>
          </cell>
          <cell r="AD224">
            <v>0</v>
          </cell>
          <cell r="AE224">
            <v>8524.571179999999</v>
          </cell>
          <cell r="AF224">
            <v>8524.571179999999</v>
          </cell>
        </row>
        <row r="225">
          <cell r="C225">
            <v>170</v>
          </cell>
          <cell r="D225">
            <v>2870.8503400000027</v>
          </cell>
          <cell r="E225">
            <v>5694.0887200000016</v>
          </cell>
          <cell r="F225">
            <v>7570.4202100000039</v>
          </cell>
          <cell r="G225">
            <v>8160.4860200000039</v>
          </cell>
          <cell r="H225">
            <v>12173.229169999999</v>
          </cell>
          <cell r="I225">
            <v>13605.948779999999</v>
          </cell>
          <cell r="J225">
            <v>15398.110629999996</v>
          </cell>
          <cell r="K225">
            <v>16506.47868</v>
          </cell>
          <cell r="L225">
            <v>17500.059379999992</v>
          </cell>
          <cell r="M225">
            <v>18789.711150000003</v>
          </cell>
          <cell r="N225">
            <v>20008.747090000012</v>
          </cell>
          <cell r="O225">
            <v>20756.811279999994</v>
          </cell>
          <cell r="P225">
            <v>2870.8503400000027</v>
          </cell>
          <cell r="Q225">
            <v>2823.2383799999989</v>
          </cell>
          <cell r="R225">
            <v>1876.3314900000023</v>
          </cell>
          <cell r="S225">
            <v>590.06581000000006</v>
          </cell>
          <cell r="T225">
            <v>4012.7431499999948</v>
          </cell>
          <cell r="U225">
            <v>1432.7196100000001</v>
          </cell>
          <cell r="V225">
            <v>1792.1618499999968</v>
          </cell>
          <cell r="W225">
            <v>1108.3680500000046</v>
          </cell>
          <cell r="X225">
            <v>993.58069999999134</v>
          </cell>
          <cell r="Y225">
            <v>1289.6517700000113</v>
          </cell>
          <cell r="Z225">
            <v>1219.0359400000088</v>
          </cell>
          <cell r="AA225">
            <v>748.06418999998277</v>
          </cell>
          <cell r="AB225">
            <v>0</v>
          </cell>
          <cell r="AC225">
            <v>0</v>
          </cell>
          <cell r="AD225">
            <v>0</v>
          </cell>
          <cell r="AE225">
            <v>3256.7519000000029</v>
          </cell>
          <cell r="AF225">
            <v>3256.7519000000029</v>
          </cell>
        </row>
        <row r="226">
          <cell r="C226">
            <v>3</v>
          </cell>
          <cell r="D226">
            <v>135.41274999999999</v>
          </cell>
          <cell r="E226">
            <v>272.35651999999999</v>
          </cell>
          <cell r="F226">
            <v>403.24811</v>
          </cell>
          <cell r="G226">
            <v>563.31227999999999</v>
          </cell>
          <cell r="H226">
            <v>700.33039999999994</v>
          </cell>
          <cell r="I226">
            <v>835.18747999999994</v>
          </cell>
          <cell r="J226">
            <v>966.13469999999995</v>
          </cell>
          <cell r="K226">
            <v>1074.2628199999999</v>
          </cell>
          <cell r="L226">
            <v>1182.8242700000001</v>
          </cell>
          <cell r="M226">
            <v>1279.3989199999999</v>
          </cell>
          <cell r="N226">
            <v>1279.4864799999998</v>
          </cell>
          <cell r="O226">
            <v>1307.5805599999999</v>
          </cell>
          <cell r="P226">
            <v>135.41274999999999</v>
          </cell>
          <cell r="Q226">
            <v>136.94377</v>
          </cell>
          <cell r="R226">
            <v>130.89159000000001</v>
          </cell>
          <cell r="S226">
            <v>160.06416999999999</v>
          </cell>
          <cell r="T226">
            <v>137.01811999999995</v>
          </cell>
          <cell r="U226">
            <v>134.85708</v>
          </cell>
          <cell r="V226">
            <v>130.94722000000002</v>
          </cell>
          <cell r="W226">
            <v>108.12811999999997</v>
          </cell>
          <cell r="X226">
            <v>108.56145000000015</v>
          </cell>
          <cell r="Y226">
            <v>96.574649999999792</v>
          </cell>
          <cell r="Z226">
            <v>8.7559999999939464E-2</v>
          </cell>
          <cell r="AA226">
            <v>28.094080000000076</v>
          </cell>
          <cell r="AB226">
            <v>0</v>
          </cell>
          <cell r="AC226">
            <v>0</v>
          </cell>
          <cell r="AD226">
            <v>0</v>
          </cell>
          <cell r="AE226">
            <v>124.75628999999981</v>
          </cell>
          <cell r="AF226">
            <v>124.75628999999981</v>
          </cell>
        </row>
        <row r="227">
          <cell r="C227">
            <v>4</v>
          </cell>
          <cell r="D227">
            <v>855.93916000000002</v>
          </cell>
          <cell r="E227">
            <v>1677.8407299999999</v>
          </cell>
          <cell r="F227">
            <v>2524.3018199999997</v>
          </cell>
          <cell r="G227">
            <v>3341.6042500000003</v>
          </cell>
          <cell r="H227">
            <v>4159.0961000000007</v>
          </cell>
          <cell r="I227">
            <v>4971.2056000000002</v>
          </cell>
          <cell r="J227">
            <v>5783.0344699999996</v>
          </cell>
          <cell r="K227">
            <v>6629.64923</v>
          </cell>
          <cell r="L227">
            <v>7542.1435799999999</v>
          </cell>
          <cell r="M227">
            <v>8392.507889999999</v>
          </cell>
          <cell r="N227">
            <v>9113.9002599999985</v>
          </cell>
          <cell r="O227">
            <v>10258.474109999999</v>
          </cell>
          <cell r="P227">
            <v>855.93916000000002</v>
          </cell>
          <cell r="Q227">
            <v>821.90156999999988</v>
          </cell>
          <cell r="R227">
            <v>846.46108999999979</v>
          </cell>
          <cell r="S227">
            <v>817.30243000000064</v>
          </cell>
          <cell r="T227">
            <v>817.49185000000034</v>
          </cell>
          <cell r="U227">
            <v>812.10949999999957</v>
          </cell>
          <cell r="V227">
            <v>811.82886999999937</v>
          </cell>
          <cell r="W227">
            <v>846.61476000000039</v>
          </cell>
          <cell r="X227">
            <v>912.49434999999994</v>
          </cell>
          <cell r="Y227">
            <v>850.36430999999902</v>
          </cell>
          <cell r="Z227">
            <v>721.39236999999957</v>
          </cell>
          <cell r="AA227">
            <v>1144.5738500000007</v>
          </cell>
          <cell r="AB227">
            <v>0</v>
          </cell>
          <cell r="AC227">
            <v>0</v>
          </cell>
          <cell r="AD227">
            <v>0</v>
          </cell>
          <cell r="AE227">
            <v>2716.3305299999993</v>
          </cell>
          <cell r="AF227">
            <v>2716.3305299999993</v>
          </cell>
        </row>
        <row r="228">
          <cell r="C228">
            <v>67</v>
          </cell>
          <cell r="D228">
            <v>-2073.9498199999998</v>
          </cell>
          <cell r="E228">
            <v>-1866.3564199999983</v>
          </cell>
          <cell r="F228">
            <v>632.11563999999998</v>
          </cell>
          <cell r="G228">
            <v>1263.2832900000067</v>
          </cell>
          <cell r="H228">
            <v>5355.8026699999973</v>
          </cell>
          <cell r="I228">
            <v>5707.5556999999972</v>
          </cell>
          <cell r="J228">
            <v>6448.9414599999945</v>
          </cell>
          <cell r="K228">
            <v>6581.5666299999939</v>
          </cell>
          <cell r="L228">
            <v>6465.677949999983</v>
          </cell>
          <cell r="M228">
            <v>11116.89142</v>
          </cell>
          <cell r="N228">
            <v>12822.12318000001</v>
          </cell>
          <cell r="O228">
            <v>12004.528980000003</v>
          </cell>
          <cell r="P228">
            <v>-2073.9498199999998</v>
          </cell>
          <cell r="Q228">
            <v>207.59340000000157</v>
          </cell>
          <cell r="R228">
            <v>2498.4720599999982</v>
          </cell>
          <cell r="S228">
            <v>631.16765000000669</v>
          </cell>
          <cell r="T228">
            <v>4092.5193799999906</v>
          </cell>
          <cell r="U228">
            <v>351.75302999999985</v>
          </cell>
          <cell r="V228">
            <v>741.38575999999739</v>
          </cell>
          <cell r="W228">
            <v>132.62516999999934</v>
          </cell>
          <cell r="X228">
            <v>-115.88868000001094</v>
          </cell>
          <cell r="Y228">
            <v>4651.213470000017</v>
          </cell>
          <cell r="Z228">
            <v>1705.2317600000097</v>
          </cell>
          <cell r="AA228">
            <v>-817.59420000000682</v>
          </cell>
          <cell r="AB228">
            <v>0</v>
          </cell>
          <cell r="AC228">
            <v>0</v>
          </cell>
          <cell r="AD228">
            <v>0</v>
          </cell>
          <cell r="AE228">
            <v>5538.8510300000198</v>
          </cell>
          <cell r="AF228">
            <v>5538.8510300000198</v>
          </cell>
        </row>
        <row r="229">
          <cell r="C229">
            <v>52</v>
          </cell>
          <cell r="D229">
            <v>-1467.3848199999998</v>
          </cell>
          <cell r="E229">
            <v>-1333.2584199999983</v>
          </cell>
          <cell r="F229">
            <v>545.57864000000006</v>
          </cell>
          <cell r="G229">
            <v>956.51429000000678</v>
          </cell>
          <cell r="H229">
            <v>3938.8026699999973</v>
          </cell>
          <cell r="I229">
            <v>4138.5556999999972</v>
          </cell>
          <cell r="J229">
            <v>4687.9414599999945</v>
          </cell>
          <cell r="K229">
            <v>4803.5666299999939</v>
          </cell>
          <cell r="L229">
            <v>4729.521949999983</v>
          </cell>
          <cell r="M229">
            <v>8104.9304200000006</v>
          </cell>
          <cell r="N229">
            <v>9356.9121800000103</v>
          </cell>
          <cell r="O229">
            <v>8813.8239800000028</v>
          </cell>
          <cell r="P229">
            <v>-1467.3848199999998</v>
          </cell>
          <cell r="Q229">
            <v>134.12640000000147</v>
          </cell>
          <cell r="R229">
            <v>1878.8370599999985</v>
          </cell>
          <cell r="S229">
            <v>410.93565000000672</v>
          </cell>
          <cell r="T229">
            <v>2982.2883799999904</v>
          </cell>
          <cell r="U229">
            <v>199.75302999999985</v>
          </cell>
          <cell r="V229">
            <v>549.38575999999739</v>
          </cell>
          <cell r="W229">
            <v>115.62516999999934</v>
          </cell>
          <cell r="X229">
            <v>-74.044680000010885</v>
          </cell>
          <cell r="Y229">
            <v>3375.4084700000176</v>
          </cell>
          <cell r="Z229">
            <v>1251.9817600000097</v>
          </cell>
          <cell r="AA229">
            <v>-543.08820000000742</v>
          </cell>
          <cell r="AB229">
            <v>0</v>
          </cell>
          <cell r="AC229">
            <v>0</v>
          </cell>
          <cell r="AD229">
            <v>0</v>
          </cell>
          <cell r="AE229">
            <v>4084.3020300000198</v>
          </cell>
          <cell r="AF229">
            <v>4084.3020300000198</v>
          </cell>
        </row>
        <row r="230">
          <cell r="C230">
            <v>69</v>
          </cell>
          <cell r="D230">
            <v>-1985.4063599999972</v>
          </cell>
          <cell r="E230">
            <v>-1694.1419999999989</v>
          </cell>
          <cell r="F230">
            <v>940.9730000000045</v>
          </cell>
          <cell r="G230">
            <v>1670.7436000000034</v>
          </cell>
          <cell r="H230">
            <v>5854.8026699999982</v>
          </cell>
          <cell r="I230">
            <v>6273.555699999999</v>
          </cell>
          <cell r="J230">
            <v>7082.9414599999964</v>
          </cell>
          <cell r="K230">
            <v>7282.5666300000012</v>
          </cell>
          <cell r="L230">
            <v>7404.6133099999906</v>
          </cell>
          <cell r="M230">
            <v>12285.427820000004</v>
          </cell>
          <cell r="N230">
            <v>14347.030810000015</v>
          </cell>
          <cell r="O230">
            <v>13738.807859999995</v>
          </cell>
          <cell r="P230">
            <v>-1985.4063599999972</v>
          </cell>
          <cell r="Q230">
            <v>291.26435999999831</v>
          </cell>
          <cell r="R230">
            <v>2635.1150000000034</v>
          </cell>
          <cell r="S230">
            <v>729.77059999999892</v>
          </cell>
          <cell r="T230">
            <v>4184.0590699999948</v>
          </cell>
          <cell r="U230">
            <v>418.75303000000076</v>
          </cell>
          <cell r="V230">
            <v>809.38575999999739</v>
          </cell>
          <cell r="W230">
            <v>199.6251700000048</v>
          </cell>
          <cell r="X230">
            <v>122.04667999998946</v>
          </cell>
          <cell r="Y230">
            <v>4880.8145100000138</v>
          </cell>
          <cell r="Z230">
            <v>2061.6029900000103</v>
          </cell>
          <cell r="AA230">
            <v>-608.22295000001941</v>
          </cell>
          <cell r="AB230">
            <v>0</v>
          </cell>
          <cell r="AC230">
            <v>0</v>
          </cell>
          <cell r="AD230">
            <v>0</v>
          </cell>
          <cell r="AE230">
            <v>6334.1945500000047</v>
          </cell>
          <cell r="AF230">
            <v>6334.1945500000047</v>
          </cell>
        </row>
        <row r="231">
          <cell r="C231">
            <v>70</v>
          </cell>
          <cell r="D231">
            <v>-1754.1158399999972</v>
          </cell>
          <cell r="E231">
            <v>-1231.4262399999991</v>
          </cell>
          <cell r="F231">
            <v>1893.0068600000045</v>
          </cell>
          <cell r="G231">
            <v>3112.4542100000035</v>
          </cell>
          <cell r="H231">
            <v>7818.9376599999978</v>
          </cell>
          <cell r="I231">
            <v>8760.115069999998</v>
          </cell>
          <cell r="J231">
            <v>10091.240839999997</v>
          </cell>
          <cell r="K231">
            <v>10812.538400000001</v>
          </cell>
          <cell r="L231">
            <v>11455.726079999989</v>
          </cell>
          <cell r="M231">
            <v>16857.074660000006</v>
          </cell>
          <cell r="N231">
            <v>19448.189820000018</v>
          </cell>
          <cell r="O231">
            <v>19350.157799999997</v>
          </cell>
          <cell r="P231">
            <v>-1754.1158399999972</v>
          </cell>
          <cell r="Q231">
            <v>522.68959999999811</v>
          </cell>
          <cell r="R231">
            <v>3124.4331000000038</v>
          </cell>
          <cell r="S231">
            <v>1219.447349999999</v>
          </cell>
          <cell r="T231">
            <v>4706.4834499999943</v>
          </cell>
          <cell r="U231">
            <v>941.17741000000024</v>
          </cell>
          <cell r="V231">
            <v>1331.1257699999987</v>
          </cell>
          <cell r="W231">
            <v>721.29756000000452</v>
          </cell>
          <cell r="X231">
            <v>643.18767999998818</v>
          </cell>
          <cell r="Y231">
            <v>5401.3485800000162</v>
          </cell>
          <cell r="Z231">
            <v>2591.1151600000121</v>
          </cell>
          <cell r="AA231">
            <v>-98.032020000020566</v>
          </cell>
          <cell r="AB231">
            <v>0</v>
          </cell>
          <cell r="AC231">
            <v>0</v>
          </cell>
          <cell r="AD231">
            <v>0</v>
          </cell>
          <cell r="AE231">
            <v>7894.4317200000078</v>
          </cell>
          <cell r="AF231">
            <v>7894.4317200000078</v>
          </cell>
        </row>
        <row r="232">
          <cell r="C232">
            <v>151</v>
          </cell>
          <cell r="D232">
            <v>18.65419</v>
          </cell>
          <cell r="E232">
            <v>37.348559999999999</v>
          </cell>
          <cell r="F232">
            <v>56.042929999999998</v>
          </cell>
          <cell r="G232">
            <v>74.737300000000005</v>
          </cell>
          <cell r="H232">
            <v>93.431669999999997</v>
          </cell>
          <cell r="I232">
            <v>112.12603999999999</v>
          </cell>
          <cell r="J232">
            <v>130.53276</v>
          </cell>
          <cell r="K232">
            <v>148.93948</v>
          </cell>
          <cell r="L232">
            <v>167.24557000000001</v>
          </cell>
          <cell r="M232">
            <v>185.48139</v>
          </cell>
          <cell r="N232">
            <v>195.83678</v>
          </cell>
          <cell r="O232">
            <v>224.33476000000002</v>
          </cell>
          <cell r="P232">
            <v>18.65419</v>
          </cell>
          <cell r="Q232">
            <v>18.694369999999999</v>
          </cell>
          <cell r="R232">
            <v>18.694369999999999</v>
          </cell>
          <cell r="S232">
            <v>18.694370000000006</v>
          </cell>
          <cell r="T232">
            <v>18.694369999999992</v>
          </cell>
          <cell r="U232">
            <v>18.694369999999992</v>
          </cell>
          <cell r="V232">
            <v>18.406720000000007</v>
          </cell>
          <cell r="W232">
            <v>18.406720000000007</v>
          </cell>
          <cell r="X232">
            <v>18.306090000000012</v>
          </cell>
          <cell r="Y232">
            <v>18.23581999999999</v>
          </cell>
          <cell r="Z232">
            <v>10.35539</v>
          </cell>
          <cell r="AA232">
            <v>28.497980000000013</v>
          </cell>
          <cell r="AB232">
            <v>0</v>
          </cell>
          <cell r="AC232">
            <v>0</v>
          </cell>
          <cell r="AD232">
            <v>0</v>
          </cell>
          <cell r="AE232">
            <v>57.089190000000002</v>
          </cell>
          <cell r="AF232">
            <v>57.089190000000002</v>
          </cell>
        </row>
        <row r="233">
          <cell r="C233">
            <v>50</v>
          </cell>
          <cell r="D233">
            <v>56306.467730000004</v>
          </cell>
          <cell r="E233">
            <v>56306.467730000004</v>
          </cell>
          <cell r="F233">
            <v>56306.467730000004</v>
          </cell>
          <cell r="G233">
            <v>56306.467730000004</v>
          </cell>
          <cell r="H233">
            <v>56306</v>
          </cell>
          <cell r="I233">
            <v>56306</v>
          </cell>
          <cell r="J233">
            <v>56306</v>
          </cell>
          <cell r="K233">
            <v>56306</v>
          </cell>
          <cell r="L233">
            <v>56306.467730000004</v>
          </cell>
          <cell r="M233">
            <v>56306.467730000004</v>
          </cell>
          <cell r="N233">
            <v>56306.467730000004</v>
          </cell>
          <cell r="O233">
            <v>56306.467730000004</v>
          </cell>
          <cell r="P233">
            <v>56306.467730000004</v>
          </cell>
          <cell r="Q233">
            <v>56306.467730000004</v>
          </cell>
          <cell r="R233">
            <v>56306.467730000004</v>
          </cell>
          <cell r="S233">
            <v>56306.467730000004</v>
          </cell>
          <cell r="T233">
            <v>56306</v>
          </cell>
          <cell r="U233">
            <v>56306</v>
          </cell>
          <cell r="V233">
            <v>56306</v>
          </cell>
          <cell r="W233">
            <v>56306</v>
          </cell>
          <cell r="X233">
            <v>56306.467730000004</v>
          </cell>
          <cell r="Y233">
            <v>56306.467730000004</v>
          </cell>
          <cell r="Z233">
            <v>56306.467730000004</v>
          </cell>
          <cell r="AA233">
            <v>56306.467730000004</v>
          </cell>
        </row>
        <row r="234">
          <cell r="C234">
            <v>152</v>
          </cell>
          <cell r="D234">
            <v>-574</v>
          </cell>
          <cell r="E234">
            <v>-574</v>
          </cell>
          <cell r="F234">
            <v>-574</v>
          </cell>
          <cell r="G234">
            <v>-574</v>
          </cell>
          <cell r="H234">
            <v>-574</v>
          </cell>
          <cell r="I234">
            <v>-574</v>
          </cell>
          <cell r="J234">
            <v>-574</v>
          </cell>
          <cell r="K234">
            <v>-574</v>
          </cell>
          <cell r="L234">
            <v>-574</v>
          </cell>
          <cell r="M234">
            <v>-574</v>
          </cell>
          <cell r="N234">
            <v>-574</v>
          </cell>
          <cell r="O234">
            <v>-574</v>
          </cell>
          <cell r="P234">
            <v>-574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</row>
        <row r="235">
          <cell r="C235">
            <v>18</v>
          </cell>
          <cell r="D235">
            <v>10865.116840000001</v>
          </cell>
          <cell r="E235">
            <v>20276.899920000003</v>
          </cell>
          <cell r="F235">
            <v>28788.699400000005</v>
          </cell>
          <cell r="G235">
            <v>35268.415740000004</v>
          </cell>
          <cell r="H235">
            <v>46194</v>
          </cell>
          <cell r="I235">
            <v>54153</v>
          </cell>
          <cell r="J235">
            <v>62668</v>
          </cell>
          <cell r="K235">
            <v>68899</v>
          </cell>
          <cell r="L235">
            <v>73893.102429999999</v>
          </cell>
          <cell r="M235">
            <v>78364.424939999997</v>
          </cell>
          <cell r="N235">
            <v>83233.722440000012</v>
          </cell>
          <cell r="O235">
            <v>85674.425510000001</v>
          </cell>
          <cell r="P235">
            <v>10865.116840000001</v>
          </cell>
          <cell r="Q235">
            <v>9411.7830800000029</v>
          </cell>
          <cell r="R235">
            <v>8511.7994800000015</v>
          </cell>
          <cell r="S235">
            <v>6479.716339999999</v>
          </cell>
          <cell r="T235">
            <v>10925.584259999996</v>
          </cell>
          <cell r="U235">
            <v>7959</v>
          </cell>
          <cell r="V235">
            <v>8515</v>
          </cell>
          <cell r="W235">
            <v>6231</v>
          </cell>
          <cell r="X235">
            <v>4994.102429999999</v>
          </cell>
          <cell r="Y235">
            <v>4471.3225099999981</v>
          </cell>
          <cell r="Z235">
            <v>4869.2975000000151</v>
          </cell>
          <cell r="AA235">
            <v>2440.7030699999887</v>
          </cell>
          <cell r="AB235">
            <v>0</v>
          </cell>
          <cell r="AC235">
            <v>0</v>
          </cell>
          <cell r="AD235">
            <v>0</v>
          </cell>
          <cell r="AE235">
            <v>11781.323080000002</v>
          </cell>
          <cell r="AF235">
            <v>11781.323080000002</v>
          </cell>
        </row>
        <row r="236">
          <cell r="C236">
            <v>71</v>
          </cell>
          <cell r="D236">
            <v>2107.1728700000122</v>
          </cell>
          <cell r="E236">
            <v>2456.0584700000136</v>
          </cell>
          <cell r="F236">
            <v>2526.391820000008</v>
          </cell>
          <cell r="G236">
            <v>2264.6485100000054</v>
          </cell>
          <cell r="H236">
            <v>3443.9049600000085</v>
          </cell>
          <cell r="I236">
            <v>6640</v>
          </cell>
          <cell r="J236">
            <v>6640</v>
          </cell>
          <cell r="K236">
            <v>6640</v>
          </cell>
          <cell r="L236">
            <v>6640</v>
          </cell>
          <cell r="M236">
            <v>6640</v>
          </cell>
          <cell r="N236">
            <v>6640</v>
          </cell>
          <cell r="O236">
            <v>6640</v>
          </cell>
          <cell r="P236">
            <v>2107.1728700000122</v>
          </cell>
          <cell r="Q236">
            <v>348.88560000000143</v>
          </cell>
          <cell r="R236">
            <v>70.333349999994425</v>
          </cell>
          <cell r="S236">
            <v>-261.74331000000257</v>
          </cell>
          <cell r="T236">
            <v>1179.256450000003</v>
          </cell>
          <cell r="U236">
            <v>3196.0950399999915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</row>
        <row r="237">
          <cell r="C237">
            <v>72</v>
          </cell>
          <cell r="D237">
            <v>-1254.3609300000098</v>
          </cell>
          <cell r="E237">
            <v>955.17906999998377</v>
          </cell>
          <cell r="F237">
            <v>1152.8951599999964</v>
          </cell>
          <cell r="G237">
            <v>2684.7965099999892</v>
          </cell>
          <cell r="H237">
            <v>2499.1613699999907</v>
          </cell>
          <cell r="I237">
            <v>25864</v>
          </cell>
          <cell r="J237">
            <v>25864</v>
          </cell>
          <cell r="K237">
            <v>25864</v>
          </cell>
          <cell r="L237">
            <v>25864</v>
          </cell>
          <cell r="M237">
            <v>25864</v>
          </cell>
          <cell r="N237">
            <v>25864</v>
          </cell>
          <cell r="O237">
            <v>25864</v>
          </cell>
          <cell r="P237">
            <v>-1254.3609300000098</v>
          </cell>
          <cell r="Q237">
            <v>2209.5399999999936</v>
          </cell>
          <cell r="R237">
            <v>197.71609000001263</v>
          </cell>
          <cell r="S237">
            <v>1531.9013499999928</v>
          </cell>
          <cell r="T237">
            <v>-185.6351399999985</v>
          </cell>
          <cell r="U237">
            <v>23364.838630000009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</row>
        <row r="238">
          <cell r="C238">
            <v>73</v>
          </cell>
          <cell r="D238">
            <v>11.121179999999754</v>
          </cell>
          <cell r="E238">
            <v>134.98325999999975</v>
          </cell>
          <cell r="F238">
            <v>-131.01246000000094</v>
          </cell>
          <cell r="G238">
            <v>164.89091999999812</v>
          </cell>
          <cell r="H238">
            <v>185.1295000000074</v>
          </cell>
          <cell r="I238">
            <v>755</v>
          </cell>
          <cell r="J238">
            <v>755</v>
          </cell>
          <cell r="K238">
            <v>755</v>
          </cell>
          <cell r="L238">
            <v>755</v>
          </cell>
          <cell r="M238">
            <v>755</v>
          </cell>
          <cell r="N238">
            <v>755</v>
          </cell>
          <cell r="O238">
            <v>755</v>
          </cell>
          <cell r="P238">
            <v>11.121179999999754</v>
          </cell>
          <cell r="Q238">
            <v>123.86207999999999</v>
          </cell>
          <cell r="R238">
            <v>-265.99572000000069</v>
          </cell>
          <cell r="S238">
            <v>295.90337999999906</v>
          </cell>
          <cell r="T238">
            <v>20.238580000009279</v>
          </cell>
          <cell r="U238">
            <v>569.8704999999926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</row>
        <row r="239">
          <cell r="C239">
            <v>74</v>
          </cell>
          <cell r="D239">
            <v>4505.7664100000002</v>
          </cell>
          <cell r="E239">
            <v>4298.5897499999992</v>
          </cell>
          <cell r="F239">
            <v>3696.7932199999996</v>
          </cell>
          <cell r="G239">
            <v>3977.6735399999998</v>
          </cell>
          <cell r="H239">
            <v>5470</v>
          </cell>
          <cell r="I239">
            <v>7234</v>
          </cell>
          <cell r="J239">
            <v>8586</v>
          </cell>
          <cell r="K239">
            <v>10033</v>
          </cell>
          <cell r="L239">
            <v>10942.946329999999</v>
          </cell>
          <cell r="M239">
            <v>10703.800070000001</v>
          </cell>
          <cell r="N239">
            <v>10601.943889999999</v>
          </cell>
          <cell r="O239">
            <v>9553.6044499999989</v>
          </cell>
          <cell r="P239">
            <v>4505.7664100000002</v>
          </cell>
          <cell r="Q239">
            <v>-207.17666000000099</v>
          </cell>
          <cell r="R239">
            <v>-601.79652999999962</v>
          </cell>
          <cell r="S239">
            <v>280.88032000000021</v>
          </cell>
          <cell r="T239">
            <v>1492.3264600000002</v>
          </cell>
          <cell r="U239">
            <v>1764</v>
          </cell>
          <cell r="V239">
            <v>1352</v>
          </cell>
          <cell r="W239">
            <v>1447</v>
          </cell>
          <cell r="X239">
            <v>909.94632999999885</v>
          </cell>
          <cell r="Y239">
            <v>-239.14625999999771</v>
          </cell>
          <cell r="Z239">
            <v>-101.8561800000025</v>
          </cell>
          <cell r="AA239">
            <v>-1048.3394399999997</v>
          </cell>
          <cell r="AB239">
            <v>0</v>
          </cell>
          <cell r="AC239">
            <v>0</v>
          </cell>
          <cell r="AD239">
            <v>0</v>
          </cell>
          <cell r="AE239">
            <v>-1389.3418799999999</v>
          </cell>
          <cell r="AF239">
            <v>-1389.3418799999999</v>
          </cell>
        </row>
        <row r="240">
          <cell r="C240">
            <v>75</v>
          </cell>
          <cell r="D240">
            <v>-218.55976999999984</v>
          </cell>
          <cell r="E240">
            <v>-947.55272000000014</v>
          </cell>
          <cell r="F240">
            <v>-1175.8907200000003</v>
          </cell>
          <cell r="G240">
            <v>-1293.8865000000001</v>
          </cell>
          <cell r="H240">
            <v>-1918.0954200000001</v>
          </cell>
          <cell r="I240">
            <v>1666</v>
          </cell>
          <cell r="J240">
            <v>1666</v>
          </cell>
          <cell r="K240">
            <v>1666</v>
          </cell>
          <cell r="L240">
            <v>1666</v>
          </cell>
          <cell r="M240">
            <v>1666</v>
          </cell>
          <cell r="N240">
            <v>1666</v>
          </cell>
          <cell r="O240">
            <v>1666</v>
          </cell>
          <cell r="P240">
            <v>-218.55976999999984</v>
          </cell>
          <cell r="Q240">
            <v>-728.99295000000029</v>
          </cell>
          <cell r="R240">
            <v>-228.33800000000019</v>
          </cell>
          <cell r="S240">
            <v>-117.99577999999974</v>
          </cell>
          <cell r="T240">
            <v>-624.20892000000003</v>
          </cell>
          <cell r="U240">
            <v>3584.0954200000001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</row>
        <row r="241">
          <cell r="C241">
            <v>76</v>
          </cell>
          <cell r="D241">
            <v>-1312.8244900000591</v>
          </cell>
          <cell r="E241">
            <v>-1596.2582999999859</v>
          </cell>
          <cell r="F241">
            <v>-991.83415999999397</v>
          </cell>
          <cell r="G241">
            <v>-4460.8811499999956</v>
          </cell>
          <cell r="H241">
            <v>-4166</v>
          </cell>
          <cell r="I241">
            <v>-5625</v>
          </cell>
          <cell r="J241">
            <v>-4901</v>
          </cell>
          <cell r="K241">
            <v>-5720</v>
          </cell>
          <cell r="L241">
            <v>-5574.294620000027</v>
          </cell>
          <cell r="M241">
            <v>-4963.5904500000306</v>
          </cell>
          <cell r="N241">
            <v>-4683.2842000000364</v>
          </cell>
          <cell r="O241">
            <v>-5732.7996999999641</v>
          </cell>
          <cell r="P241">
            <v>-1312.8244900000591</v>
          </cell>
          <cell r="Q241">
            <v>-283.43380999992678</v>
          </cell>
          <cell r="R241">
            <v>604.42413999999189</v>
          </cell>
          <cell r="S241">
            <v>-3469.0469900000016</v>
          </cell>
          <cell r="T241">
            <v>294.88114999999561</v>
          </cell>
          <cell r="U241">
            <v>-1459</v>
          </cell>
          <cell r="V241">
            <v>724</v>
          </cell>
          <cell r="W241">
            <v>-819</v>
          </cell>
          <cell r="X241">
            <v>145.70537999997305</v>
          </cell>
          <cell r="Y241">
            <v>610.70416999999634</v>
          </cell>
          <cell r="Z241">
            <v>280.30624999999418</v>
          </cell>
          <cell r="AA241">
            <v>-1049.5154999999277</v>
          </cell>
          <cell r="AB241">
            <v>0</v>
          </cell>
          <cell r="AC241">
            <v>0</v>
          </cell>
          <cell r="AD241">
            <v>0</v>
          </cell>
          <cell r="AE241">
            <v>-158.50507999993715</v>
          </cell>
          <cell r="AF241">
            <v>-158.50507999993715</v>
          </cell>
        </row>
        <row r="242">
          <cell r="C242">
            <v>77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</row>
        <row r="243">
          <cell r="C243">
            <v>78</v>
          </cell>
          <cell r="D243">
            <v>-1616.472</v>
          </cell>
          <cell r="E243">
            <v>-1750.2090000000001</v>
          </cell>
          <cell r="F243">
            <v>-1777.412</v>
          </cell>
          <cell r="G243">
            <v>-1513.529</v>
          </cell>
          <cell r="H243">
            <v>-420</v>
          </cell>
          <cell r="I243">
            <v>-317</v>
          </cell>
          <cell r="J243">
            <v>-144</v>
          </cell>
          <cell r="K243">
            <v>-135</v>
          </cell>
          <cell r="L243">
            <v>-557.22699999999998</v>
          </cell>
          <cell r="M243">
            <v>737.04700000000003</v>
          </cell>
          <cell r="N243">
            <v>1168.4369999999999</v>
          </cell>
          <cell r="O243">
            <v>894.625</v>
          </cell>
          <cell r="P243">
            <v>-1616.472</v>
          </cell>
          <cell r="Q243">
            <v>-133.73700000000008</v>
          </cell>
          <cell r="R243">
            <v>-27.202999999999975</v>
          </cell>
          <cell r="S243">
            <v>263.88300000000004</v>
          </cell>
          <cell r="T243">
            <v>1093.529</v>
          </cell>
          <cell r="U243">
            <v>103</v>
          </cell>
          <cell r="V243">
            <v>173</v>
          </cell>
          <cell r="W243">
            <v>9</v>
          </cell>
          <cell r="X243">
            <v>-422.22699999999998</v>
          </cell>
          <cell r="Y243">
            <v>1294.2739999999999</v>
          </cell>
          <cell r="Z243">
            <v>431.38999999999987</v>
          </cell>
          <cell r="AA243">
            <v>-273.8119999999999</v>
          </cell>
          <cell r="AB243">
            <v>0</v>
          </cell>
          <cell r="AC243">
            <v>0</v>
          </cell>
          <cell r="AD243">
            <v>0</v>
          </cell>
          <cell r="AE243">
            <v>1451.8519999999999</v>
          </cell>
          <cell r="AF243">
            <v>1451.8519999999999</v>
          </cell>
        </row>
        <row r="244">
          <cell r="C244">
            <v>79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</row>
        <row r="245">
          <cell r="C245">
            <v>80</v>
          </cell>
          <cell r="D245">
            <v>-5494</v>
          </cell>
          <cell r="E245">
            <v>-5494</v>
          </cell>
          <cell r="F245">
            <v>-5494</v>
          </cell>
          <cell r="G245">
            <v>-5494</v>
          </cell>
          <cell r="H245">
            <v>-5494</v>
          </cell>
          <cell r="I245">
            <v>-5494</v>
          </cell>
          <cell r="J245">
            <v>-5494</v>
          </cell>
          <cell r="K245">
            <v>-5494</v>
          </cell>
          <cell r="L245">
            <v>-5494</v>
          </cell>
          <cell r="M245">
            <v>-5494</v>
          </cell>
          <cell r="N245">
            <v>-5494</v>
          </cell>
          <cell r="O245">
            <v>-5494</v>
          </cell>
          <cell r="P245">
            <v>-5494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</row>
        <row r="246">
          <cell r="C246">
            <v>81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</row>
        <row r="247">
          <cell r="C247">
            <v>82</v>
          </cell>
          <cell r="D247">
            <v>-1.2317400000165435</v>
          </cell>
          <cell r="E247">
            <v>-1.2317400000165435</v>
          </cell>
          <cell r="F247">
            <v>-13.528350000006867</v>
          </cell>
          <cell r="G247">
            <v>-1180.0504100000244</v>
          </cell>
          <cell r="H247">
            <v>-1180</v>
          </cell>
          <cell r="I247">
            <v>-1180</v>
          </cell>
          <cell r="J247">
            <v>-1180</v>
          </cell>
          <cell r="K247">
            <v>-1202</v>
          </cell>
          <cell r="L247">
            <v>-1211.6746499999999</v>
          </cell>
          <cell r="M247">
            <v>-1534.8898500000059</v>
          </cell>
          <cell r="N247">
            <v>-1534.8898500000059</v>
          </cell>
          <cell r="O247">
            <v>-2637.1395900000052</v>
          </cell>
          <cell r="P247">
            <v>-1.2317400000165435</v>
          </cell>
          <cell r="Q247">
            <v>0</v>
          </cell>
          <cell r="R247">
            <v>-12.296609999990324</v>
          </cell>
          <cell r="S247">
            <v>-1166.5220600000175</v>
          </cell>
          <cell r="T247">
            <v>5.0410000024385226E-2</v>
          </cell>
          <cell r="U247">
            <v>0</v>
          </cell>
          <cell r="V247">
            <v>0</v>
          </cell>
          <cell r="W247">
            <v>-22</v>
          </cell>
          <cell r="X247">
            <v>-9.6746499999999287</v>
          </cell>
          <cell r="Y247">
            <v>-323.21520000000601</v>
          </cell>
          <cell r="Z247">
            <v>0</v>
          </cell>
          <cell r="AA247">
            <v>-1102.2497399999993</v>
          </cell>
          <cell r="AB247">
            <v>0</v>
          </cell>
          <cell r="AC247">
            <v>0</v>
          </cell>
          <cell r="AD247">
            <v>0</v>
          </cell>
          <cell r="AE247">
            <v>-1425.4649400000053</v>
          </cell>
          <cell r="AF247">
            <v>-1425.4649400000053</v>
          </cell>
        </row>
        <row r="248">
          <cell r="C248">
            <v>83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</row>
        <row r="249">
          <cell r="C249">
            <v>84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</row>
        <row r="250">
          <cell r="C250">
            <v>85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</row>
        <row r="251">
          <cell r="C251">
            <v>86</v>
          </cell>
          <cell r="D251">
            <v>2287.7602299999999</v>
          </cell>
          <cell r="E251">
            <v>2361.2272300000004</v>
          </cell>
          <cell r="F251">
            <v>2945.0032899999987</v>
          </cell>
          <cell r="G251">
            <v>2969.5263500000001</v>
          </cell>
          <cell r="H251">
            <v>2909</v>
          </cell>
          <cell r="I251">
            <v>2926</v>
          </cell>
          <cell r="J251">
            <v>2945</v>
          </cell>
          <cell r="K251">
            <v>2964</v>
          </cell>
          <cell r="L251">
            <v>3372.4135900000001</v>
          </cell>
          <cell r="M251">
            <v>3390.2156500000001</v>
          </cell>
          <cell r="N251">
            <v>3406.4087100000015</v>
          </cell>
          <cell r="O251">
            <v>3427.4227699999992</v>
          </cell>
          <cell r="P251">
            <v>2287.7602299999999</v>
          </cell>
          <cell r="Q251">
            <v>73.467000000000553</v>
          </cell>
          <cell r="R251">
            <v>583.77605999999832</v>
          </cell>
          <cell r="S251">
            <v>24.523060000001351</v>
          </cell>
          <cell r="T251">
            <v>-60.526350000000093</v>
          </cell>
          <cell r="U251">
            <v>17</v>
          </cell>
          <cell r="V251">
            <v>19</v>
          </cell>
          <cell r="W251">
            <v>19</v>
          </cell>
          <cell r="X251">
            <v>408.41359000000011</v>
          </cell>
          <cell r="Y251">
            <v>17.802059999999983</v>
          </cell>
          <cell r="Z251">
            <v>16.193060000001424</v>
          </cell>
          <cell r="AA251">
            <v>21.014059999997698</v>
          </cell>
          <cell r="AB251">
            <v>0</v>
          </cell>
          <cell r="AC251">
            <v>0</v>
          </cell>
          <cell r="AD251">
            <v>0</v>
          </cell>
          <cell r="AE251">
            <v>55.009179999999105</v>
          </cell>
          <cell r="AF251">
            <v>55.009179999999105</v>
          </cell>
        </row>
        <row r="252">
          <cell r="C252">
            <v>87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</row>
        <row r="253">
          <cell r="C253">
            <v>88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</row>
        <row r="254">
          <cell r="C254">
            <v>89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</row>
        <row r="255">
          <cell r="C255">
            <v>90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</row>
        <row r="256">
          <cell r="C256">
            <v>91</v>
          </cell>
          <cell r="D256">
            <v>1.6060000018597975E-2</v>
          </cell>
          <cell r="E256">
            <v>1.606000000089125E-2</v>
          </cell>
          <cell r="F256">
            <v>-81.172999999999206</v>
          </cell>
          <cell r="G256">
            <v>-162.3620600000047</v>
          </cell>
          <cell r="H256">
            <v>-162.13498999999979</v>
          </cell>
          <cell r="I256">
            <v>-243.55936999999994</v>
          </cell>
          <cell r="J256">
            <v>-324.29937999999993</v>
          </cell>
          <cell r="K256">
            <v>-405.97177000000011</v>
          </cell>
          <cell r="L256">
            <v>-487.11830000000964</v>
          </cell>
          <cell r="M256">
            <v>-568.30735999999069</v>
          </cell>
          <cell r="N256">
            <v>-649.49641999999312</v>
          </cell>
          <cell r="O256">
            <v>-808.02848000000813</v>
          </cell>
          <cell r="P256">
            <v>1.6060000018597975E-2</v>
          </cell>
          <cell r="Q256">
            <v>-1.7706724975141697E-11</v>
          </cell>
          <cell r="R256">
            <v>-81.189060000000097</v>
          </cell>
          <cell r="S256">
            <v>-81.189060000005497</v>
          </cell>
          <cell r="T256">
            <v>0.22707000000491462</v>
          </cell>
          <cell r="U256">
            <v>-81.424380000000156</v>
          </cell>
          <cell r="V256">
            <v>-80.740009999999984</v>
          </cell>
          <cell r="W256">
            <v>-81.672390000000178</v>
          </cell>
          <cell r="X256">
            <v>-81.146530000009534</v>
          </cell>
          <cell r="Y256">
            <v>-81.189059999981055</v>
          </cell>
          <cell r="Z256">
            <v>-81.189060000002428</v>
          </cell>
          <cell r="AA256">
            <v>-158.53206000001501</v>
          </cell>
          <cell r="AB256">
            <v>0</v>
          </cell>
          <cell r="AC256">
            <v>0</v>
          </cell>
          <cell r="AD256">
            <v>0</v>
          </cell>
          <cell r="AE256">
            <v>-320.91017999999849</v>
          </cell>
          <cell r="AF256">
            <v>-320.91017999999849</v>
          </cell>
        </row>
        <row r="257">
          <cell r="C257">
            <v>92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</row>
        <row r="258">
          <cell r="C258">
            <v>93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</row>
        <row r="259">
          <cell r="C259">
            <v>94</v>
          </cell>
          <cell r="D259">
            <v>26569.467730000004</v>
          </cell>
          <cell r="E259">
            <v>26569.467730000004</v>
          </cell>
          <cell r="F259">
            <v>26569.467730000004</v>
          </cell>
          <cell r="G259">
            <v>26569.467730000004</v>
          </cell>
          <cell r="H259">
            <v>26569</v>
          </cell>
          <cell r="I259">
            <v>26569</v>
          </cell>
          <cell r="J259">
            <v>26569</v>
          </cell>
          <cell r="K259">
            <v>26569</v>
          </cell>
          <cell r="L259">
            <v>26569.467730000004</v>
          </cell>
          <cell r="M259">
            <v>26569.467730000004</v>
          </cell>
          <cell r="N259">
            <v>26569.467730000004</v>
          </cell>
          <cell r="O259">
            <v>26569.467730000004</v>
          </cell>
          <cell r="P259">
            <v>26569.467730000004</v>
          </cell>
          <cell r="Q259">
            <v>0</v>
          </cell>
          <cell r="R259">
            <v>0</v>
          </cell>
          <cell r="S259">
            <v>0</v>
          </cell>
          <cell r="T259">
            <v>-0.46773000000393949</v>
          </cell>
          <cell r="U259">
            <v>0</v>
          </cell>
          <cell r="V259">
            <v>0</v>
          </cell>
          <cell r="W259">
            <v>0</v>
          </cell>
          <cell r="X259">
            <v>0.46773000000393949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</row>
        <row r="260">
          <cell r="C260">
            <v>95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</row>
        <row r="261">
          <cell r="C261">
            <v>96</v>
          </cell>
          <cell r="D261">
            <v>399.09</v>
          </cell>
          <cell r="E261">
            <v>399.09</v>
          </cell>
          <cell r="F261">
            <v>422.839</v>
          </cell>
          <cell r="G261">
            <v>428.77600000000001</v>
          </cell>
          <cell r="H261">
            <v>435</v>
          </cell>
          <cell r="I261">
            <v>441</v>
          </cell>
          <cell r="J261">
            <v>447</v>
          </cell>
          <cell r="K261">
            <v>453</v>
          </cell>
          <cell r="L261">
            <v>458.46100000000001</v>
          </cell>
          <cell r="M261">
            <v>464.39800000000002</v>
          </cell>
          <cell r="N261">
            <v>470.33499999999998</v>
          </cell>
          <cell r="O261">
            <v>455.51600000000002</v>
          </cell>
          <cell r="P261">
            <v>399.09</v>
          </cell>
          <cell r="Q261">
            <v>0</v>
          </cell>
          <cell r="R261">
            <v>23.749000000000024</v>
          </cell>
          <cell r="S261">
            <v>5.9370000000000118</v>
          </cell>
          <cell r="T261">
            <v>6.2239999999999895</v>
          </cell>
          <cell r="U261">
            <v>6</v>
          </cell>
          <cell r="V261">
            <v>6</v>
          </cell>
          <cell r="W261">
            <v>6</v>
          </cell>
          <cell r="X261">
            <v>5.4610000000000127</v>
          </cell>
          <cell r="Y261">
            <v>5.9370000000000118</v>
          </cell>
          <cell r="Z261">
            <v>5.936999999999955</v>
          </cell>
          <cell r="AA261">
            <v>-14.81899999999996</v>
          </cell>
          <cell r="AB261">
            <v>0</v>
          </cell>
          <cell r="AC261">
            <v>0</v>
          </cell>
          <cell r="AD261">
            <v>0</v>
          </cell>
          <cell r="AE261">
            <v>-2.9449999999999932</v>
          </cell>
          <cell r="AF261">
            <v>-2.9449999999999932</v>
          </cell>
        </row>
        <row r="262">
          <cell r="C262">
            <v>97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</row>
        <row r="263">
          <cell r="C263">
            <v>998</v>
          </cell>
          <cell r="D263">
            <v>18007</v>
          </cell>
          <cell r="E263">
            <v>18007</v>
          </cell>
          <cell r="F263">
            <v>18007</v>
          </cell>
          <cell r="G263">
            <v>18007</v>
          </cell>
          <cell r="H263">
            <v>18007</v>
          </cell>
          <cell r="I263">
            <v>18007</v>
          </cell>
          <cell r="J263">
            <v>18007</v>
          </cell>
          <cell r="K263">
            <v>18007</v>
          </cell>
          <cell r="L263">
            <v>18007</v>
          </cell>
          <cell r="M263">
            <v>18007</v>
          </cell>
          <cell r="N263">
            <v>18007</v>
          </cell>
          <cell r="O263">
            <v>18007</v>
          </cell>
          <cell r="P263">
            <v>18007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</row>
        <row r="264">
          <cell r="C264">
            <v>112</v>
          </cell>
          <cell r="D264">
            <v>63858.453810000006</v>
          </cell>
          <cell r="E264">
            <v>127851.03402000002</v>
          </cell>
          <cell r="F264">
            <v>193722.45129000006</v>
          </cell>
          <cell r="G264">
            <v>260004.80421000006</v>
          </cell>
          <cell r="H264">
            <v>329268.60687999992</v>
          </cell>
          <cell r="I264">
            <v>398732.16257999995</v>
          </cell>
          <cell r="J264">
            <v>468745.10403999995</v>
          </cell>
          <cell r="K264">
            <v>538873.6706699999</v>
          </cell>
          <cell r="L264">
            <v>608929.03124999988</v>
          </cell>
          <cell r="M264">
            <v>682359.80029999989</v>
          </cell>
          <cell r="N264">
            <v>757042.55111</v>
          </cell>
          <cell r="O264">
            <v>831182.21372</v>
          </cell>
          <cell r="P264">
            <v>63858.453810000006</v>
          </cell>
          <cell r="Q264">
            <v>63925.51701000001</v>
          </cell>
          <cell r="R264">
            <v>64931.998740000017</v>
          </cell>
          <cell r="S264">
            <v>66076.88509500002</v>
          </cell>
          <cell r="T264">
            <v>67773.077795000005</v>
          </cell>
          <cell r="U264">
            <v>69363.679185000001</v>
          </cell>
          <cell r="V264">
            <v>69738.248579999999</v>
          </cell>
          <cell r="W264">
            <v>70070.754044999994</v>
          </cell>
          <cell r="X264">
            <v>70091.963604999997</v>
          </cell>
          <cell r="Y264">
            <v>71743.064815000005</v>
          </cell>
          <cell r="Z264">
            <v>74056.759930000015</v>
          </cell>
          <cell r="AA264">
            <v>74411.206710000028</v>
          </cell>
          <cell r="AB264">
            <v>0</v>
          </cell>
          <cell r="AC264">
            <v>0</v>
          </cell>
          <cell r="AD264">
            <v>0</v>
          </cell>
          <cell r="AE264">
            <v>220211.03145500005</v>
          </cell>
          <cell r="AF264">
            <v>73403.677151666678</v>
          </cell>
        </row>
        <row r="265">
          <cell r="C265">
            <v>113</v>
          </cell>
          <cell r="D265">
            <v>63858.453810000006</v>
          </cell>
          <cell r="E265">
            <v>63858.453810000006</v>
          </cell>
          <cell r="F265">
            <v>127851.03402000002</v>
          </cell>
          <cell r="G265">
            <v>193722.45129000006</v>
          </cell>
          <cell r="H265">
            <v>260004.80421000006</v>
          </cell>
          <cell r="I265">
            <v>329268.60687999992</v>
          </cell>
          <cell r="J265">
            <v>398732.16257999995</v>
          </cell>
          <cell r="K265">
            <v>468745.10403999995</v>
          </cell>
          <cell r="L265">
            <v>538873.6706699999</v>
          </cell>
          <cell r="M265">
            <v>608929.03124999988</v>
          </cell>
          <cell r="N265">
            <v>682359.80029999989</v>
          </cell>
          <cell r="O265">
            <v>757042.55111</v>
          </cell>
          <cell r="P265">
            <v>63858.453810000006</v>
          </cell>
          <cell r="Q265">
            <v>63925.51701000001</v>
          </cell>
          <cell r="R265">
            <v>64931.998740000017</v>
          </cell>
          <cell r="S265">
            <v>66076.88509500002</v>
          </cell>
          <cell r="T265">
            <v>67773.077795000005</v>
          </cell>
          <cell r="U265">
            <v>69363.679185000001</v>
          </cell>
          <cell r="V265">
            <v>69738.248579999999</v>
          </cell>
          <cell r="W265">
            <v>70070.754044999994</v>
          </cell>
          <cell r="X265">
            <v>70091.963604999997</v>
          </cell>
          <cell r="Y265">
            <v>71743.064815000005</v>
          </cell>
          <cell r="Z265">
            <v>74056.759930000015</v>
          </cell>
          <cell r="AA265">
            <v>74411.206710000028</v>
          </cell>
          <cell r="AB265">
            <v>0</v>
          </cell>
          <cell r="AC265">
            <v>0</v>
          </cell>
          <cell r="AD265">
            <v>0</v>
          </cell>
          <cell r="AE265">
            <v>220211.03145500005</v>
          </cell>
          <cell r="AF265">
            <v>73403.677151666678</v>
          </cell>
        </row>
        <row r="266">
          <cell r="C266">
            <v>108</v>
          </cell>
          <cell r="D266">
            <v>-0.27574450663010813</v>
          </cell>
          <cell r="E266">
            <v>-0.12513861278194438</v>
          </cell>
          <cell r="F266">
            <v>3.3795482332604335E-2</v>
          </cell>
          <cell r="G266">
            <v>4.4145997666756261E-2</v>
          </cell>
          <cell r="H266">
            <v>0.14354733810753376</v>
          </cell>
          <cell r="I266">
            <v>0.12455144846770633</v>
          </cell>
          <cell r="J266">
            <v>0.12001255487289193</v>
          </cell>
          <cell r="K266">
            <v>0.10696904060710682</v>
          </cell>
          <cell r="L266">
            <v>9.3203412035546301E-2</v>
          </cell>
          <cell r="M266">
            <v>0.14253355047768049</v>
          </cell>
          <cell r="N266">
            <v>0.14831787988055264</v>
          </cell>
          <cell r="O266">
            <v>0.12724753491372151</v>
          </cell>
          <cell r="P266">
            <v>-0.27574450663010813</v>
          </cell>
          <cell r="Q266">
            <v>2.5178002076201234E-2</v>
          </cell>
          <cell r="R266">
            <v>0.34722548446842988</v>
          </cell>
          <cell r="S266">
            <v>7.4628635912700164E-2</v>
          </cell>
          <cell r="T266">
            <v>0.52804833016806152</v>
          </cell>
          <cell r="U266">
            <v>3.4557514655571511E-2</v>
          </cell>
          <cell r="V266">
            <v>9.4533907206419965E-2</v>
          </cell>
          <cell r="W266">
            <v>1.9801442968758798E-2</v>
          </cell>
          <cell r="X266">
            <v>-1.2676719473967583E-2</v>
          </cell>
          <cell r="Y266">
            <v>0.56458281709107405</v>
          </cell>
          <cell r="Z266">
            <v>0.20286846378643766</v>
          </cell>
          <cell r="AA266">
            <v>-8.7581678730178011E-2</v>
          </cell>
          <cell r="AF266">
            <v>0.66769985185799907</v>
          </cell>
        </row>
        <row r="267">
          <cell r="C267">
            <v>109</v>
          </cell>
          <cell r="D267">
            <v>-0.27574450663010813</v>
          </cell>
          <cell r="E267">
            <v>-0.25054006298997766</v>
          </cell>
          <cell r="F267">
            <v>5.1207592728392384E-2</v>
          </cell>
          <cell r="G267">
            <v>5.9250600039214882E-2</v>
          </cell>
          <cell r="H267">
            <v>0.18178753344043819</v>
          </cell>
          <cell r="I267">
            <v>0.1508272193653106</v>
          </cell>
          <cell r="J267">
            <v>0.14108542726024292</v>
          </cell>
          <cell r="K267">
            <v>0.12297259014161571</v>
          </cell>
          <cell r="L267">
            <v>0.10532016405521408</v>
          </cell>
          <cell r="M267">
            <v>0.15972167534917481</v>
          </cell>
          <cell r="N267">
            <v>0.16455093941734969</v>
          </cell>
          <cell r="O267">
            <v>0.13970930379662638</v>
          </cell>
          <cell r="P267">
            <v>-0.27574450663010813</v>
          </cell>
          <cell r="Q267">
            <v>2.5178002076201234E-2</v>
          </cell>
          <cell r="R267">
            <v>0.34722548446842988</v>
          </cell>
          <cell r="S267">
            <v>7.4628635912700164E-2</v>
          </cell>
          <cell r="T267">
            <v>0.52804833016806152</v>
          </cell>
          <cell r="U267">
            <v>3.4557514655571511E-2</v>
          </cell>
          <cell r="V267">
            <v>9.4533907206419965E-2</v>
          </cell>
          <cell r="W267">
            <v>1.9801442968758798E-2</v>
          </cell>
          <cell r="X267">
            <v>-1.2676719473967583E-2</v>
          </cell>
          <cell r="Y267">
            <v>0.56458281709107405</v>
          </cell>
          <cell r="Z267">
            <v>0.20286846378643766</v>
          </cell>
          <cell r="AA267">
            <v>-8.7581678730178011E-2</v>
          </cell>
          <cell r="AF267">
            <v>0.66769985185799907</v>
          </cell>
        </row>
        <row r="268">
          <cell r="C268">
            <v>999</v>
          </cell>
          <cell r="D268">
            <v>4497.26253</v>
          </cell>
          <cell r="E268">
            <v>1584.8982000000001</v>
          </cell>
          <cell r="F268">
            <v>3193.3540800000001</v>
          </cell>
          <cell r="G268">
            <v>3690.10556</v>
          </cell>
          <cell r="H268">
            <v>1532</v>
          </cell>
          <cell r="I268">
            <v>3829</v>
          </cell>
          <cell r="J268">
            <v>2198</v>
          </cell>
          <cell r="K268">
            <v>1349</v>
          </cell>
          <cell r="L268">
            <v>1755.91608</v>
          </cell>
          <cell r="M268">
            <v>1921.9819299999999</v>
          </cell>
          <cell r="N268">
            <v>1975.80528</v>
          </cell>
          <cell r="O268">
            <v>2158.65897</v>
          </cell>
          <cell r="P268">
            <v>4497.26253</v>
          </cell>
          <cell r="Q268">
            <v>-2912.3643299999999</v>
          </cell>
          <cell r="R268">
            <v>1608.45588</v>
          </cell>
          <cell r="S268">
            <v>496.7514799999999</v>
          </cell>
          <cell r="T268">
            <v>-2158.10556</v>
          </cell>
          <cell r="U268">
            <v>2297</v>
          </cell>
          <cell r="V268">
            <v>-1631</v>
          </cell>
          <cell r="W268">
            <v>-849</v>
          </cell>
          <cell r="X268">
            <v>406.91607999999997</v>
          </cell>
          <cell r="Y268">
            <v>166.06584999999995</v>
          </cell>
          <cell r="Z268">
            <v>53.823350000000119</v>
          </cell>
          <cell r="AA268">
            <v>182.85368999999992</v>
          </cell>
          <cell r="AB268">
            <v>0</v>
          </cell>
          <cell r="AC268">
            <v>0</v>
          </cell>
          <cell r="AD268">
            <v>0</v>
          </cell>
          <cell r="AE268">
            <v>402.74288999999999</v>
          </cell>
          <cell r="AF268">
            <v>402.74288999999999</v>
          </cell>
        </row>
        <row r="269">
          <cell r="C269">
            <v>800</v>
          </cell>
          <cell r="D269">
            <v>9011.3958000000002</v>
          </cell>
          <cell r="E269">
            <v>18095.815179999998</v>
          </cell>
          <cell r="F269">
            <v>25295.768019999996</v>
          </cell>
          <cell r="G269">
            <v>30555.178599999996</v>
          </cell>
          <cell r="H269">
            <v>36152.178599999999</v>
          </cell>
          <cell r="I269">
            <v>40020.178599999999</v>
          </cell>
          <cell r="J269">
            <v>46235.178599999999</v>
          </cell>
          <cell r="K269">
            <v>50870.178599999999</v>
          </cell>
          <cell r="L269">
            <v>55635.519</v>
          </cell>
          <cell r="M269">
            <v>59312.55098</v>
          </cell>
          <cell r="N269">
            <v>64089.046860000002</v>
          </cell>
          <cell r="O269">
            <v>67762.393070000006</v>
          </cell>
          <cell r="P269">
            <v>9011.3958000000002</v>
          </cell>
          <cell r="Q269">
            <v>9084.4193799999994</v>
          </cell>
          <cell r="R269">
            <v>7199.952839999999</v>
          </cell>
          <cell r="S269">
            <v>5259.4105799999988</v>
          </cell>
          <cell r="T269">
            <v>5597</v>
          </cell>
          <cell r="U269">
            <v>3868</v>
          </cell>
          <cell r="V269">
            <v>6215</v>
          </cell>
          <cell r="W269">
            <v>4635</v>
          </cell>
          <cell r="X269">
            <v>4765.340400000001</v>
          </cell>
          <cell r="Y269">
            <v>3677.0319800000011</v>
          </cell>
          <cell r="Z269">
            <v>4776.4958799999995</v>
          </cell>
          <cell r="AA269">
            <v>3673.3462099999997</v>
          </cell>
          <cell r="AB269">
            <v>0</v>
          </cell>
          <cell r="AC269">
            <v>0</v>
          </cell>
          <cell r="AD269">
            <v>0</v>
          </cell>
          <cell r="AE269">
            <v>12126.87407</v>
          </cell>
          <cell r="AF269">
            <v>4042.2913566666666</v>
          </cell>
        </row>
        <row r="270">
          <cell r="C270">
            <v>801</v>
          </cell>
          <cell r="D270">
            <v>95</v>
          </cell>
          <cell r="E270">
            <v>87</v>
          </cell>
          <cell r="F270">
            <v>102</v>
          </cell>
          <cell r="G270">
            <v>121</v>
          </cell>
          <cell r="H270">
            <v>142</v>
          </cell>
          <cell r="I270">
            <v>127</v>
          </cell>
          <cell r="J270">
            <v>116</v>
          </cell>
          <cell r="K270">
            <v>82</v>
          </cell>
          <cell r="L270">
            <v>92</v>
          </cell>
          <cell r="M270">
            <v>88</v>
          </cell>
          <cell r="N270">
            <v>104</v>
          </cell>
          <cell r="O270">
            <v>95</v>
          </cell>
          <cell r="P270">
            <v>95</v>
          </cell>
          <cell r="Q270">
            <v>91</v>
          </cell>
          <cell r="R270">
            <v>95</v>
          </cell>
          <cell r="S270">
            <v>101</v>
          </cell>
          <cell r="T270">
            <v>109</v>
          </cell>
          <cell r="U270">
            <v>112</v>
          </cell>
          <cell r="V270">
            <v>113</v>
          </cell>
          <cell r="W270">
            <v>109</v>
          </cell>
          <cell r="X270">
            <v>107</v>
          </cell>
          <cell r="Y270">
            <v>105</v>
          </cell>
          <cell r="Z270">
            <v>105</v>
          </cell>
          <cell r="AA270">
            <v>104</v>
          </cell>
        </row>
        <row r="271">
          <cell r="C271">
            <v>802</v>
          </cell>
          <cell r="D271">
            <v>9970.2335899999998</v>
          </cell>
          <cell r="E271">
            <v>20147.643840000001</v>
          </cell>
          <cell r="F271">
            <v>30926.850619999997</v>
          </cell>
          <cell r="G271">
            <v>41425.177080000001</v>
          </cell>
          <cell r="H271">
            <v>50431.177080000001</v>
          </cell>
          <cell r="I271">
            <v>57673.177080000001</v>
          </cell>
          <cell r="J271">
            <v>63563.177080000001</v>
          </cell>
          <cell r="K271">
            <v>68006.177080000009</v>
          </cell>
          <cell r="L271">
            <v>71539.230750000017</v>
          </cell>
          <cell r="M271">
            <v>75311.430680000005</v>
          </cell>
          <cell r="N271">
            <v>79185.48679000001</v>
          </cell>
          <cell r="O271">
            <v>84107.882340000011</v>
          </cell>
          <cell r="P271">
            <v>9970.2335899999998</v>
          </cell>
          <cell r="Q271">
            <v>10177.410250000001</v>
          </cell>
          <cell r="R271">
            <v>10779.20678</v>
          </cell>
          <cell r="S271">
            <v>10498.32646</v>
          </cell>
          <cell r="T271">
            <v>9006</v>
          </cell>
          <cell r="U271">
            <v>7242</v>
          </cell>
          <cell r="V271">
            <v>5890</v>
          </cell>
          <cell r="W271">
            <v>4443</v>
          </cell>
          <cell r="X271">
            <v>3533.0536700000002</v>
          </cell>
          <cell r="Y271">
            <v>3772.1999299999998</v>
          </cell>
          <cell r="Z271">
            <v>3874.0561100000004</v>
          </cell>
          <cell r="AA271">
            <v>4922.3955500000002</v>
          </cell>
          <cell r="AB271">
            <v>0</v>
          </cell>
          <cell r="AC271">
            <v>0</v>
          </cell>
          <cell r="AD271">
            <v>0</v>
          </cell>
          <cell r="AE271">
            <v>12568.651590000001</v>
          </cell>
          <cell r="AF271">
            <v>4189.5505300000004</v>
          </cell>
        </row>
        <row r="272">
          <cell r="D272">
            <v>9970.2335899999998</v>
          </cell>
          <cell r="E272">
            <v>10177.410250000001</v>
          </cell>
          <cell r="F272">
            <v>10779.20678</v>
          </cell>
          <cell r="G272">
            <v>10498.32646</v>
          </cell>
          <cell r="H272">
            <v>9006</v>
          </cell>
          <cell r="I272">
            <v>7242</v>
          </cell>
          <cell r="J272">
            <v>5890</v>
          </cell>
          <cell r="K272">
            <v>4443</v>
          </cell>
          <cell r="L272">
            <v>3533.0536700000002</v>
          </cell>
          <cell r="M272">
            <v>3772.1999299999998</v>
          </cell>
          <cell r="N272">
            <v>3874.0561100000004</v>
          </cell>
          <cell r="O272">
            <v>4922.3955500000002</v>
          </cell>
        </row>
        <row r="273">
          <cell r="C273">
            <v>803</v>
          </cell>
          <cell r="D273">
            <v>89</v>
          </cell>
          <cell r="E273">
            <v>93</v>
          </cell>
          <cell r="F273">
            <v>114</v>
          </cell>
          <cell r="G273">
            <v>129</v>
          </cell>
          <cell r="H273">
            <v>162</v>
          </cell>
          <cell r="I273">
            <v>153</v>
          </cell>
          <cell r="J273">
            <v>153</v>
          </cell>
          <cell r="K273">
            <v>124</v>
          </cell>
          <cell r="L273">
            <v>134</v>
          </cell>
          <cell r="M273">
            <v>137</v>
          </cell>
          <cell r="N273">
            <v>146</v>
          </cell>
          <cell r="O273">
            <v>145</v>
          </cell>
          <cell r="P273">
            <v>89</v>
          </cell>
          <cell r="Q273">
            <v>91</v>
          </cell>
          <cell r="R273">
            <v>99</v>
          </cell>
          <cell r="S273">
            <v>106</v>
          </cell>
          <cell r="T273">
            <v>117</v>
          </cell>
          <cell r="U273">
            <v>123</v>
          </cell>
          <cell r="V273">
            <v>128</v>
          </cell>
          <cell r="W273">
            <v>127</v>
          </cell>
          <cell r="X273">
            <v>128</v>
          </cell>
          <cell r="Y273">
            <v>129</v>
          </cell>
          <cell r="Z273">
            <v>130</v>
          </cell>
          <cell r="AA273">
            <v>132</v>
          </cell>
        </row>
        <row r="274">
          <cell r="C274">
            <v>804</v>
          </cell>
          <cell r="D274">
            <v>5787.4999499999958</v>
          </cell>
          <cell r="E274">
            <v>11146.789269999996</v>
          </cell>
          <cell r="F274">
            <v>17034.436099999992</v>
          </cell>
          <cell r="G274">
            <v>19741.401779999997</v>
          </cell>
          <cell r="H274">
            <v>22326.401779999997</v>
          </cell>
          <cell r="I274">
            <v>23534.401779999997</v>
          </cell>
          <cell r="J274">
            <v>25179.401779999997</v>
          </cell>
          <cell r="K274">
            <v>25886.401779999997</v>
          </cell>
          <cell r="L274">
            <v>26402.237529999995</v>
          </cell>
          <cell r="M274">
            <v>27407.217459999996</v>
          </cell>
          <cell r="N274">
            <v>29093.833819999996</v>
          </cell>
          <cell r="O274">
            <v>30498.088439999996</v>
          </cell>
          <cell r="P274">
            <v>5787.4999499999958</v>
          </cell>
          <cell r="Q274">
            <v>5359.2893199999999</v>
          </cell>
          <cell r="R274">
            <v>5887.6468299999979</v>
          </cell>
          <cell r="S274">
            <v>2706.9656800000034</v>
          </cell>
          <cell r="T274">
            <v>2585</v>
          </cell>
          <cell r="U274">
            <v>1208</v>
          </cell>
          <cell r="V274">
            <v>1645</v>
          </cell>
          <cell r="W274">
            <v>707</v>
          </cell>
          <cell r="X274">
            <v>515.83574999999996</v>
          </cell>
          <cell r="Y274">
            <v>1004.97993</v>
          </cell>
          <cell r="Z274">
            <v>1686.6163599999998</v>
          </cell>
          <cell r="AA274">
            <v>1404.2546200000002</v>
          </cell>
          <cell r="AB274">
            <v>0</v>
          </cell>
          <cell r="AC274">
            <v>0</v>
          </cell>
          <cell r="AD274">
            <v>0</v>
          </cell>
          <cell r="AE274">
            <v>4095.8509099999997</v>
          </cell>
          <cell r="AF274">
            <v>1365.2836366666666</v>
          </cell>
        </row>
        <row r="275">
          <cell r="C275">
            <v>805</v>
          </cell>
          <cell r="D275">
            <v>63</v>
          </cell>
          <cell r="E275">
            <v>67</v>
          </cell>
          <cell r="F275">
            <v>89</v>
          </cell>
          <cell r="G275">
            <v>82</v>
          </cell>
          <cell r="H275">
            <v>129</v>
          </cell>
          <cell r="I275">
            <v>113</v>
          </cell>
          <cell r="J275">
            <v>81</v>
          </cell>
          <cell r="K275">
            <v>34</v>
          </cell>
          <cell r="L275">
            <v>82</v>
          </cell>
          <cell r="M275">
            <v>107</v>
          </cell>
          <cell r="N275">
            <v>107</v>
          </cell>
          <cell r="O275">
            <v>127</v>
          </cell>
          <cell r="P275">
            <v>63</v>
          </cell>
          <cell r="Q275">
            <v>65</v>
          </cell>
          <cell r="R275">
            <v>73</v>
          </cell>
          <cell r="S275">
            <v>75</v>
          </cell>
          <cell r="T275">
            <v>86</v>
          </cell>
          <cell r="U275">
            <v>91</v>
          </cell>
          <cell r="V275">
            <v>89</v>
          </cell>
          <cell r="W275">
            <v>82</v>
          </cell>
          <cell r="X275">
            <v>82</v>
          </cell>
          <cell r="Y275">
            <v>85</v>
          </cell>
          <cell r="Z275">
            <v>87</v>
          </cell>
          <cell r="AA275">
            <v>90</v>
          </cell>
        </row>
        <row r="276">
          <cell r="D276">
            <v>1326.1024699999994</v>
          </cell>
          <cell r="E276">
            <v>2429.2265499999994</v>
          </cell>
          <cell r="F276">
            <v>4015.3921099999998</v>
          </cell>
          <cell r="G276">
            <v>6363.08284</v>
          </cell>
          <cell r="H276">
            <v>7413.3253800000002</v>
          </cell>
          <cell r="I276">
            <v>9610.1490400000002</v>
          </cell>
          <cell r="J276">
            <v>12066.807490000001</v>
          </cell>
          <cell r="K276">
            <v>14316.801220000003</v>
          </cell>
          <cell r="L276">
            <v>15823.081650000004</v>
          </cell>
          <cell r="M276">
            <v>16867.251270000001</v>
          </cell>
          <cell r="N276">
            <v>18627.41633</v>
          </cell>
          <cell r="O276">
            <v>18911.00057</v>
          </cell>
        </row>
        <row r="277">
          <cell r="D277">
            <v>24.91506</v>
          </cell>
          <cell r="E277">
            <v>48.914490000000001</v>
          </cell>
          <cell r="F277">
            <v>67.344059999999999</v>
          </cell>
          <cell r="G277">
            <v>114.57628</v>
          </cell>
          <cell r="H277">
            <v>126.59609999999999</v>
          </cell>
          <cell r="I277">
            <v>136.56718999999998</v>
          </cell>
          <cell r="J277">
            <v>149.45943999999997</v>
          </cell>
          <cell r="K277">
            <v>162.32518999999996</v>
          </cell>
          <cell r="L277">
            <v>169.17962999999997</v>
          </cell>
          <cell r="M277">
            <v>175.63562999999996</v>
          </cell>
          <cell r="N277">
            <v>183.20663999999996</v>
          </cell>
          <cell r="O277">
            <v>195.73396999999997</v>
          </cell>
        </row>
        <row r="278">
          <cell r="D278">
            <v>84.402100000000019</v>
          </cell>
          <cell r="E278">
            <v>172.80811000000003</v>
          </cell>
          <cell r="F278">
            <v>301.24432000000002</v>
          </cell>
          <cell r="G278">
            <v>389.34899999999999</v>
          </cell>
          <cell r="H278">
            <v>467.49352999999996</v>
          </cell>
          <cell r="I278">
            <v>550.82422999999994</v>
          </cell>
          <cell r="J278">
            <v>631.00744999999995</v>
          </cell>
          <cell r="K278">
            <v>731.62619999999993</v>
          </cell>
          <cell r="L278">
            <v>778.8595499999999</v>
          </cell>
          <cell r="M278">
            <v>858.40069999999992</v>
          </cell>
          <cell r="N278">
            <v>918.30352999999991</v>
          </cell>
          <cell r="O278">
            <v>1061.2740099999999</v>
          </cell>
        </row>
        <row r="282">
          <cell r="D282" t="str">
            <v>.MFGHOTOT</v>
          </cell>
        </row>
        <row r="283">
          <cell r="D283" t="str">
            <v>.MFGHOTOT</v>
          </cell>
        </row>
        <row r="286">
          <cell r="D286">
            <v>3216.81648</v>
          </cell>
          <cell r="E286">
            <v>6795.2627400000001</v>
          </cell>
          <cell r="F286">
            <v>11130.48911</v>
          </cell>
          <cell r="G286">
            <v>14987.768530000001</v>
          </cell>
          <cell r="H286">
            <v>20472</v>
          </cell>
          <cell r="I286">
            <v>24823</v>
          </cell>
          <cell r="J286">
            <v>28686</v>
          </cell>
          <cell r="K286">
            <v>32841</v>
          </cell>
          <cell r="L286">
            <v>35754.878190000003</v>
          </cell>
          <cell r="M286">
            <v>38779.848310000001</v>
          </cell>
          <cell r="N286">
            <v>41641.46299</v>
          </cell>
          <cell r="O286">
            <v>43737.781459999998</v>
          </cell>
        </row>
        <row r="293"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</row>
        <row r="300"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</sheetNames>
    <sheetDataSet>
      <sheetData sheetId="0">
        <row r="55">
          <cell r="F55">
            <v>2017</v>
          </cell>
          <cell r="G55">
            <v>2018</v>
          </cell>
          <cell r="H55">
            <v>2019</v>
          </cell>
          <cell r="I55">
            <v>2020</v>
          </cell>
          <cell r="J55">
            <v>2021</v>
          </cell>
          <cell r="K55">
            <v>2022</v>
          </cell>
          <cell r="L55">
            <v>2023</v>
          </cell>
          <cell r="M55">
            <v>2024</v>
          </cell>
          <cell r="N55">
            <v>2025</v>
          </cell>
          <cell r="O55">
            <v>2026</v>
          </cell>
          <cell r="P55">
            <v>2027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75"/>
  <sheetViews>
    <sheetView showGridLines="0" topLeftCell="A66" zoomScale="80" zoomScaleNormal="80" workbookViewId="0">
      <selection activeCell="F74" sqref="F74"/>
    </sheetView>
  </sheetViews>
  <sheetFormatPr baseColWidth="10" defaultColWidth="0" defaultRowHeight="14.25" customHeight="1" zeroHeight="1" outlineLevelRow="2"/>
  <cols>
    <col min="1" max="1" width="13.3984375" style="47" customWidth="1"/>
    <col min="2" max="2" width="58.3984375" style="47" customWidth="1"/>
    <col min="3" max="4" width="13.3984375" style="47" customWidth="1"/>
    <col min="5" max="5" width="13.3984375" style="49" customWidth="1"/>
    <col min="6" max="14" width="13.3984375" style="47" customWidth="1"/>
    <col min="15" max="16" width="16" style="47" bestFit="1" customWidth="1"/>
    <col min="17" max="23" width="13.3984375" style="50" customWidth="1"/>
    <col min="24" max="30" width="13.3984375" style="50" hidden="1" customWidth="1"/>
    <col min="31" max="57" width="13.3984375" style="47" hidden="1" customWidth="1"/>
    <col min="58" max="16384" width="13.3984375" style="47" hidden="1"/>
  </cols>
  <sheetData>
    <row r="1" spans="1:30" ht="25">
      <c r="A1" s="46" t="s">
        <v>66</v>
      </c>
      <c r="D1" s="48"/>
    </row>
    <row r="2" spans="1:30" ht="14">
      <c r="C2" s="48">
        <f>C5-C12</f>
        <v>2751.976999999999</v>
      </c>
      <c r="D2" s="47">
        <f t="shared" ref="D2:P2" si="0">D5-D12</f>
        <v>3394.77</v>
      </c>
      <c r="E2" s="240">
        <f t="shared" si="0"/>
        <v>4372.5839999999989</v>
      </c>
      <c r="F2" s="241">
        <f t="shared" si="0"/>
        <v>5165.6755316520912</v>
      </c>
      <c r="G2" s="241">
        <f t="shared" si="0"/>
        <v>7285.0483204969623</v>
      </c>
      <c r="H2" s="241">
        <f t="shared" si="0"/>
        <v>8040.9196143955633</v>
      </c>
      <c r="I2" s="241">
        <f t="shared" si="0"/>
        <v>8992.6288053825356</v>
      </c>
      <c r="J2" s="241">
        <f t="shared" si="0"/>
        <v>9992.2619325127544</v>
      </c>
      <c r="K2" s="241">
        <f t="shared" si="0"/>
        <v>10695.775526059426</v>
      </c>
      <c r="L2" s="241">
        <f t="shared" si="0"/>
        <v>11557.339995714592</v>
      </c>
      <c r="M2" s="241">
        <f t="shared" si="0"/>
        <v>12559.562397452581</v>
      </c>
      <c r="N2" s="241">
        <f t="shared" si="0"/>
        <v>13769.353802223854</v>
      </c>
      <c r="O2" s="241">
        <f t="shared" si="0"/>
        <v>15153.714829619659</v>
      </c>
      <c r="P2" s="241">
        <f t="shared" si="0"/>
        <v>16717.593466298749</v>
      </c>
    </row>
    <row r="3" spans="1:30" ht="14">
      <c r="C3" s="52"/>
      <c r="D3" s="52"/>
      <c r="E3" s="53"/>
      <c r="F3" s="51"/>
      <c r="G3" s="54"/>
      <c r="H3" s="54"/>
      <c r="I3" s="54"/>
      <c r="J3" s="54"/>
      <c r="K3" s="54"/>
      <c r="L3" s="54"/>
      <c r="M3" s="54"/>
      <c r="N3" s="54"/>
      <c r="O3" s="54"/>
      <c r="P3" s="54"/>
    </row>
    <row r="4" spans="1:30" ht="14">
      <c r="B4" s="55" t="s">
        <v>67</v>
      </c>
      <c r="C4" s="56">
        <v>2014</v>
      </c>
      <c r="D4" s="56">
        <v>2015</v>
      </c>
      <c r="E4" s="57">
        <v>2016</v>
      </c>
      <c r="F4" s="58">
        <v>2017</v>
      </c>
      <c r="G4" s="58">
        <v>2018</v>
      </c>
      <c r="H4" s="58">
        <v>2019</v>
      </c>
      <c r="I4" s="58">
        <v>2020</v>
      </c>
      <c r="J4" s="58">
        <v>2021</v>
      </c>
      <c r="K4" s="58">
        <v>2022</v>
      </c>
      <c r="L4" s="58">
        <v>2023</v>
      </c>
      <c r="M4" s="58">
        <v>2024</v>
      </c>
      <c r="N4" s="58">
        <v>2025</v>
      </c>
      <c r="O4" s="58">
        <v>2026</v>
      </c>
      <c r="P4" s="59">
        <v>2027</v>
      </c>
      <c r="Q4" s="60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</row>
    <row r="5" spans="1:30" ht="14">
      <c r="B5" s="62" t="s">
        <v>68</v>
      </c>
      <c r="C5" s="63">
        <v>4089.7679999999991</v>
      </c>
      <c r="D5" s="63">
        <v>5512.8879999999999</v>
      </c>
      <c r="E5" s="64">
        <v>7749.5589999999993</v>
      </c>
      <c r="F5" s="63">
        <v>10224.511772774629</v>
      </c>
      <c r="G5" s="63">
        <v>14030.362697303237</v>
      </c>
      <c r="H5" s="63">
        <v>15400.595068045131</v>
      </c>
      <c r="I5" s="63">
        <v>17064.490648833245</v>
      </c>
      <c r="J5" s="63">
        <v>18778.547610854261</v>
      </c>
      <c r="K5" s="63">
        <v>19981.444204839871</v>
      </c>
      <c r="L5" s="63">
        <v>21400.89981567597</v>
      </c>
      <c r="M5" s="63">
        <v>23020.36072253756</v>
      </c>
      <c r="N5" s="63">
        <v>24929.538622569176</v>
      </c>
      <c r="O5" s="63">
        <v>27084.853242639649</v>
      </c>
      <c r="P5" s="65">
        <v>29493.285134790611</v>
      </c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</row>
    <row r="6" spans="1:30" ht="14">
      <c r="B6" s="235" t="s">
        <v>140</v>
      </c>
      <c r="C6" s="236"/>
      <c r="D6" s="237">
        <f>D5/C5-1</f>
        <v>0.34797083844364796</v>
      </c>
      <c r="E6" s="238">
        <f t="shared" ref="E6:P6" si="1">E5/D5-1</f>
        <v>0.40571674955123327</v>
      </c>
      <c r="F6" s="237">
        <f t="shared" si="1"/>
        <v>0.31936691788198912</v>
      </c>
      <c r="G6" s="237">
        <f t="shared" si="1"/>
        <v>0.37222813265887744</v>
      </c>
      <c r="H6" s="237">
        <f t="shared" si="1"/>
        <v>9.7661935069238481E-2</v>
      </c>
      <c r="I6" s="237">
        <f t="shared" si="1"/>
        <v>0.10804099279517776</v>
      </c>
      <c r="J6" s="237">
        <f t="shared" si="1"/>
        <v>0.10044583206696589</v>
      </c>
      <c r="K6" s="237">
        <f t="shared" si="1"/>
        <v>6.405695578343451E-2</v>
      </c>
      <c r="L6" s="237">
        <f t="shared" si="1"/>
        <v>7.1038689510354969E-2</v>
      </c>
      <c r="M6" s="237">
        <f t="shared" si="1"/>
        <v>7.5672561472174715E-2</v>
      </c>
      <c r="N6" s="237">
        <f t="shared" si="1"/>
        <v>8.2934317278637648E-2</v>
      </c>
      <c r="O6" s="237">
        <f t="shared" si="1"/>
        <v>8.645625788353839E-2</v>
      </c>
      <c r="P6" s="239">
        <f t="shared" si="1"/>
        <v>8.8921725754798286E-2</v>
      </c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</row>
    <row r="7" spans="1:30" ht="14" outlineLevel="1">
      <c r="B7" s="67" t="s">
        <v>69</v>
      </c>
      <c r="C7" s="68">
        <v>3248.3846914159994</v>
      </c>
      <c r="D7" s="68">
        <v>4398.1742371917999</v>
      </c>
      <c r="E7" s="69">
        <v>4852.176058322365</v>
      </c>
      <c r="F7" s="68">
        <v>4930.2549624348349</v>
      </c>
      <c r="G7" s="68">
        <v>5399.3422451923852</v>
      </c>
      <c r="H7" s="68">
        <v>5908.4528756148338</v>
      </c>
      <c r="I7" s="68">
        <v>6428.7548821945411</v>
      </c>
      <c r="J7" s="68">
        <v>6970.7270869035738</v>
      </c>
      <c r="K7" s="68">
        <v>7313.7636808054949</v>
      </c>
      <c r="L7" s="68">
        <v>7676.8349662871942</v>
      </c>
      <c r="M7" s="68">
        <v>8061.3186191665773</v>
      </c>
      <c r="N7" s="68">
        <v>8468.7004176660485</v>
      </c>
      <c r="O7" s="68">
        <v>8900.5835101859848</v>
      </c>
      <c r="P7" s="70">
        <v>9358.6985200719228</v>
      </c>
      <c r="Q7" s="68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</row>
    <row r="8" spans="1:30" ht="14" outlineLevel="1">
      <c r="B8" s="67" t="s">
        <v>70</v>
      </c>
      <c r="C8" s="68">
        <v>540.65499999999997</v>
      </c>
      <c r="D8" s="68">
        <v>750.84299999999996</v>
      </c>
      <c r="E8" s="69">
        <v>1010.9231818715764</v>
      </c>
      <c r="F8" s="68">
        <v>2396.0163289827492</v>
      </c>
      <c r="G8" s="68">
        <v>4083.9073642734925</v>
      </c>
      <c r="H8" s="68">
        <v>4590.6407587709391</v>
      </c>
      <c r="I8" s="68">
        <v>5218.8907084348684</v>
      </c>
      <c r="J8" s="68">
        <v>5792.1552045367143</v>
      </c>
      <c r="K8" s="68">
        <v>6100.3375826944366</v>
      </c>
      <c r="L8" s="68">
        <v>6425.0677845223254</v>
      </c>
      <c r="M8" s="68">
        <v>6767.2415186440503</v>
      </c>
      <c r="N8" s="68">
        <v>7127.8033423669704</v>
      </c>
      <c r="O8" s="68">
        <v>7507.7493454765799</v>
      </c>
      <c r="P8" s="70">
        <v>7908.1299826055892</v>
      </c>
      <c r="Q8" s="68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</row>
    <row r="9" spans="1:30" ht="14" outlineLevel="1">
      <c r="B9" s="67" t="s">
        <v>71</v>
      </c>
      <c r="C9" s="68">
        <v>76.708308584000008</v>
      </c>
      <c r="D9" s="68">
        <v>90.852762808199998</v>
      </c>
      <c r="E9" s="69">
        <v>1385.3827031970641</v>
      </c>
      <c r="F9" s="68">
        <v>1109.3366477923282</v>
      </c>
      <c r="G9" s="68">
        <v>1191.8472466489591</v>
      </c>
      <c r="H9" s="68">
        <v>1281.1024532229974</v>
      </c>
      <c r="I9" s="68">
        <v>1377.1971611820047</v>
      </c>
      <c r="J9" s="68">
        <v>1480.6674632620577</v>
      </c>
      <c r="K9" s="68">
        <v>1569.4367752679902</v>
      </c>
      <c r="L9" s="68">
        <v>1663.718832691716</v>
      </c>
      <c r="M9" s="68">
        <v>1763.867744949652</v>
      </c>
      <c r="N9" s="68">
        <v>1870.2610924510498</v>
      </c>
      <c r="O9" s="68">
        <v>1983.3015266479922</v>
      </c>
      <c r="P9" s="70">
        <v>2103.4184818430772</v>
      </c>
      <c r="Q9" s="68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</row>
    <row r="10" spans="1:30" ht="14" outlineLevel="1">
      <c r="B10" s="71" t="s">
        <v>72</v>
      </c>
      <c r="C10" s="72">
        <v>224.02</v>
      </c>
      <c r="D10" s="72">
        <v>273.01799999999997</v>
      </c>
      <c r="E10" s="73">
        <v>501.07705660899404</v>
      </c>
      <c r="F10" s="72">
        <v>1788.9038335647167</v>
      </c>
      <c r="G10" s="72">
        <v>3355.2658411884004</v>
      </c>
      <c r="H10" s="72">
        <v>3620.3989804363623</v>
      </c>
      <c r="I10" s="72">
        <v>4039.6478970218291</v>
      </c>
      <c r="J10" s="72">
        <v>4534.9978561519147</v>
      </c>
      <c r="K10" s="72">
        <v>4997.9061660719472</v>
      </c>
      <c r="L10" s="72">
        <v>5635.2782321747318</v>
      </c>
      <c r="M10" s="72">
        <v>6427.9328397772797</v>
      </c>
      <c r="N10" s="72">
        <v>7462.7737700851094</v>
      </c>
      <c r="O10" s="72">
        <v>8693.2188603290906</v>
      </c>
      <c r="P10" s="74">
        <v>10123.03815027002</v>
      </c>
      <c r="Q10" s="68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</row>
    <row r="11" spans="1:30" ht="4.75" customHeight="1">
      <c r="B11" s="76"/>
      <c r="C11" s="77"/>
      <c r="D11" s="77"/>
      <c r="E11" s="78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</row>
    <row r="12" spans="1:30" ht="14">
      <c r="B12" s="62" t="s">
        <v>73</v>
      </c>
      <c r="C12" s="79">
        <v>1337.7909999999999</v>
      </c>
      <c r="D12" s="79">
        <v>2118.1179999999999</v>
      </c>
      <c r="E12" s="80">
        <v>3376.9750000000004</v>
      </c>
      <c r="F12" s="79">
        <v>5058.836241122538</v>
      </c>
      <c r="G12" s="79">
        <v>6745.3143768062746</v>
      </c>
      <c r="H12" s="79">
        <v>7359.6754536495682</v>
      </c>
      <c r="I12" s="79">
        <v>8071.8618434507098</v>
      </c>
      <c r="J12" s="79">
        <v>8786.2856783415064</v>
      </c>
      <c r="K12" s="79">
        <v>9285.6686787804447</v>
      </c>
      <c r="L12" s="79">
        <v>9843.5598199613778</v>
      </c>
      <c r="M12" s="79">
        <v>10460.798325084979</v>
      </c>
      <c r="N12" s="79">
        <v>11160.184820345323</v>
      </c>
      <c r="O12" s="79">
        <v>11931.138413019989</v>
      </c>
      <c r="P12" s="81">
        <v>12775.691668491861</v>
      </c>
      <c r="Q12" s="82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</row>
    <row r="13" spans="1:30" ht="14">
      <c r="B13" s="235" t="s">
        <v>141</v>
      </c>
      <c r="C13" s="237">
        <f>C12/C$5</f>
        <v>0.32710681877309428</v>
      </c>
      <c r="D13" s="237">
        <f t="shared" ref="D13:P13" si="2">D12/D$5</f>
        <v>0.38421205001806674</v>
      </c>
      <c r="E13" s="238">
        <f t="shared" si="2"/>
        <v>0.43576350602660108</v>
      </c>
      <c r="F13" s="237">
        <f t="shared" si="2"/>
        <v>0.49477533534588714</v>
      </c>
      <c r="G13" s="237">
        <f t="shared" si="2"/>
        <v>0.48076550281218211</v>
      </c>
      <c r="H13" s="237">
        <f t="shared" si="2"/>
        <v>0.47788253772870387</v>
      </c>
      <c r="I13" s="237">
        <f t="shared" si="2"/>
        <v>0.47302096555707096</v>
      </c>
      <c r="J13" s="237">
        <f t="shared" si="2"/>
        <v>0.46788952268400735</v>
      </c>
      <c r="K13" s="237">
        <f t="shared" si="2"/>
        <v>0.46471459137729826</v>
      </c>
      <c r="L13" s="237">
        <f t="shared" si="2"/>
        <v>0.4599600906851149</v>
      </c>
      <c r="M13" s="237">
        <f t="shared" si="2"/>
        <v>0.45441504810320255</v>
      </c>
      <c r="N13" s="237">
        <f t="shared" si="2"/>
        <v>0.44766912814992088</v>
      </c>
      <c r="O13" s="237">
        <f t="shared" si="2"/>
        <v>0.44050962012364958</v>
      </c>
      <c r="P13" s="239">
        <f t="shared" si="2"/>
        <v>0.43317289376562235</v>
      </c>
      <c r="Q13" s="82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</row>
    <row r="14" spans="1:30" ht="14" outlineLevel="1">
      <c r="B14" s="67" t="s">
        <v>69</v>
      </c>
      <c r="C14" s="68">
        <v>990.31408035999993</v>
      </c>
      <c r="D14" s="68">
        <v>1595.5061870210593</v>
      </c>
      <c r="E14" s="69">
        <v>1800.6916338688984</v>
      </c>
      <c r="F14" s="68">
        <v>1827.8950684466806</v>
      </c>
      <c r="G14" s="68">
        <v>1881.6922858228379</v>
      </c>
      <c r="H14" s="68">
        <v>2032.5887121579678</v>
      </c>
      <c r="I14" s="68">
        <v>2190.8945539017118</v>
      </c>
      <c r="J14" s="68">
        <v>2358.6902613844627</v>
      </c>
      <c r="K14" s="68">
        <v>2461.1663236105101</v>
      </c>
      <c r="L14" s="68">
        <v>2569.04802302083</v>
      </c>
      <c r="M14" s="68">
        <v>2682.6790380145731</v>
      </c>
      <c r="N14" s="68">
        <v>2802.4281814549636</v>
      </c>
      <c r="O14" s="68">
        <v>2928.6913990455223</v>
      </c>
      <c r="P14" s="70">
        <v>3061.8939335977043</v>
      </c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</row>
    <row r="15" spans="1:30" ht="14" outlineLevel="1">
      <c r="B15" s="67" t="s">
        <v>70</v>
      </c>
      <c r="C15" s="68">
        <v>160.917</v>
      </c>
      <c r="D15" s="68">
        <v>316.11599999999999</v>
      </c>
      <c r="E15" s="69">
        <v>481.37751048337481</v>
      </c>
      <c r="F15" s="68">
        <v>1386.9299253261511</v>
      </c>
      <c r="G15" s="68">
        <v>2162.9928299498765</v>
      </c>
      <c r="H15" s="68">
        <v>2424.1379852621744</v>
      </c>
      <c r="I15" s="68">
        <v>2730.9340480361388</v>
      </c>
      <c r="J15" s="68">
        <v>3003.1562105257653</v>
      </c>
      <c r="K15" s="68">
        <v>3160.7107667513992</v>
      </c>
      <c r="L15" s="68">
        <v>3326.5880651572029</v>
      </c>
      <c r="M15" s="68">
        <v>3501.2303118648429</v>
      </c>
      <c r="N15" s="68">
        <v>3685.1033300167092</v>
      </c>
      <c r="O15" s="68">
        <v>3878.6978271994171</v>
      </c>
      <c r="P15" s="70">
        <v>4082.5307312070026</v>
      </c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</row>
    <row r="16" spans="1:30" ht="14" outlineLevel="1">
      <c r="B16" s="67" t="s">
        <v>71</v>
      </c>
      <c r="C16" s="68">
        <v>40.214919639999998</v>
      </c>
      <c r="D16" s="68">
        <v>45.656812978940714</v>
      </c>
      <c r="E16" s="69">
        <v>745.2473510127279</v>
      </c>
      <c r="F16" s="68">
        <v>775.20456920456172</v>
      </c>
      <c r="G16" s="68">
        <v>822.79346465788967</v>
      </c>
      <c r="H16" s="68">
        <v>873.4260521072373</v>
      </c>
      <c r="I16" s="68">
        <v>927.30472677241085</v>
      </c>
      <c r="J16" s="68">
        <v>984.64581708720061</v>
      </c>
      <c r="K16" s="68">
        <v>1030.7422784769374</v>
      </c>
      <c r="L16" s="68">
        <v>1079.1498517932293</v>
      </c>
      <c r="M16" s="68">
        <v>1129.991574496159</v>
      </c>
      <c r="N16" s="68">
        <v>1183.3973549825191</v>
      </c>
      <c r="O16" s="68">
        <v>1239.5043702479093</v>
      </c>
      <c r="P16" s="70">
        <v>1298.4574871683662</v>
      </c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</row>
    <row r="17" spans="1:30" ht="14" outlineLevel="1">
      <c r="B17" s="71" t="s">
        <v>72</v>
      </c>
      <c r="C17" s="72">
        <v>146.345</v>
      </c>
      <c r="D17" s="72">
        <v>160.839</v>
      </c>
      <c r="E17" s="73">
        <v>349.65850463499919</v>
      </c>
      <c r="F17" s="72">
        <v>1068.8066781451446</v>
      </c>
      <c r="G17" s="72">
        <v>1877.8357963756705</v>
      </c>
      <c r="H17" s="72">
        <v>2029.5227041221885</v>
      </c>
      <c r="I17" s="72">
        <v>2222.7285147404496</v>
      </c>
      <c r="J17" s="72">
        <v>2439.7933893440763</v>
      </c>
      <c r="K17" s="72">
        <v>2633.0493099415976</v>
      </c>
      <c r="L17" s="72">
        <v>2868.7738799901158</v>
      </c>
      <c r="M17" s="72">
        <v>3146.8974007094057</v>
      </c>
      <c r="N17" s="72">
        <v>3489.255953891131</v>
      </c>
      <c r="O17" s="72">
        <v>3884.2448165271417</v>
      </c>
      <c r="P17" s="74">
        <v>4332.8095165187869</v>
      </c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</row>
    <row r="18" spans="1:30" ht="4.75" customHeight="1">
      <c r="B18" s="83"/>
      <c r="C18" s="84"/>
      <c r="D18" s="85"/>
      <c r="E18" s="86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</row>
    <row r="19" spans="1:30" ht="14">
      <c r="B19" s="87" t="s">
        <v>74</v>
      </c>
      <c r="C19" s="88">
        <v>2751.976999999999</v>
      </c>
      <c r="D19" s="88">
        <v>3394.77</v>
      </c>
      <c r="E19" s="89">
        <v>4372.5839999999989</v>
      </c>
      <c r="F19" s="88">
        <v>5165.6755316520912</v>
      </c>
      <c r="G19" s="88">
        <v>7285.0483204969623</v>
      </c>
      <c r="H19" s="88">
        <v>8040.9196143955633</v>
      </c>
      <c r="I19" s="88">
        <v>8992.6288053825356</v>
      </c>
      <c r="J19" s="88">
        <v>9992.2619325127544</v>
      </c>
      <c r="K19" s="88">
        <v>10695.775526059426</v>
      </c>
      <c r="L19" s="88">
        <v>11557.339995714592</v>
      </c>
      <c r="M19" s="88">
        <v>12559.562397452581</v>
      </c>
      <c r="N19" s="88">
        <v>13769.353802223854</v>
      </c>
      <c r="O19" s="88">
        <v>15153.714829619659</v>
      </c>
      <c r="P19" s="90">
        <v>16717.593466298749</v>
      </c>
      <c r="Q19" s="82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</row>
    <row r="20" spans="1:30" ht="4.75" customHeight="1">
      <c r="B20" s="83"/>
      <c r="C20" s="84"/>
      <c r="D20" s="85"/>
      <c r="E20" s="91"/>
      <c r="F20" s="92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</row>
    <row r="21" spans="1:30" ht="14">
      <c r="B21" s="62" t="s">
        <v>75</v>
      </c>
      <c r="C21" s="79">
        <v>1864.8319999999999</v>
      </c>
      <c r="D21" s="79">
        <v>2202.0320000000002</v>
      </c>
      <c r="E21" s="80">
        <v>2084.184000577583</v>
      </c>
      <c r="F21" s="79">
        <v>2597.2309482529727</v>
      </c>
      <c r="G21" s="79">
        <v>3677.7868674328552</v>
      </c>
      <c r="H21" s="79">
        <v>4020.7002189808227</v>
      </c>
      <c r="I21" s="79">
        <v>4473.1770024209854</v>
      </c>
      <c r="J21" s="79">
        <v>4954.0730426038226</v>
      </c>
      <c r="K21" s="79">
        <v>5268.6293101209003</v>
      </c>
      <c r="L21" s="79">
        <v>5671.470146273502</v>
      </c>
      <c r="M21" s="79">
        <v>6135.8167435525693</v>
      </c>
      <c r="N21" s="79">
        <v>6690.7605110370114</v>
      </c>
      <c r="O21" s="79">
        <v>7322.0229017192887</v>
      </c>
      <c r="P21" s="81">
        <v>8030.7664589521737</v>
      </c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</row>
    <row r="22" spans="1:30" ht="14">
      <c r="B22" s="235" t="s">
        <v>141</v>
      </c>
      <c r="C22" s="237">
        <f>C21/C$5</f>
        <v>0.45597500885135789</v>
      </c>
      <c r="D22" s="237">
        <f t="shared" ref="D22" si="3">D21/D$5</f>
        <v>0.39943347298185639</v>
      </c>
      <c r="E22" s="238">
        <f t="shared" ref="E22" si="4">E21/E$5</f>
        <v>0.26894227149926636</v>
      </c>
      <c r="F22" s="237">
        <f t="shared" ref="F22" si="5">F21/F$5</f>
        <v>0.25402004574621967</v>
      </c>
      <c r="G22" s="237">
        <f t="shared" ref="G22" si="6">G21/G$5</f>
        <v>0.26213056260760526</v>
      </c>
      <c r="H22" s="237">
        <f t="shared" ref="H22" si="7">H21/H$5</f>
        <v>0.26107434168718707</v>
      </c>
      <c r="I22" s="237">
        <f t="shared" ref="I22" si="8">I21/I$5</f>
        <v>0.26213363729827066</v>
      </c>
      <c r="J22" s="237">
        <f t="shared" ref="J22" si="9">J21/J$5</f>
        <v>0.26381555939610046</v>
      </c>
      <c r="K22" s="237">
        <f t="shared" ref="K22" si="10">K21/K$5</f>
        <v>0.26367610149244075</v>
      </c>
      <c r="L22" s="237">
        <f t="shared" ref="L22" si="11">L21/L$5</f>
        <v>0.26501082641951346</v>
      </c>
      <c r="M22" s="237">
        <f t="shared" ref="M22" si="12">M21/M$5</f>
        <v>0.26653868796875269</v>
      </c>
      <c r="N22" s="237">
        <f t="shared" ref="N22" si="13">N21/N$5</f>
        <v>0.26838685674590629</v>
      </c>
      <c r="O22" s="237">
        <f t="shared" ref="O22" si="14">O21/O$5</f>
        <v>0.27033644362496445</v>
      </c>
      <c r="P22" s="239">
        <f t="shared" ref="P22" si="15">P21/P$5</f>
        <v>0.27229135114144987</v>
      </c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</row>
    <row r="23" spans="1:30" ht="14" outlineLevel="1">
      <c r="B23" s="67" t="s">
        <v>76</v>
      </c>
      <c r="C23" s="93">
        <v>290.952</v>
      </c>
      <c r="D23" s="93">
        <v>351.99200000000002</v>
      </c>
      <c r="E23" s="94">
        <v>500.02400000000017</v>
      </c>
      <c r="F23" s="93">
        <v>567.18006592614154</v>
      </c>
      <c r="G23" s="93">
        <v>802.6226098942476</v>
      </c>
      <c r="H23" s="93">
        <v>867.66665569762097</v>
      </c>
      <c r="I23" s="93">
        <v>949.52708063138766</v>
      </c>
      <c r="J23" s="93">
        <v>1029.8564373677018</v>
      </c>
      <c r="K23" s="93">
        <v>1071.8921705811433</v>
      </c>
      <c r="L23" s="93">
        <v>1121.8751520525027</v>
      </c>
      <c r="M23" s="93">
        <v>1174.3065268250291</v>
      </c>
      <c r="N23" s="93">
        <v>1229.3104625647634</v>
      </c>
      <c r="O23" s="93">
        <v>1287.0289881687565</v>
      </c>
      <c r="P23" s="95">
        <v>1347.6041974306834</v>
      </c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</row>
    <row r="24" spans="1:30" ht="14" outlineLevel="1">
      <c r="A24" s="48"/>
      <c r="B24" s="67" t="s">
        <v>77</v>
      </c>
      <c r="C24" s="93">
        <v>1195.3409999999999</v>
      </c>
      <c r="D24" s="93">
        <v>1414.19</v>
      </c>
      <c r="E24" s="94">
        <v>1701.8120005775827</v>
      </c>
      <c r="F24" s="93">
        <v>1926.7240479117561</v>
      </c>
      <c r="G24" s="93">
        <v>2591.0821007823329</v>
      </c>
      <c r="H24" s="93">
        <v>2802.0457145805399</v>
      </c>
      <c r="I24" s="93">
        <v>3082.7251779719713</v>
      </c>
      <c r="J24" s="93">
        <v>3375.8898519546019</v>
      </c>
      <c r="K24" s="93">
        <v>3574.6803059563349</v>
      </c>
      <c r="L24" s="93">
        <v>3834.1278287156501</v>
      </c>
      <c r="M24" s="93">
        <v>4135.5180809452913</v>
      </c>
      <c r="N24" s="93">
        <v>4501.7013135019106</v>
      </c>
      <c r="O24" s="93">
        <v>4920.9886873849482</v>
      </c>
      <c r="P24" s="95">
        <v>5394.5349158712716</v>
      </c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</row>
    <row r="25" spans="1:30" ht="14" outlineLevel="1">
      <c r="B25" s="67" t="s">
        <v>0</v>
      </c>
      <c r="C25" s="93">
        <v>374.09899999999999</v>
      </c>
      <c r="D25" s="93">
        <v>478.61799999999999</v>
      </c>
      <c r="E25" s="94">
        <v>595.15099999999995</v>
      </c>
      <c r="F25" s="93">
        <v>666.76536409234313</v>
      </c>
      <c r="G25" s="93">
        <v>928.80825175203995</v>
      </c>
      <c r="H25" s="93">
        <v>994.12408618928475</v>
      </c>
      <c r="I25" s="93">
        <v>1091.3250582671956</v>
      </c>
      <c r="J25" s="93">
        <v>1205.4572740408269</v>
      </c>
      <c r="K25" s="93">
        <v>1283.4419450501871</v>
      </c>
      <c r="L25" s="93">
        <v>1381.2770263946675</v>
      </c>
      <c r="M25" s="93">
        <v>1496.4044072366548</v>
      </c>
      <c r="N25" s="93">
        <v>1634.9489301508891</v>
      </c>
      <c r="O25" s="93">
        <v>1794.1870768219089</v>
      </c>
      <c r="P25" s="95">
        <v>1973.9931865210619</v>
      </c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</row>
    <row r="26" spans="1:30" ht="14" outlineLevel="1">
      <c r="B26" s="67" t="s">
        <v>78</v>
      </c>
      <c r="C26" s="93">
        <v>4.4400000000000004</v>
      </c>
      <c r="D26" s="93">
        <v>-42.768000000000001</v>
      </c>
      <c r="E26" s="94">
        <v>-712.80300000000011</v>
      </c>
      <c r="F26" s="93">
        <v>-563.43852967726798</v>
      </c>
      <c r="G26" s="93">
        <v>-144.68197734870631</v>
      </c>
      <c r="H26" s="93">
        <v>-150.73788108523911</v>
      </c>
      <c r="I26" s="93">
        <v>-157.63730050696776</v>
      </c>
      <c r="J26" s="93">
        <v>-163.99212405368826</v>
      </c>
      <c r="K26" s="93">
        <v>-168.01417676635612</v>
      </c>
      <c r="L26" s="93">
        <v>-172.20227247739905</v>
      </c>
      <c r="M26" s="93">
        <v>-176.56384076970849</v>
      </c>
      <c r="N26" s="93">
        <v>-181.10665952798317</v>
      </c>
      <c r="O26" s="93">
        <v>-185.83887189486194</v>
      </c>
      <c r="P26" s="95">
        <v>-190.76900407820278</v>
      </c>
      <c r="Q26" s="93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</row>
    <row r="27" spans="1:30" ht="14" outlineLevel="1">
      <c r="B27" s="71" t="s">
        <v>79</v>
      </c>
      <c r="C27" s="96">
        <v>0</v>
      </c>
      <c r="D27" s="96">
        <v>0</v>
      </c>
      <c r="E27" s="97">
        <v>0</v>
      </c>
      <c r="F27" s="96">
        <v>0</v>
      </c>
      <c r="G27" s="96">
        <v>-500.04411764705884</v>
      </c>
      <c r="H27" s="96">
        <v>-492.39835640138409</v>
      </c>
      <c r="I27" s="96">
        <v>-492.76301394260128</v>
      </c>
      <c r="J27" s="96">
        <v>-493.13839670561896</v>
      </c>
      <c r="K27" s="96">
        <v>-493.37093470040872</v>
      </c>
      <c r="L27" s="96">
        <v>-493.60758841192029</v>
      </c>
      <c r="M27" s="96">
        <v>-493.84843068469769</v>
      </c>
      <c r="N27" s="96">
        <v>-494.09353565256845</v>
      </c>
      <c r="O27" s="96">
        <v>-494.34297876146343</v>
      </c>
      <c r="P27" s="98">
        <v>-494.59683679263981</v>
      </c>
      <c r="Q27" s="93"/>
      <c r="R27" s="84"/>
      <c r="S27" s="84"/>
      <c r="T27" s="84"/>
      <c r="U27" s="75"/>
      <c r="V27" s="75"/>
      <c r="W27" s="75"/>
      <c r="X27" s="75"/>
      <c r="Y27" s="75"/>
      <c r="Z27" s="75"/>
      <c r="AA27" s="75"/>
      <c r="AB27" s="75"/>
      <c r="AC27" s="75"/>
      <c r="AD27" s="75"/>
    </row>
    <row r="28" spans="1:30" ht="4.75" customHeight="1">
      <c r="B28" s="99"/>
      <c r="C28" s="100"/>
      <c r="D28" s="100"/>
      <c r="E28" s="101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84"/>
      <c r="S28" s="84"/>
      <c r="T28" s="84"/>
      <c r="U28" s="75"/>
      <c r="V28" s="75"/>
      <c r="W28" s="75"/>
      <c r="X28" s="75"/>
      <c r="Y28" s="75"/>
      <c r="Z28" s="75"/>
      <c r="AA28" s="75"/>
      <c r="AB28" s="75"/>
      <c r="AC28" s="75"/>
      <c r="AD28" s="75"/>
    </row>
    <row r="29" spans="1:30" ht="14">
      <c r="A29" s="48">
        <f>G19-G21+G34</f>
        <v>4109.3838297267794</v>
      </c>
      <c r="B29" s="102" t="s">
        <v>80</v>
      </c>
      <c r="C29" s="103">
        <v>1013.549999999999</v>
      </c>
      <c r="D29" s="103">
        <v>1352.8679999999999</v>
      </c>
      <c r="E29" s="104">
        <v>2726.9419994224158</v>
      </c>
      <c r="F29" s="103">
        <v>3018.8446538197572</v>
      </c>
      <c r="G29" s="103">
        <v>4109.3838297267794</v>
      </c>
      <c r="H29" s="103">
        <v>4546.6222800152473</v>
      </c>
      <c r="I29" s="103">
        <v>5061.1850298985255</v>
      </c>
      <c r="J29" s="103">
        <v>5581.5615051753803</v>
      </c>
      <c r="K29" s="103">
        <v>5976.4600020720991</v>
      </c>
      <c r="L29" s="103">
        <v>6451.2843485065569</v>
      </c>
      <c r="M29" s="103">
        <v>7005.9235872576355</v>
      </c>
      <c r="N29" s="103">
        <v>7729.9126681794842</v>
      </c>
      <c r="O29" s="103">
        <v>8500.8674438061007</v>
      </c>
      <c r="P29" s="105">
        <v>9378.5463539031407</v>
      </c>
      <c r="Q29" s="82"/>
      <c r="R29" s="84"/>
      <c r="S29" s="84"/>
      <c r="T29" s="84"/>
      <c r="U29" s="75"/>
      <c r="V29" s="75"/>
      <c r="W29" s="75"/>
      <c r="X29" s="75"/>
      <c r="Y29" s="75"/>
      <c r="Z29" s="75"/>
      <c r="AA29" s="75"/>
      <c r="AB29" s="75"/>
      <c r="AC29" s="75"/>
      <c r="AD29" s="75"/>
    </row>
    <row r="30" spans="1:30" ht="14">
      <c r="A30" s="48">
        <f>A29-G29</f>
        <v>0</v>
      </c>
      <c r="B30" s="106" t="s">
        <v>81</v>
      </c>
      <c r="C30" s="107">
        <v>0.24782579354134496</v>
      </c>
      <c r="D30" s="107">
        <v>0.24540095862640415</v>
      </c>
      <c r="E30" s="108">
        <v>0.35188350710310307</v>
      </c>
      <c r="F30" s="107">
        <v>0.29525562891503543</v>
      </c>
      <c r="G30" s="107">
        <v>0.29289220231752383</v>
      </c>
      <c r="H30" s="107">
        <v>0.29522380530925618</v>
      </c>
      <c r="I30" s="107">
        <v>0.29659162608785955</v>
      </c>
      <c r="J30" s="107">
        <v>0.29723073481727419</v>
      </c>
      <c r="K30" s="107">
        <v>0.29910050248642644</v>
      </c>
      <c r="L30" s="107">
        <v>0.30144921027017041</v>
      </c>
      <c r="M30" s="107">
        <v>0.30433596031354304</v>
      </c>
      <c r="N30" s="107">
        <v>0.31007042630068771</v>
      </c>
      <c r="O30" s="107">
        <v>0.31386056877071045</v>
      </c>
      <c r="P30" s="107">
        <v>0.31798920707005618</v>
      </c>
      <c r="Q30" s="107"/>
      <c r="R30" s="84"/>
      <c r="S30" s="84"/>
      <c r="T30" s="84"/>
      <c r="U30" s="75"/>
      <c r="V30" s="75"/>
      <c r="W30" s="75"/>
      <c r="X30" s="75"/>
      <c r="Y30" s="75"/>
      <c r="Z30" s="75"/>
      <c r="AA30" s="75"/>
      <c r="AB30" s="75"/>
      <c r="AC30" s="75"/>
      <c r="AD30" s="75"/>
    </row>
    <row r="31" spans="1:30" ht="14">
      <c r="B31" s="242" t="s">
        <v>141</v>
      </c>
      <c r="C31" s="237">
        <f>C29/C$5</f>
        <v>0.24782579354134496</v>
      </c>
      <c r="D31" s="237">
        <f t="shared" ref="D31:P31" si="16">D29/D$5</f>
        <v>0.24540095862640415</v>
      </c>
      <c r="E31" s="237">
        <f t="shared" si="16"/>
        <v>0.35188350710310307</v>
      </c>
      <c r="F31" s="237">
        <f t="shared" si="16"/>
        <v>0.29525562891503543</v>
      </c>
      <c r="G31" s="237">
        <f t="shared" si="16"/>
        <v>0.29289220231752383</v>
      </c>
      <c r="H31" s="237">
        <f t="shared" si="16"/>
        <v>0.29522380530925618</v>
      </c>
      <c r="I31" s="237">
        <f t="shared" si="16"/>
        <v>0.29659162608785955</v>
      </c>
      <c r="J31" s="237">
        <f t="shared" si="16"/>
        <v>0.29723073481727419</v>
      </c>
      <c r="K31" s="237">
        <f t="shared" si="16"/>
        <v>0.29910050248642644</v>
      </c>
      <c r="L31" s="237">
        <f t="shared" si="16"/>
        <v>0.30144921027017041</v>
      </c>
      <c r="M31" s="237">
        <f t="shared" si="16"/>
        <v>0.30433596031354304</v>
      </c>
      <c r="N31" s="237">
        <f t="shared" si="16"/>
        <v>0.31007042630068771</v>
      </c>
      <c r="O31" s="237">
        <f t="shared" si="16"/>
        <v>0.31386056877071045</v>
      </c>
      <c r="P31" s="237">
        <f t="shared" si="16"/>
        <v>0.31798920707005618</v>
      </c>
      <c r="Q31" s="107"/>
      <c r="R31" s="84"/>
      <c r="S31" s="84"/>
      <c r="T31" s="84"/>
      <c r="U31" s="75"/>
      <c r="V31" s="75"/>
      <c r="W31" s="75"/>
      <c r="X31" s="75"/>
      <c r="Y31" s="75"/>
      <c r="Z31" s="75"/>
      <c r="AA31" s="75"/>
      <c r="AB31" s="75"/>
      <c r="AC31" s="75"/>
      <c r="AD31" s="75"/>
    </row>
    <row r="32" spans="1:30" ht="4.75" customHeight="1" outlineLevel="1">
      <c r="B32" s="99"/>
      <c r="C32" s="100"/>
      <c r="D32" s="100"/>
      <c r="E32" s="109"/>
      <c r="F32" s="11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84"/>
      <c r="S32" s="84"/>
      <c r="T32" s="84"/>
      <c r="U32" s="75"/>
      <c r="V32" s="75"/>
      <c r="W32" s="75"/>
      <c r="X32" s="75"/>
      <c r="Y32" s="75"/>
      <c r="Z32" s="75"/>
      <c r="AA32" s="75"/>
      <c r="AB32" s="75"/>
      <c r="AC32" s="75"/>
      <c r="AD32" s="75"/>
    </row>
    <row r="33" spans="1:30" ht="14" outlineLevel="1">
      <c r="B33" s="87" t="s">
        <v>82</v>
      </c>
      <c r="C33" s="88">
        <v>887.14499999999907</v>
      </c>
      <c r="D33" s="88">
        <v>1192.7379999999998</v>
      </c>
      <c r="E33" s="89">
        <v>2288.3999994224159</v>
      </c>
      <c r="F33" s="88">
        <v>2568.4445833991185</v>
      </c>
      <c r="G33" s="88">
        <v>3607.2614530641072</v>
      </c>
      <c r="H33" s="88">
        <v>4020.2193954147406</v>
      </c>
      <c r="I33" s="88">
        <v>4519.4518029615501</v>
      </c>
      <c r="J33" s="88">
        <v>5038.1888899089317</v>
      </c>
      <c r="K33" s="88">
        <v>5427.1462159385264</v>
      </c>
      <c r="L33" s="88">
        <v>5885.8698494410901</v>
      </c>
      <c r="M33" s="88">
        <v>6423.7456539000113</v>
      </c>
      <c r="N33" s="88">
        <v>7078.5932911868422</v>
      </c>
      <c r="O33" s="88">
        <v>7831.6919279003705</v>
      </c>
      <c r="P33" s="90">
        <v>8686.8270073465756</v>
      </c>
      <c r="Q33" s="82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</row>
    <row r="34" spans="1:30" ht="14" outlineLevel="1">
      <c r="B34" s="155" t="s">
        <v>83</v>
      </c>
      <c r="C34" s="156">
        <v>126.405</v>
      </c>
      <c r="D34" s="156">
        <v>160.13</v>
      </c>
      <c r="E34" s="157">
        <v>438.54199999999997</v>
      </c>
      <c r="F34" s="156">
        <v>450.40007042063871</v>
      </c>
      <c r="G34" s="156">
        <v>502.12237666267214</v>
      </c>
      <c r="H34" s="156">
        <v>526.40288460050681</v>
      </c>
      <c r="I34" s="156">
        <v>541.73322693697571</v>
      </c>
      <c r="J34" s="156">
        <v>543.37261526644841</v>
      </c>
      <c r="K34" s="156">
        <v>549.3137861335731</v>
      </c>
      <c r="L34" s="156">
        <v>565.41449906546688</v>
      </c>
      <c r="M34" s="156">
        <v>582.17793335762383</v>
      </c>
      <c r="N34" s="156">
        <v>651.31937699264165</v>
      </c>
      <c r="O34" s="156">
        <v>669.17551590573055</v>
      </c>
      <c r="P34" s="158">
        <v>691.71934655656423</v>
      </c>
      <c r="Q34" s="93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</row>
    <row r="35" spans="1:30" ht="14" outlineLevel="1">
      <c r="B35" s="243" t="s">
        <v>141</v>
      </c>
      <c r="C35" s="244">
        <f>C34/C$5</f>
        <v>3.0907621165797188E-2</v>
      </c>
      <c r="D35" s="244">
        <f t="shared" ref="D35:P35" si="17">D34/D$5</f>
        <v>2.9046481626327253E-2</v>
      </c>
      <c r="E35" s="244">
        <f t="shared" si="17"/>
        <v>5.6589284628970504E-2</v>
      </c>
      <c r="F35" s="244">
        <f t="shared" si="17"/>
        <v>4.4051010007142226E-2</v>
      </c>
      <c r="G35" s="244">
        <f t="shared" si="17"/>
        <v>3.5788267737311211E-2</v>
      </c>
      <c r="H35" s="244">
        <f t="shared" si="17"/>
        <v>3.4180684725147154E-2</v>
      </c>
      <c r="I35" s="244">
        <f t="shared" si="17"/>
        <v>3.1746228943201171E-2</v>
      </c>
      <c r="J35" s="244">
        <f t="shared" si="17"/>
        <v>2.8935816897381963E-2</v>
      </c>
      <c r="K35" s="244">
        <f t="shared" si="17"/>
        <v>2.7491195356165461E-2</v>
      </c>
      <c r="L35" s="244">
        <f t="shared" si="17"/>
        <v>2.642012737479878E-2</v>
      </c>
      <c r="M35" s="244">
        <f t="shared" si="17"/>
        <v>2.5289696385498241E-2</v>
      </c>
      <c r="N35" s="244">
        <f t="shared" si="17"/>
        <v>2.6126411196514886E-2</v>
      </c>
      <c r="O35" s="244">
        <f t="shared" si="17"/>
        <v>2.4706632519324433E-2</v>
      </c>
      <c r="P35" s="245">
        <f t="shared" si="17"/>
        <v>2.3453451977128323E-2</v>
      </c>
      <c r="Q35" s="93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</row>
    <row r="36" spans="1:30" ht="4.75" customHeight="1" outlineLevel="1">
      <c r="B36" s="83"/>
      <c r="C36" s="112"/>
      <c r="D36" s="112"/>
      <c r="E36" s="113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75"/>
      <c r="W36" s="75"/>
      <c r="X36" s="75"/>
      <c r="Y36" s="75"/>
      <c r="Z36" s="75"/>
      <c r="AA36" s="75"/>
      <c r="AB36" s="75"/>
      <c r="AC36" s="75"/>
      <c r="AD36" s="75"/>
    </row>
    <row r="37" spans="1:30" ht="14" outlineLevel="1">
      <c r="B37" s="62" t="s">
        <v>84</v>
      </c>
      <c r="C37" s="79">
        <v>-8.1520000000000188</v>
      </c>
      <c r="D37" s="79">
        <v>-323.46100000000001</v>
      </c>
      <c r="E37" s="80">
        <v>-402.65000000000003</v>
      </c>
      <c r="F37" s="79">
        <v>-736.99850561069809</v>
      </c>
      <c r="G37" s="79">
        <v>-1095.3917949786323</v>
      </c>
      <c r="H37" s="79">
        <v>-889.99211510513715</v>
      </c>
      <c r="I37" s="79">
        <v>-815.32306884686591</v>
      </c>
      <c r="J37" s="79">
        <v>-696.69595261868903</v>
      </c>
      <c r="K37" s="79">
        <v>-539.71199814758302</v>
      </c>
      <c r="L37" s="79">
        <v>-364.80497814771024</v>
      </c>
      <c r="M37" s="79">
        <v>-219.2311714598541</v>
      </c>
      <c r="N37" s="79">
        <v>-68.235481828868558</v>
      </c>
      <c r="O37" s="79">
        <v>9.5636428943841452</v>
      </c>
      <c r="P37" s="81">
        <v>90.951083079631701</v>
      </c>
      <c r="Q37" s="82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</row>
    <row r="38" spans="1:30" ht="14" outlineLevel="2">
      <c r="B38" s="67" t="s">
        <v>85</v>
      </c>
      <c r="C38" s="93">
        <v>-242.76400000000001</v>
      </c>
      <c r="D38" s="93">
        <v>-347.464</v>
      </c>
      <c r="E38" s="94">
        <v>-406.77100000000002</v>
      </c>
      <c r="F38" s="93">
        <v>-782.07863406495653</v>
      </c>
      <c r="G38" s="93">
        <v>-1186.4780163214682</v>
      </c>
      <c r="H38" s="93">
        <v>-985.43392616799247</v>
      </c>
      <c r="I38" s="93">
        <v>-896.26320347650619</v>
      </c>
      <c r="J38" s="93">
        <v>-795.80963520402679</v>
      </c>
      <c r="K38" s="93">
        <v>-642.61649348165417</v>
      </c>
      <c r="L38" s="93">
        <v>-479.0317677522267</v>
      </c>
      <c r="M38" s="93">
        <v>-333.66759063409125</v>
      </c>
      <c r="N38" s="93">
        <v>-193.44131187421516</v>
      </c>
      <c r="O38" s="93">
        <v>-158.36620299388372</v>
      </c>
      <c r="P38" s="95">
        <v>-111.99402615757313</v>
      </c>
      <c r="Q38" s="93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</row>
    <row r="39" spans="1:30" ht="14" outlineLevel="2">
      <c r="B39" s="67" t="s">
        <v>86</v>
      </c>
      <c r="C39" s="93">
        <v>254.10499999999999</v>
      </c>
      <c r="D39" s="93">
        <v>7.4160000000000004</v>
      </c>
      <c r="E39" s="94">
        <v>22.875</v>
      </c>
      <c r="F39" s="93">
        <v>45.080128454258464</v>
      </c>
      <c r="G39" s="93">
        <v>91.086221342835813</v>
      </c>
      <c r="H39" s="93">
        <v>95.441811062855365</v>
      </c>
      <c r="I39" s="93">
        <v>80.940134629640298</v>
      </c>
      <c r="J39" s="93">
        <v>99.113682585337713</v>
      </c>
      <c r="K39" s="93">
        <v>102.90449533407113</v>
      </c>
      <c r="L39" s="93">
        <v>114.22678960451643</v>
      </c>
      <c r="M39" s="93">
        <v>114.43641917423716</v>
      </c>
      <c r="N39" s="93">
        <v>125.2058300453466</v>
      </c>
      <c r="O39" s="93">
        <v>167.92984588826786</v>
      </c>
      <c r="P39" s="95">
        <v>202.94510923720483</v>
      </c>
      <c r="Q39" s="93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</row>
    <row r="40" spans="1:30" ht="14" outlineLevel="2">
      <c r="B40" s="71" t="s">
        <v>87</v>
      </c>
      <c r="C40" s="96">
        <v>-19.492999999999999</v>
      </c>
      <c r="D40" s="96">
        <v>16.587</v>
      </c>
      <c r="E40" s="97">
        <v>-18.754000000000001</v>
      </c>
      <c r="F40" s="96">
        <v>0</v>
      </c>
      <c r="G40" s="96">
        <v>0</v>
      </c>
      <c r="H40" s="96">
        <v>0</v>
      </c>
      <c r="I40" s="96">
        <v>0</v>
      </c>
      <c r="J40" s="96">
        <v>0</v>
      </c>
      <c r="K40" s="96">
        <v>0</v>
      </c>
      <c r="L40" s="96">
        <v>0</v>
      </c>
      <c r="M40" s="96">
        <v>0</v>
      </c>
      <c r="N40" s="96">
        <v>0</v>
      </c>
      <c r="O40" s="96">
        <v>0</v>
      </c>
      <c r="P40" s="98">
        <v>0</v>
      </c>
      <c r="Q40" s="93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</row>
    <row r="41" spans="1:30" ht="4.75" customHeight="1" outlineLevel="2">
      <c r="B41" s="114"/>
      <c r="C41" s="93"/>
      <c r="D41" s="93"/>
      <c r="E41" s="94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</row>
    <row r="42" spans="1:30" ht="14" outlineLevel="1">
      <c r="B42" s="87" t="s">
        <v>88</v>
      </c>
      <c r="C42" s="115">
        <v>878.99299999999903</v>
      </c>
      <c r="D42" s="115">
        <v>869.27699999999982</v>
      </c>
      <c r="E42" s="116">
        <v>1885.7499994224158</v>
      </c>
      <c r="F42" s="115">
        <v>1831.4460777884206</v>
      </c>
      <c r="G42" s="115">
        <v>2511.8696580854748</v>
      </c>
      <c r="H42" s="115">
        <v>3130.2272803096034</v>
      </c>
      <c r="I42" s="115">
        <v>3704.1287341146844</v>
      </c>
      <c r="J42" s="115">
        <v>4341.4929372902425</v>
      </c>
      <c r="K42" s="115">
        <v>4887.4342177909439</v>
      </c>
      <c r="L42" s="115">
        <v>5521.0648712933798</v>
      </c>
      <c r="M42" s="115">
        <v>6204.5144824401568</v>
      </c>
      <c r="N42" s="115">
        <v>7010.3578093579736</v>
      </c>
      <c r="O42" s="115">
        <v>7841.2555707947549</v>
      </c>
      <c r="P42" s="117">
        <v>8777.7780904262072</v>
      </c>
      <c r="Q42" s="82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</row>
    <row r="43" spans="1:30" ht="4.75" customHeight="1" outlineLevel="1">
      <c r="B43" s="83"/>
      <c r="C43" s="84"/>
      <c r="D43" s="84"/>
      <c r="E43" s="119"/>
      <c r="F43" s="120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75"/>
      <c r="V43" s="75"/>
      <c r="W43" s="75"/>
      <c r="X43" s="75"/>
      <c r="Y43" s="75"/>
      <c r="Z43" s="75"/>
      <c r="AA43" s="75"/>
      <c r="AB43" s="75"/>
      <c r="AC43" s="75"/>
      <c r="AD43" s="75"/>
    </row>
    <row r="44" spans="1:30" ht="14" outlineLevel="1">
      <c r="A44" s="51"/>
      <c r="B44" s="155" t="s">
        <v>89</v>
      </c>
      <c r="C44" s="156">
        <v>131.88200000000001</v>
      </c>
      <c r="D44" s="156">
        <v>228.46700000000001</v>
      </c>
      <c r="E44" s="157">
        <v>321.08699999999999</v>
      </c>
      <c r="F44" s="156">
        <v>515.3459689895468</v>
      </c>
      <c r="G44" s="156">
        <v>683.83183794846911</v>
      </c>
      <c r="H44" s="156">
        <v>844.89267380192905</v>
      </c>
      <c r="I44" s="156">
        <v>997.56826549392088</v>
      </c>
      <c r="J44" s="156">
        <v>1165.9081461520154</v>
      </c>
      <c r="K44" s="156">
        <v>1309.7480179662095</v>
      </c>
      <c r="L44" s="156">
        <v>1476.7208582265946</v>
      </c>
      <c r="M44" s="156">
        <v>1656.7234306715202</v>
      </c>
      <c r="N44" s="156">
        <v>1868.6702936788836</v>
      </c>
      <c r="O44" s="156">
        <v>2087.2597306439416</v>
      </c>
      <c r="P44" s="158">
        <v>2333.4467964341366</v>
      </c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</row>
    <row r="45" spans="1:30" ht="14" outlineLevel="1">
      <c r="A45" s="51"/>
      <c r="B45" s="243"/>
      <c r="C45" s="244">
        <f>C44/C42</f>
        <v>0.15003759984436754</v>
      </c>
      <c r="D45" s="244">
        <f t="shared" ref="D45:P45" si="18">D44/D42</f>
        <v>0.26282416306884926</v>
      </c>
      <c r="E45" s="244">
        <f t="shared" si="18"/>
        <v>0.17027018432896479</v>
      </c>
      <c r="F45" s="244">
        <f t="shared" si="18"/>
        <v>0.28138746493255073</v>
      </c>
      <c r="G45" s="244">
        <f t="shared" si="18"/>
        <v>0.27224017605661904</v>
      </c>
      <c r="H45" s="244">
        <f t="shared" si="18"/>
        <v>0.26991416218133613</v>
      </c>
      <c r="I45" s="244">
        <f t="shared" si="18"/>
        <v>0.26931252585970056</v>
      </c>
      <c r="J45" s="244">
        <f t="shared" si="18"/>
        <v>0.26855005017691469</v>
      </c>
      <c r="K45" s="244">
        <f t="shared" si="18"/>
        <v>0.26798274096427604</v>
      </c>
      <c r="L45" s="244">
        <f t="shared" si="18"/>
        <v>0.26747029651920279</v>
      </c>
      <c r="M45" s="244">
        <f t="shared" si="18"/>
        <v>0.26701902870246053</v>
      </c>
      <c r="N45" s="244">
        <f t="shared" si="18"/>
        <v>0.26655847597171667</v>
      </c>
      <c r="O45" s="244">
        <f t="shared" si="18"/>
        <v>0.26618947843226415</v>
      </c>
      <c r="P45" s="245">
        <f t="shared" si="18"/>
        <v>0.26583570151758479</v>
      </c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</row>
    <row r="46" spans="1:30" ht="4.75" customHeight="1" outlineLevel="1">
      <c r="B46" s="83"/>
      <c r="C46" s="68"/>
      <c r="D46" s="124"/>
      <c r="E46" s="125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75"/>
      <c r="V46" s="75"/>
      <c r="W46" s="75"/>
      <c r="X46" s="75"/>
      <c r="Y46" s="75"/>
      <c r="Z46" s="75"/>
      <c r="AA46" s="75"/>
      <c r="AB46" s="75"/>
      <c r="AC46" s="75"/>
      <c r="AD46" s="75"/>
    </row>
    <row r="47" spans="1:30" ht="14" outlineLevel="1">
      <c r="B47" s="126" t="s">
        <v>90</v>
      </c>
      <c r="C47" s="121">
        <v>0</v>
      </c>
      <c r="D47" s="121">
        <v>0</v>
      </c>
      <c r="E47" s="122">
        <v>-27.257000000000001</v>
      </c>
      <c r="F47" s="121">
        <v>-90.717274724723197</v>
      </c>
      <c r="G47" s="121">
        <v>-164.11260992813038</v>
      </c>
      <c r="H47" s="121">
        <v>-180.99113171956401</v>
      </c>
      <c r="I47" s="121">
        <v>-203.83580806398564</v>
      </c>
      <c r="J47" s="121">
        <v>-219.92944246952538</v>
      </c>
      <c r="K47" s="121">
        <v>-238.72926153886971</v>
      </c>
      <c r="L47" s="121">
        <v>-253.236792930571</v>
      </c>
      <c r="M47" s="121">
        <v>-268.43685209953287</v>
      </c>
      <c r="N47" s="121">
        <v>-284.46802532889177</v>
      </c>
      <c r="O47" s="121">
        <v>-301.37447772250141</v>
      </c>
      <c r="P47" s="123">
        <v>-319.20251515072187</v>
      </c>
      <c r="Q47" s="100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</row>
    <row r="48" spans="1:30" ht="14" outlineLevel="1">
      <c r="B48" s="127" t="s">
        <v>91</v>
      </c>
      <c r="C48" s="115">
        <v>747.11099999999897</v>
      </c>
      <c r="D48" s="115">
        <v>640.80999999999983</v>
      </c>
      <c r="E48" s="116">
        <v>1537.4059994224158</v>
      </c>
      <c r="F48" s="115">
        <v>1225.3828340741507</v>
      </c>
      <c r="G48" s="115">
        <v>1663.9252102088753</v>
      </c>
      <c r="H48" s="115">
        <v>2104.3434747881101</v>
      </c>
      <c r="I48" s="115">
        <v>2502.724660556778</v>
      </c>
      <c r="J48" s="115">
        <v>2955.6553486687017</v>
      </c>
      <c r="K48" s="115">
        <v>3338.9569382858645</v>
      </c>
      <c r="L48" s="115">
        <v>3791.107220136214</v>
      </c>
      <c r="M48" s="115">
        <v>4279.3541996691038</v>
      </c>
      <c r="N48" s="115">
        <v>4857.2194903501986</v>
      </c>
      <c r="O48" s="115">
        <v>5452.6213624283128</v>
      </c>
      <c r="P48" s="117">
        <v>6125.1287788413483</v>
      </c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</row>
    <row r="49" spans="2:30" s="128" customFormat="1" ht="10.5" customHeight="1" outlineLevel="1">
      <c r="B49" s="83"/>
      <c r="C49" s="66"/>
      <c r="D49" s="66"/>
      <c r="E49" s="129"/>
      <c r="F49" s="82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</row>
    <row r="50" spans="2:30" s="128" customFormat="1" ht="14" hidden="1" outlineLevel="2">
      <c r="B50" s="130" t="s">
        <v>92</v>
      </c>
      <c r="C50" s="56">
        <v>2014</v>
      </c>
      <c r="D50" s="56">
        <v>2015</v>
      </c>
      <c r="E50" s="57">
        <v>2016</v>
      </c>
      <c r="F50" s="58">
        <v>2017</v>
      </c>
      <c r="G50" s="58">
        <v>2018</v>
      </c>
      <c r="H50" s="58">
        <v>2019</v>
      </c>
      <c r="I50" s="58">
        <v>2020</v>
      </c>
      <c r="J50" s="58">
        <v>2021</v>
      </c>
      <c r="K50" s="58">
        <v>2022</v>
      </c>
      <c r="L50" s="58">
        <v>2023</v>
      </c>
      <c r="M50" s="58">
        <v>2024</v>
      </c>
      <c r="N50" s="58">
        <v>2025</v>
      </c>
      <c r="O50" s="58">
        <v>2026</v>
      </c>
      <c r="P50" s="59">
        <v>2027</v>
      </c>
      <c r="Q50" s="60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</row>
    <row r="51" spans="2:30" s="128" customFormat="1" ht="16.5" hidden="1" customHeight="1" outlineLevel="2">
      <c r="B51" s="131" t="s">
        <v>93</v>
      </c>
      <c r="C51" s="132" t="s">
        <v>94</v>
      </c>
      <c r="D51" s="132">
        <v>0.34797083844364796</v>
      </c>
      <c r="E51" s="133">
        <v>0.40571674955123327</v>
      </c>
      <c r="F51" s="134">
        <v>0.31936691788198912</v>
      </c>
      <c r="G51" s="132">
        <v>0.37222813265887744</v>
      </c>
      <c r="H51" s="132">
        <v>9.7661935069238481E-2</v>
      </c>
      <c r="I51" s="132">
        <v>0.10804099279517776</v>
      </c>
      <c r="J51" s="132">
        <v>0.10044583206696589</v>
      </c>
      <c r="K51" s="132">
        <v>6.405695578343451E-2</v>
      </c>
      <c r="L51" s="132">
        <v>7.1038689510354969E-2</v>
      </c>
      <c r="M51" s="132">
        <v>7.5672561472174715E-2</v>
      </c>
      <c r="N51" s="132">
        <v>8.2934317278637648E-2</v>
      </c>
      <c r="O51" s="132">
        <v>8.645625788353839E-2</v>
      </c>
      <c r="P51" s="135">
        <v>8.8921725754798286E-2</v>
      </c>
      <c r="Q51" s="132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</row>
    <row r="52" spans="2:30" s="128" customFormat="1" ht="16.5" hidden="1" customHeight="1" outlineLevel="2">
      <c r="B52" s="136" t="s">
        <v>95</v>
      </c>
      <c r="C52" s="137">
        <v>0.32710681877309428</v>
      </c>
      <c r="D52" s="137">
        <v>0.38421205001806674</v>
      </c>
      <c r="E52" s="138">
        <v>0.43576350602660108</v>
      </c>
      <c r="F52" s="137">
        <v>0.49477533534588714</v>
      </c>
      <c r="G52" s="137">
        <v>0.48076550281218211</v>
      </c>
      <c r="H52" s="137">
        <v>0.47788253772870387</v>
      </c>
      <c r="I52" s="137">
        <v>0.47302096555707096</v>
      </c>
      <c r="J52" s="137">
        <v>0.46788952268400735</v>
      </c>
      <c r="K52" s="137">
        <v>0.46471459137729826</v>
      </c>
      <c r="L52" s="137">
        <v>0.4599600906851149</v>
      </c>
      <c r="M52" s="137">
        <v>0.45441504810320255</v>
      </c>
      <c r="N52" s="137">
        <v>0.44766912814992088</v>
      </c>
      <c r="O52" s="137">
        <v>0.44050962012364958</v>
      </c>
      <c r="P52" s="139">
        <v>0.43317289376562235</v>
      </c>
      <c r="Q52" s="137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</row>
    <row r="53" spans="2:30" s="128" customFormat="1" ht="16.5" hidden="1" customHeight="1" outlineLevel="2">
      <c r="B53" s="131" t="s">
        <v>96</v>
      </c>
      <c r="C53" s="132">
        <v>0.67289318122690567</v>
      </c>
      <c r="D53" s="132">
        <v>0.6157879499819332</v>
      </c>
      <c r="E53" s="133">
        <v>0.56423649397339892</v>
      </c>
      <c r="F53" s="132">
        <v>0.50522466465411286</v>
      </c>
      <c r="G53" s="132">
        <v>0.51923449718781789</v>
      </c>
      <c r="H53" s="132">
        <v>0.52211746227129618</v>
      </c>
      <c r="I53" s="132">
        <v>0.52697903444292904</v>
      </c>
      <c r="J53" s="132">
        <v>0.5321104773159927</v>
      </c>
      <c r="K53" s="132">
        <v>0.5352854086227018</v>
      </c>
      <c r="L53" s="132">
        <v>0.5400399093148851</v>
      </c>
      <c r="M53" s="132">
        <v>0.54558495189679745</v>
      </c>
      <c r="N53" s="132">
        <v>0.55233087185007912</v>
      </c>
      <c r="O53" s="132">
        <v>0.55949037987635042</v>
      </c>
      <c r="P53" s="135">
        <v>0.56682710623437771</v>
      </c>
      <c r="Q53" s="132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</row>
    <row r="54" spans="2:30" s="128" customFormat="1" ht="16.5" hidden="1" customHeight="1" outlineLevel="2">
      <c r="B54" s="136" t="s">
        <v>97</v>
      </c>
      <c r="C54" s="137">
        <v>0.45597500885135789</v>
      </c>
      <c r="D54" s="137">
        <v>0.39943347298185639</v>
      </c>
      <c r="E54" s="138">
        <v>0.26894227149926636</v>
      </c>
      <c r="F54" s="137">
        <v>0.25402004574621967</v>
      </c>
      <c r="G54" s="137">
        <v>0.26213056260760526</v>
      </c>
      <c r="H54" s="137">
        <v>0.26107434168718707</v>
      </c>
      <c r="I54" s="137">
        <v>0.26213363729827066</v>
      </c>
      <c r="J54" s="137">
        <v>0.26381555939610046</v>
      </c>
      <c r="K54" s="137">
        <v>0.26367610149244075</v>
      </c>
      <c r="L54" s="137">
        <v>0.26501082641951346</v>
      </c>
      <c r="M54" s="137">
        <v>0.26653868796875269</v>
      </c>
      <c r="N54" s="137">
        <v>0.26838685674590629</v>
      </c>
      <c r="O54" s="137">
        <v>0.27033644362496445</v>
      </c>
      <c r="P54" s="139">
        <v>0.27229135114144987</v>
      </c>
      <c r="Q54" s="137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</row>
    <row r="55" spans="2:30" s="128" customFormat="1" ht="16.5" hidden="1" customHeight="1" outlineLevel="2">
      <c r="B55" s="131" t="s">
        <v>81</v>
      </c>
      <c r="C55" s="132">
        <v>0.24782579354134496</v>
      </c>
      <c r="D55" s="132">
        <v>0.24540095862640415</v>
      </c>
      <c r="E55" s="133">
        <v>0.35188350710310307</v>
      </c>
      <c r="F55" s="132">
        <v>0.29525562891503543</v>
      </c>
      <c r="G55" s="132">
        <v>0.29289220231752383</v>
      </c>
      <c r="H55" s="132">
        <v>0.29522380530925618</v>
      </c>
      <c r="I55" s="132">
        <v>0.29659162608785955</v>
      </c>
      <c r="J55" s="132">
        <v>0.29723073481727419</v>
      </c>
      <c r="K55" s="132">
        <v>0.29910050248642644</v>
      </c>
      <c r="L55" s="132">
        <v>0.30144921027017041</v>
      </c>
      <c r="M55" s="132">
        <v>0.30433596031354304</v>
      </c>
      <c r="N55" s="132">
        <v>0.31007042630068771</v>
      </c>
      <c r="O55" s="132">
        <v>0.31386056877071045</v>
      </c>
      <c r="P55" s="135">
        <v>0.31798920707005618</v>
      </c>
      <c r="Q55" s="132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</row>
    <row r="56" spans="2:30" s="128" customFormat="1" ht="16.5" hidden="1" customHeight="1" outlineLevel="2">
      <c r="B56" s="140" t="s">
        <v>98</v>
      </c>
      <c r="C56" s="137" t="s">
        <v>94</v>
      </c>
      <c r="D56" s="137">
        <v>0.33478170785851824</v>
      </c>
      <c r="E56" s="138">
        <v>1.0156748473778787</v>
      </c>
      <c r="F56" s="137">
        <v>0.10704395416520351</v>
      </c>
      <c r="G56" s="137">
        <v>0.36124388663959839</v>
      </c>
      <c r="H56" s="137">
        <v>0.10640000262947913</v>
      </c>
      <c r="I56" s="137">
        <v>0.11317473020467239</v>
      </c>
      <c r="J56" s="137">
        <v>0.10281712132687781</v>
      </c>
      <c r="K56" s="137">
        <v>7.0750541139886769E-2</v>
      </c>
      <c r="L56" s="137">
        <v>7.9449096332917968E-2</v>
      </c>
      <c r="M56" s="137">
        <v>8.5973460289263892E-2</v>
      </c>
      <c r="N56" s="137">
        <v>0.10333956285772783</v>
      </c>
      <c r="O56" s="137">
        <v>9.9736544088044443E-2</v>
      </c>
      <c r="P56" s="139">
        <v>0.10324580590143584</v>
      </c>
      <c r="Q56" s="137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</row>
    <row r="57" spans="2:30" s="128" customFormat="1" ht="16.5" hidden="1" customHeight="1" outlineLevel="2">
      <c r="B57" s="131" t="s">
        <v>99</v>
      </c>
      <c r="C57" s="132">
        <v>0.21691817237554778</v>
      </c>
      <c r="D57" s="132">
        <v>0.21635447700007687</v>
      </c>
      <c r="E57" s="133">
        <v>0.29529422247413256</v>
      </c>
      <c r="F57" s="132">
        <v>0.25120461890789325</v>
      </c>
      <c r="G57" s="132">
        <v>0.25710393458021263</v>
      </c>
      <c r="H57" s="132">
        <v>0.26104312058410906</v>
      </c>
      <c r="I57" s="132">
        <v>0.26484539714465838</v>
      </c>
      <c r="J57" s="132">
        <v>0.26829491791989218</v>
      </c>
      <c r="K57" s="132">
        <v>0.27160930713026099</v>
      </c>
      <c r="L57" s="132">
        <v>0.27502908289537165</v>
      </c>
      <c r="M57" s="132">
        <v>0.27904626392804477</v>
      </c>
      <c r="N57" s="132">
        <v>0.28394401510417283</v>
      </c>
      <c r="O57" s="132">
        <v>0.28915393625138602</v>
      </c>
      <c r="P57" s="135">
        <v>0.29453575509292779</v>
      </c>
      <c r="Q57" s="132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</row>
    <row r="58" spans="2:30" s="128" customFormat="1" ht="16.5" hidden="1" customHeight="1" outlineLevel="2">
      <c r="B58" s="131" t="s">
        <v>100</v>
      </c>
      <c r="C58" s="132">
        <v>0.18267808834144117</v>
      </c>
      <c r="D58" s="132">
        <v>0.11623853051250085</v>
      </c>
      <c r="E58" s="133">
        <v>0.19838625648535818</v>
      </c>
      <c r="F58" s="132">
        <v>0.11984756449076082</v>
      </c>
      <c r="G58" s="132">
        <v>0.11859459702554211</v>
      </c>
      <c r="H58" s="132">
        <v>0.13664040028910546</v>
      </c>
      <c r="I58" s="132">
        <v>0.14666272272989861</v>
      </c>
      <c r="J58" s="132">
        <v>0.15739531139033841</v>
      </c>
      <c r="K58" s="132">
        <v>0.16710288325791325</v>
      </c>
      <c r="L58" s="132">
        <v>0.17714709441138832</v>
      </c>
      <c r="M58" s="132">
        <v>0.18589431552562508</v>
      </c>
      <c r="N58" s="132">
        <v>0.19483792154712673</v>
      </c>
      <c r="O58" s="132">
        <v>0.20131626018354268</v>
      </c>
      <c r="P58" s="135">
        <v>0.2076787563965222</v>
      </c>
      <c r="Q58" s="132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</row>
    <row r="59" spans="2:30" s="128" customFormat="1" ht="16.5" hidden="1" customHeight="1" outlineLevel="2">
      <c r="B59" s="141" t="s">
        <v>101</v>
      </c>
      <c r="C59" s="142" t="s">
        <v>94</v>
      </c>
      <c r="D59" s="142">
        <v>-0.14228273978029937</v>
      </c>
      <c r="E59" s="143">
        <v>1.3991604366698649</v>
      </c>
      <c r="F59" s="142">
        <v>-0.20295430450088547</v>
      </c>
      <c r="G59" s="142">
        <v>0.35788193202989449</v>
      </c>
      <c r="H59" s="142">
        <v>0.2646863343839525</v>
      </c>
      <c r="I59" s="142">
        <v>0.18931376485902884</v>
      </c>
      <c r="J59" s="142">
        <v>0.18097503702671025</v>
      </c>
      <c r="K59" s="142">
        <v>0.12968412903412818</v>
      </c>
      <c r="L59" s="142">
        <v>0.13541662567306778</v>
      </c>
      <c r="M59" s="142">
        <v>0.12878743627708511</v>
      </c>
      <c r="N59" s="142">
        <v>0.13503563007843034</v>
      </c>
      <c r="O59" s="142">
        <v>0.1225808043595713</v>
      </c>
      <c r="P59" s="144">
        <v>0.1233365333318388</v>
      </c>
      <c r="Q59" s="137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</row>
    <row r="60" spans="2:30" s="128" customFormat="1" ht="14" hidden="1" outlineLevel="2">
      <c r="B60" s="145"/>
      <c r="C60" s="146"/>
      <c r="D60" s="147"/>
      <c r="E60" s="148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37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</row>
    <row r="61" spans="2:30" s="128" customFormat="1" ht="14" hidden="1" outlineLevel="2">
      <c r="B61" s="130" t="s">
        <v>102</v>
      </c>
      <c r="C61" s="56"/>
      <c r="D61" s="56"/>
      <c r="E61" s="57"/>
      <c r="F61" s="58">
        <v>2017</v>
      </c>
      <c r="G61" s="58">
        <v>2018</v>
      </c>
      <c r="H61" s="58">
        <v>2019</v>
      </c>
      <c r="I61" s="58">
        <v>2020</v>
      </c>
      <c r="J61" s="58">
        <v>2021</v>
      </c>
      <c r="K61" s="58">
        <v>2022</v>
      </c>
      <c r="L61" s="58">
        <v>2023</v>
      </c>
      <c r="M61" s="58">
        <v>2024</v>
      </c>
      <c r="N61" s="58">
        <v>2025</v>
      </c>
      <c r="O61" s="58">
        <v>2026</v>
      </c>
      <c r="P61" s="59">
        <v>2027</v>
      </c>
      <c r="Q61" s="60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</row>
    <row r="62" spans="2:30" s="128" customFormat="1" ht="14" hidden="1" outlineLevel="2">
      <c r="B62" s="62" t="s">
        <v>103</v>
      </c>
      <c r="C62" s="63"/>
      <c r="D62" s="63"/>
      <c r="E62" s="64"/>
      <c r="F62" s="63">
        <v>935.80845192046661</v>
      </c>
      <c r="G62" s="63">
        <v>1828.0378201370067</v>
      </c>
      <c r="H62" s="63">
        <v>2285.3346065076748</v>
      </c>
      <c r="I62" s="63">
        <v>2706.5604686207603</v>
      </c>
      <c r="J62" s="63">
        <v>3175.5847911382311</v>
      </c>
      <c r="K62" s="63">
        <v>3577.6861998247309</v>
      </c>
      <c r="L62" s="63">
        <v>4044.344013066785</v>
      </c>
      <c r="M62" s="63">
        <v>4547.791051768636</v>
      </c>
      <c r="N62" s="63">
        <v>5141.6875156790929</v>
      </c>
      <c r="O62" s="63">
        <v>5753.995840150812</v>
      </c>
      <c r="P62" s="63">
        <v>6444.3312939920725</v>
      </c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</row>
    <row r="63" spans="2:30" s="128" customFormat="1" ht="5.25" customHeight="1" outlineLevel="1" collapsed="1">
      <c r="B63" s="145"/>
      <c r="C63" s="137"/>
      <c r="D63" s="137"/>
      <c r="E63" s="138"/>
      <c r="F63" s="150"/>
      <c r="G63" s="150"/>
      <c r="H63" s="150"/>
      <c r="I63" s="150"/>
      <c r="J63" s="150"/>
      <c r="K63" s="150"/>
      <c r="L63" s="150"/>
      <c r="M63" s="150"/>
      <c r="N63" s="150"/>
      <c r="O63" s="150"/>
      <c r="P63" s="150"/>
      <c r="Q63" s="137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</row>
    <row r="64" spans="2:30" s="128" customFormat="1" ht="14" outlineLevel="1">
      <c r="B64" s="99" t="s">
        <v>83</v>
      </c>
      <c r="C64" s="100"/>
      <c r="D64" s="100"/>
      <c r="E64" s="109"/>
      <c r="F64" s="100">
        <v>416.2555706843246</v>
      </c>
      <c r="G64" s="100">
        <v>502.12237666267214</v>
      </c>
      <c r="H64" s="100">
        <v>526.40288460050681</v>
      </c>
      <c r="I64" s="100">
        <v>541.73322693697571</v>
      </c>
      <c r="J64" s="100">
        <v>543.37261526644841</v>
      </c>
      <c r="K64" s="100">
        <v>549.3137861335731</v>
      </c>
      <c r="L64" s="100">
        <v>565.41449906546688</v>
      </c>
      <c r="M64" s="100">
        <v>582.17793335762383</v>
      </c>
      <c r="N64" s="100">
        <v>651.31937699264165</v>
      </c>
      <c r="O64" s="100">
        <v>669.17551590573055</v>
      </c>
      <c r="P64" s="100">
        <v>691.71934655656423</v>
      </c>
      <c r="Q64" s="100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</row>
    <row r="65" spans="1:41" s="128" customFormat="1" ht="5.25" customHeight="1" outlineLevel="1">
      <c r="B65" s="99"/>
      <c r="C65" s="100"/>
      <c r="D65" s="100"/>
      <c r="E65" s="109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</row>
    <row r="66" spans="1:41" s="128" customFormat="1" ht="14" outlineLevel="1">
      <c r="B66" s="99" t="s">
        <v>104</v>
      </c>
      <c r="C66" s="100"/>
      <c r="D66" s="100"/>
      <c r="E66" s="109"/>
      <c r="F66" s="100">
        <v>-504.01046085527196</v>
      </c>
      <c r="G66" s="100">
        <v>-927.00313237136982</v>
      </c>
      <c r="H66" s="100">
        <v>-451.53715897482255</v>
      </c>
      <c r="I66" s="100">
        <v>-563.29338501743428</v>
      </c>
      <c r="J66" s="100">
        <v>-575.52713989431663</v>
      </c>
      <c r="K66" s="100">
        <v>-403.40465641322351</v>
      </c>
      <c r="L66" s="100">
        <v>-468.27957065176008</v>
      </c>
      <c r="M66" s="100">
        <v>-529.50668006020999</v>
      </c>
      <c r="N66" s="100">
        <v>-617.25413379737449</v>
      </c>
      <c r="O66" s="100">
        <v>-692.24074989757059</v>
      </c>
      <c r="P66" s="100">
        <v>-769.35473458286242</v>
      </c>
      <c r="Q66" s="100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</row>
    <row r="67" spans="1:41" s="128" customFormat="1" ht="14" outlineLevel="1">
      <c r="B67" s="246" t="s">
        <v>141</v>
      </c>
      <c r="C67" s="247"/>
      <c r="D67" s="247"/>
      <c r="E67" s="248"/>
      <c r="F67" s="247">
        <f>-F66/F$5</f>
        <v>4.9294330336371497E-2</v>
      </c>
      <c r="G67" s="247">
        <f t="shared" ref="G67" si="19">-G66/G$5</f>
        <v>6.6071216573007643E-2</v>
      </c>
      <c r="H67" s="247">
        <f t="shared" ref="H67" si="20">-H66/H$5</f>
        <v>2.931946181168818E-2</v>
      </c>
      <c r="I67" s="247">
        <f t="shared" ref="I67" si="21">-I66/I$5</f>
        <v>3.3009680547127752E-2</v>
      </c>
      <c r="J67" s="247">
        <f t="shared" ref="J67" si="22">-J66/J$5</f>
        <v>3.0648117832161523E-2</v>
      </c>
      <c r="K67" s="247">
        <f t="shared" ref="K67" si="23">-K66/K$5</f>
        <v>2.0188963934624483E-2</v>
      </c>
      <c r="L67" s="247">
        <f t="shared" ref="L67" si="24">-L66/L$5</f>
        <v>2.1881302874412291E-2</v>
      </c>
      <c r="M67" s="247">
        <f t="shared" ref="M67" si="25">-M66/M$5</f>
        <v>2.3001667369261011E-2</v>
      </c>
      <c r="N67" s="247">
        <f t="shared" ref="N67" si="26">-N66/N$5</f>
        <v>2.4759950159629621E-2</v>
      </c>
      <c r="O67" s="247">
        <f t="shared" ref="O67" si="27">-O66/O$5</f>
        <v>2.5558224137163753E-2</v>
      </c>
      <c r="P67" s="247">
        <f t="shared" ref="P67" si="28">-P66/P$5</f>
        <v>2.6085759218301623E-2</v>
      </c>
      <c r="Q67" s="100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</row>
    <row r="68" spans="1:41" s="128" customFormat="1" ht="5.25" customHeight="1" outlineLevel="1">
      <c r="B68" s="145"/>
      <c r="C68" s="100"/>
      <c r="D68" s="100"/>
      <c r="E68" s="109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</row>
    <row r="69" spans="1:41" s="128" customFormat="1" ht="14" outlineLevel="1">
      <c r="B69" s="99" t="s">
        <v>105</v>
      </c>
      <c r="C69" s="100"/>
      <c r="D69" s="100"/>
      <c r="E69" s="109"/>
      <c r="F69" s="100">
        <v>686.56461361765321</v>
      </c>
      <c r="G69" s="100">
        <v>366.23315115298192</v>
      </c>
      <c r="H69" s="100">
        <v>60.180303760916352</v>
      </c>
      <c r="I69" s="100">
        <v>10.194310257814877</v>
      </c>
      <c r="J69" s="100">
        <v>8.7492384621545369</v>
      </c>
      <c r="K69" s="100">
        <v>22.534751594363787</v>
      </c>
      <c r="L69" s="100">
        <v>28.697665924195991</v>
      </c>
      <c r="M69" s="100">
        <v>31.874034666252076</v>
      </c>
      <c r="N69" s="100">
        <v>36.611401723775785</v>
      </c>
      <c r="O69" s="100">
        <v>40.767826286058011</v>
      </c>
      <c r="P69" s="100">
        <v>44.934564022949466</v>
      </c>
      <c r="Q69" s="100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</row>
    <row r="70" spans="1:41" s="128" customFormat="1" ht="5.25" customHeight="1" outlineLevel="1">
      <c r="B70" s="99"/>
      <c r="C70" s="100"/>
      <c r="D70" s="100"/>
      <c r="E70" s="109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</row>
    <row r="71" spans="1:41" s="128" customFormat="1" ht="14" outlineLevel="1">
      <c r="A71" s="154"/>
      <c r="B71" s="151" t="s">
        <v>106</v>
      </c>
      <c r="C71" s="152"/>
      <c r="D71" s="152"/>
      <c r="E71" s="89"/>
      <c r="F71" s="152">
        <v>1534.6181753671726</v>
      </c>
      <c r="G71" s="152">
        <v>1769.3902155812912</v>
      </c>
      <c r="H71" s="152">
        <v>2420.3806358942757</v>
      </c>
      <c r="I71" s="152">
        <v>2695.1946207981168</v>
      </c>
      <c r="J71" s="152">
        <v>3152.1795049725179</v>
      </c>
      <c r="K71" s="152">
        <v>3746.130081139444</v>
      </c>
      <c r="L71" s="152">
        <v>4170.1766074046882</v>
      </c>
      <c r="M71" s="152">
        <v>4632.3363397323019</v>
      </c>
      <c r="N71" s="152">
        <v>5212.3641605981366</v>
      </c>
      <c r="O71" s="152">
        <v>5771.6984324450295</v>
      </c>
      <c r="P71" s="153">
        <v>6411.6304699887241</v>
      </c>
      <c r="Q71" s="82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</row>
    <row r="72" spans="1:41" s="128" customFormat="1" ht="5.25" customHeight="1" outlineLevel="1">
      <c r="B72" s="99"/>
      <c r="C72" s="100"/>
      <c r="D72" s="100"/>
      <c r="E72" s="109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</row>
    <row r="73" spans="1:41" s="128" customFormat="1" ht="14" outlineLevel="1">
      <c r="B73" s="99" t="s">
        <v>32</v>
      </c>
      <c r="C73" s="100"/>
      <c r="D73" s="100"/>
      <c r="E73" s="109"/>
      <c r="F73" s="100">
        <v>-422.92261902637603</v>
      </c>
      <c r="G73" s="100">
        <v>-354.67384041277472</v>
      </c>
      <c r="H73" s="100">
        <v>-362.46812783324549</v>
      </c>
      <c r="I73" s="100">
        <v>-271.78970929374435</v>
      </c>
      <c r="J73" s="100">
        <v>-290.99103600389265</v>
      </c>
      <c r="K73" s="100">
        <v>-303.64295989988352</v>
      </c>
      <c r="L73" s="100">
        <v>-313.33312722436904</v>
      </c>
      <c r="M73" s="100">
        <v>-323.40018513414378</v>
      </c>
      <c r="N73" s="100">
        <v>-353.50032023361968</v>
      </c>
      <c r="O73" s="100">
        <v>-364.24600355113228</v>
      </c>
      <c r="P73" s="100">
        <v>-376.91166267831562</v>
      </c>
      <c r="Q73" s="100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</row>
    <row r="74" spans="1:41" s="128" customFormat="1" ht="14" outlineLevel="1">
      <c r="B74" s="246" t="s">
        <v>141</v>
      </c>
      <c r="C74" s="247"/>
      <c r="D74" s="247"/>
      <c r="E74" s="248"/>
      <c r="F74" s="247">
        <f>-F73/F$5</f>
        <v>4.1363600377723207E-2</v>
      </c>
      <c r="G74" s="247">
        <f t="shared" ref="G74:P74" si="29">-G73/G$5</f>
        <v>2.5279021509611171E-2</v>
      </c>
      <c r="H74" s="247">
        <f t="shared" si="29"/>
        <v>2.3535981968991232E-2</v>
      </c>
      <c r="I74" s="247">
        <f t="shared" si="29"/>
        <v>1.5927209014722481E-2</v>
      </c>
      <c r="J74" s="247">
        <f t="shared" si="29"/>
        <v>1.54959287605233E-2</v>
      </c>
      <c r="K74" s="247">
        <f t="shared" si="29"/>
        <v>1.5196246917244133E-2</v>
      </c>
      <c r="L74" s="247">
        <f t="shared" si="29"/>
        <v>1.4641119295126801E-2</v>
      </c>
      <c r="M74" s="247">
        <f t="shared" si="29"/>
        <v>1.4048441248686698E-2</v>
      </c>
      <c r="N74" s="247">
        <f t="shared" si="29"/>
        <v>1.4179978441862908E-2</v>
      </c>
      <c r="O74" s="247">
        <f t="shared" si="29"/>
        <v>1.3448328491501673E-2</v>
      </c>
      <c r="P74" s="247">
        <f t="shared" si="29"/>
        <v>1.2779575451013641E-2</v>
      </c>
      <c r="Q74" s="100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</row>
    <row r="75" spans="1:41" s="128" customFormat="1" ht="5.25" customHeight="1" outlineLevel="1">
      <c r="B75" s="99"/>
      <c r="C75" s="100"/>
      <c r="D75" s="100"/>
      <c r="E75" s="109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</row>
    <row r="76" spans="1:41" s="128" customFormat="1" ht="14" outlineLevel="1">
      <c r="B76" s="99" t="s">
        <v>107</v>
      </c>
      <c r="C76" s="100"/>
      <c r="D76" s="100"/>
      <c r="E76" s="109"/>
      <c r="F76" s="100">
        <v>-1081.5499999999997</v>
      </c>
      <c r="G76" s="100">
        <v>0</v>
      </c>
      <c r="H76" s="100">
        <v>0</v>
      </c>
      <c r="I76" s="100">
        <v>0</v>
      </c>
      <c r="J76" s="100">
        <v>0</v>
      </c>
      <c r="K76" s="100">
        <v>0</v>
      </c>
      <c r="L76" s="100">
        <v>0</v>
      </c>
      <c r="M76" s="100">
        <v>0</v>
      </c>
      <c r="N76" s="100">
        <v>0</v>
      </c>
      <c r="O76" s="100">
        <v>0</v>
      </c>
      <c r="P76" s="100">
        <v>0</v>
      </c>
      <c r="Q76" s="100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</row>
    <row r="77" spans="1:41" s="128" customFormat="1" ht="5.25" customHeight="1" outlineLevel="1">
      <c r="B77" s="99"/>
      <c r="C77" s="100"/>
      <c r="D77" s="100"/>
      <c r="E77" s="109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</row>
    <row r="78" spans="1:41" s="128" customFormat="1" ht="14" outlineLevel="1">
      <c r="B78" s="99" t="s">
        <v>108</v>
      </c>
      <c r="C78" s="100"/>
      <c r="D78" s="100"/>
      <c r="E78" s="109"/>
      <c r="F78" s="100">
        <v>-2442.0888911146276</v>
      </c>
      <c r="G78" s="100">
        <v>-3880.5708158656062</v>
      </c>
      <c r="H78" s="100">
        <v>0</v>
      </c>
      <c r="I78" s="100">
        <v>-562.98491033368998</v>
      </c>
      <c r="J78" s="100">
        <v>-771.1004192607495</v>
      </c>
      <c r="K78" s="100">
        <v>-944.08209604783576</v>
      </c>
      <c r="L78" s="100">
        <v>-1606.2066367865229</v>
      </c>
      <c r="M78" s="100">
        <v>-2140.3360882003312</v>
      </c>
      <c r="N78" s="100">
        <v>-2995.4535715584229</v>
      </c>
      <c r="O78" s="100">
        <v>-3630.2890685383427</v>
      </c>
      <c r="P78" s="100">
        <v>-4249.3922265688334</v>
      </c>
      <c r="Q78" s="100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</row>
    <row r="79" spans="1:41" s="128" customFormat="1" ht="5.25" customHeight="1" outlineLevel="1">
      <c r="B79" s="99"/>
      <c r="C79" s="100"/>
      <c r="D79" s="100"/>
      <c r="E79" s="109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</row>
    <row r="80" spans="1:41" s="128" customFormat="1" ht="14" outlineLevel="1">
      <c r="A80" s="154"/>
      <c r="B80" s="151" t="s">
        <v>109</v>
      </c>
      <c r="C80" s="152"/>
      <c r="D80" s="152"/>
      <c r="E80" s="89"/>
      <c r="F80" s="152">
        <v>-2411.9433347738304</v>
      </c>
      <c r="G80" s="152">
        <v>-2465.8544406970896</v>
      </c>
      <c r="H80" s="152">
        <v>2057.9125080610302</v>
      </c>
      <c r="I80" s="152">
        <v>1860.4200011706826</v>
      </c>
      <c r="J80" s="152">
        <v>2090.0880497078761</v>
      </c>
      <c r="K80" s="152">
        <v>2498.4050251917247</v>
      </c>
      <c r="L80" s="152">
        <v>2250.636843393796</v>
      </c>
      <c r="M80" s="152">
        <v>2168.600066397827</v>
      </c>
      <c r="N80" s="152">
        <v>1863.4102688060943</v>
      </c>
      <c r="O80" s="152">
        <v>1777.1633603555547</v>
      </c>
      <c r="P80" s="153">
        <v>1785.3265807415755</v>
      </c>
      <c r="Q80" s="82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</row>
    <row r="81" spans="1:30" s="128" customFormat="1" ht="5.25" customHeight="1" outlineLevel="1">
      <c r="B81" s="99"/>
      <c r="C81" s="100"/>
      <c r="D81" s="100"/>
      <c r="E81" s="109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</row>
    <row r="82" spans="1:30" s="128" customFormat="1" ht="14" outlineLevel="1">
      <c r="B82" s="99" t="s">
        <v>110</v>
      </c>
      <c r="C82" s="100"/>
      <c r="D82" s="100"/>
      <c r="E82" s="109"/>
      <c r="F82" s="100">
        <v>1582.2641061146264</v>
      </c>
      <c r="G82" s="100">
        <v>576.23589388537357</v>
      </c>
      <c r="H82" s="100">
        <v>0</v>
      </c>
      <c r="I82" s="100">
        <v>0</v>
      </c>
      <c r="J82" s="100">
        <v>0</v>
      </c>
      <c r="K82" s="100">
        <v>0</v>
      </c>
      <c r="L82" s="100">
        <v>0</v>
      </c>
      <c r="M82" s="100">
        <v>0</v>
      </c>
      <c r="N82" s="100">
        <v>0</v>
      </c>
      <c r="O82" s="100">
        <v>0</v>
      </c>
      <c r="P82" s="100">
        <v>0</v>
      </c>
      <c r="Q82" s="100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</row>
    <row r="83" spans="1:30" s="128" customFormat="1" ht="5.25" customHeight="1" outlineLevel="1">
      <c r="B83" s="99"/>
      <c r="C83" s="100"/>
      <c r="D83" s="100"/>
      <c r="E83" s="109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</row>
    <row r="84" spans="1:30" s="128" customFormat="1" ht="14" outlineLevel="1">
      <c r="B84" s="99" t="s">
        <v>111</v>
      </c>
      <c r="C84" s="100"/>
      <c r="D84" s="100"/>
      <c r="E84" s="109"/>
      <c r="F84" s="100">
        <v>-542</v>
      </c>
      <c r="G84" s="100">
        <v>-217.94592219076725</v>
      </c>
      <c r="H84" s="100">
        <v>-438.28971890017891</v>
      </c>
      <c r="I84" s="100">
        <v>-550.59815105495591</v>
      </c>
      <c r="J84" s="100">
        <v>-578.12805860770379</v>
      </c>
      <c r="K84" s="100">
        <v>-607.03446153808909</v>
      </c>
      <c r="L84" s="100">
        <v>-628.28066769192208</v>
      </c>
      <c r="M84" s="100">
        <v>-650.2704910611393</v>
      </c>
      <c r="N84" s="100">
        <v>-673.02995824827917</v>
      </c>
      <c r="O84" s="100">
        <v>-696.58600678696894</v>
      </c>
      <c r="P84" s="100">
        <v>-720.96651702451277</v>
      </c>
      <c r="Q84" s="100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</row>
    <row r="85" spans="1:30" s="128" customFormat="1" ht="5.25" customHeight="1" outlineLevel="1">
      <c r="B85" s="99"/>
      <c r="C85" s="100"/>
      <c r="D85" s="100"/>
      <c r="E85" s="109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</row>
    <row r="86" spans="1:30" s="128" customFormat="1" ht="14" outlineLevel="1">
      <c r="B86" s="99" t="s">
        <v>112</v>
      </c>
      <c r="C86" s="100"/>
      <c r="D86" s="100"/>
      <c r="E86" s="109"/>
      <c r="F86" s="100">
        <v>1788.5783095166134</v>
      </c>
      <c r="G86" s="100">
        <v>3337.6150960110567</v>
      </c>
      <c r="H86" s="100">
        <v>-2677.5165986556967</v>
      </c>
      <c r="I86" s="100">
        <v>-825.11390610338856</v>
      </c>
      <c r="J86" s="100">
        <v>-1278.349548831646</v>
      </c>
      <c r="K86" s="100">
        <v>-1975.1472748862</v>
      </c>
      <c r="L86" s="100">
        <v>-1091.060236568979</v>
      </c>
      <c r="M86" s="100">
        <v>-2041.3398030275669</v>
      </c>
      <c r="N86" s="100">
        <v>-241.70384218630218</v>
      </c>
      <c r="O86" s="100">
        <v>-340.56616499284348</v>
      </c>
      <c r="P86" s="100">
        <v>-420.3758142351266</v>
      </c>
      <c r="Q86" s="100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</row>
    <row r="87" spans="1:30" s="128" customFormat="1" ht="5.25" customHeight="1" outlineLevel="1">
      <c r="B87" s="99"/>
      <c r="C87" s="100"/>
      <c r="D87" s="100"/>
      <c r="E87" s="109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</row>
    <row r="88" spans="1:30" s="128" customFormat="1" ht="14" outlineLevel="1">
      <c r="B88" s="99" t="s">
        <v>113</v>
      </c>
      <c r="C88" s="100"/>
      <c r="D88" s="100"/>
      <c r="E88" s="109"/>
      <c r="F88" s="100">
        <v>0</v>
      </c>
      <c r="G88" s="100">
        <v>0</v>
      </c>
      <c r="H88" s="100">
        <v>0</v>
      </c>
      <c r="I88" s="100">
        <v>0</v>
      </c>
      <c r="J88" s="100">
        <v>0</v>
      </c>
      <c r="K88" s="100">
        <v>0</v>
      </c>
      <c r="L88" s="100">
        <v>0</v>
      </c>
      <c r="M88" s="100">
        <v>0</v>
      </c>
      <c r="N88" s="100">
        <v>0</v>
      </c>
      <c r="O88" s="100">
        <v>0</v>
      </c>
      <c r="P88" s="100">
        <v>0</v>
      </c>
      <c r="Q88" s="100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</row>
    <row r="89" spans="1:30" s="128" customFormat="1" ht="5.25" customHeight="1" outlineLevel="1">
      <c r="B89" s="99"/>
      <c r="C89" s="100"/>
      <c r="D89" s="100"/>
      <c r="E89" s="109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</row>
    <row r="90" spans="1:30" s="128" customFormat="1" ht="14" outlineLevel="1">
      <c r="B90" s="151" t="s">
        <v>114</v>
      </c>
      <c r="C90" s="152"/>
      <c r="D90" s="152"/>
      <c r="E90" s="89"/>
      <c r="F90" s="152">
        <v>416.89908085740944</v>
      </c>
      <c r="G90" s="152">
        <v>1230.0506270085734</v>
      </c>
      <c r="H90" s="152">
        <v>-1057.8938094948455</v>
      </c>
      <c r="I90" s="152">
        <v>484.70794401233809</v>
      </c>
      <c r="J90" s="152">
        <v>233.61044226852641</v>
      </c>
      <c r="K90" s="152">
        <v>-83.776711232564367</v>
      </c>
      <c r="L90" s="152">
        <v>531.29593913289477</v>
      </c>
      <c r="M90" s="152">
        <v>-523.01022769087899</v>
      </c>
      <c r="N90" s="152">
        <v>948.67646837151301</v>
      </c>
      <c r="O90" s="152">
        <v>740.01118857574227</v>
      </c>
      <c r="P90" s="153">
        <v>643.9842494819361</v>
      </c>
      <c r="Q90" s="82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</row>
    <row r="91" spans="1:30" s="128" customFormat="1" ht="7.5" customHeight="1" outlineLevel="1">
      <c r="B91" s="114"/>
      <c r="C91" s="93"/>
      <c r="D91" s="93"/>
      <c r="E91" s="111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</row>
    <row r="92" spans="1:30" s="128" customFormat="1" ht="14" outlineLevel="1">
      <c r="B92" s="155" t="s">
        <v>115</v>
      </c>
      <c r="C92" s="156"/>
      <c r="D92" s="156"/>
      <c r="E92" s="157"/>
      <c r="F92" s="156">
        <v>660.55700000000002</v>
      </c>
      <c r="G92" s="156">
        <v>1185.08844763104</v>
      </c>
      <c r="H92" s="156">
        <v>2415.1390746396132</v>
      </c>
      <c r="I92" s="156">
        <v>1357.245265144767</v>
      </c>
      <c r="J92" s="156">
        <v>1841.9532091571054</v>
      </c>
      <c r="K92" s="156">
        <v>2075.5636514256312</v>
      </c>
      <c r="L92" s="156">
        <v>1991.786940193067</v>
      </c>
      <c r="M92" s="156">
        <v>2523.0828793259616</v>
      </c>
      <c r="N92" s="156">
        <v>2000.0726516350821</v>
      </c>
      <c r="O92" s="156">
        <v>2948.7491200065942</v>
      </c>
      <c r="P92" s="158">
        <v>3688.7603085823375</v>
      </c>
      <c r="Q92" s="93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</row>
    <row r="93" spans="1:30" s="128" customFormat="1" ht="14" outlineLevel="1">
      <c r="B93" s="71" t="s">
        <v>116</v>
      </c>
      <c r="C93" s="96"/>
      <c r="D93" s="96"/>
      <c r="E93" s="94"/>
      <c r="F93" s="96">
        <v>1077.4560808574095</v>
      </c>
      <c r="G93" s="96">
        <v>2415.1390746396137</v>
      </c>
      <c r="H93" s="96">
        <v>1357.2452651447677</v>
      </c>
      <c r="I93" s="96">
        <v>1841.953209157105</v>
      </c>
      <c r="J93" s="96">
        <v>2075.5636514256321</v>
      </c>
      <c r="K93" s="96">
        <v>1991.7869401930668</v>
      </c>
      <c r="L93" s="96">
        <v>2523.0828793259616</v>
      </c>
      <c r="M93" s="96">
        <v>2000.0726516350826</v>
      </c>
      <c r="N93" s="96">
        <v>2948.7491200065951</v>
      </c>
      <c r="O93" s="96">
        <v>3688.7603085823366</v>
      </c>
      <c r="P93" s="98">
        <v>4332.7445580642734</v>
      </c>
      <c r="Q93" s="93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</row>
    <row r="94" spans="1:30" s="128" customFormat="1" ht="14" outlineLevel="1">
      <c r="B94" s="83"/>
      <c r="C94" s="82"/>
      <c r="D94" s="82"/>
      <c r="E94" s="159"/>
      <c r="F94" s="160"/>
      <c r="G94" s="253">
        <f>(G29-G44+G73)/-(G86+G37)</f>
        <v>-1.3695683877478038</v>
      </c>
      <c r="H94" s="253">
        <f t="shared" ref="H94:I94" si="30">(I29-H44+H73)/-(H86+H37)</f>
        <v>1.0802564303201621</v>
      </c>
      <c r="I94" s="253">
        <f t="shared" si="30"/>
        <v>2.6286919864863938</v>
      </c>
      <c r="J94" s="253">
        <f>(K29-J44+J73)/-(J86+J37)</f>
        <v>2.288332505047272</v>
      </c>
      <c r="K94" s="253">
        <f>(L29-K44+K73)/-(K86+K37)</f>
        <v>1.9237232963752695</v>
      </c>
      <c r="L94" s="160"/>
      <c r="M94" s="160"/>
      <c r="N94" s="160"/>
      <c r="O94" s="160"/>
      <c r="P94" s="160"/>
      <c r="Q94" s="82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</row>
    <row r="95" spans="1:30" s="128" customFormat="1" ht="14" outlineLevel="1">
      <c r="B95" s="161" t="s">
        <v>117</v>
      </c>
      <c r="C95" s="118"/>
      <c r="D95" s="118"/>
      <c r="E95" s="162"/>
      <c r="F95" s="118">
        <v>1.7139757627080627</v>
      </c>
      <c r="G95" s="118">
        <v>1.5739113832908043</v>
      </c>
      <c r="H95" s="118">
        <v>1.6007991032127458</v>
      </c>
      <c r="I95" s="118">
        <v>1.5052151123224196</v>
      </c>
      <c r="J95" s="118">
        <v>1.3248927959426655</v>
      </c>
      <c r="K95" s="118">
        <v>1.9855537504704679</v>
      </c>
      <c r="L95" s="118">
        <v>1.6359693658888537</v>
      </c>
      <c r="M95" s="118">
        <v>4.2721637371162675</v>
      </c>
      <c r="N95" s="118">
        <v>4.7951612428158565</v>
      </c>
      <c r="O95" s="118">
        <v>5.2286588161086156</v>
      </c>
      <c r="P95" s="118">
        <v>0</v>
      </c>
      <c r="Q95" s="118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</row>
    <row r="96" spans="1:30" ht="14">
      <c r="A96" s="128"/>
      <c r="B96" s="83"/>
      <c r="C96" s="85"/>
      <c r="D96" s="163"/>
      <c r="E96" s="164"/>
      <c r="F96" s="163"/>
      <c r="G96" s="163"/>
      <c r="H96" s="163"/>
      <c r="I96" s="163"/>
      <c r="J96" s="163"/>
      <c r="K96" s="163"/>
      <c r="L96" s="163"/>
      <c r="M96" s="163"/>
      <c r="N96" s="163"/>
      <c r="O96" s="163"/>
      <c r="P96" s="163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</row>
    <row r="97" spans="1:30" ht="14">
      <c r="A97" s="128"/>
      <c r="B97" s="165" t="s">
        <v>118</v>
      </c>
      <c r="C97" s="166"/>
      <c r="D97" s="166"/>
      <c r="E97" s="167"/>
      <c r="F97" s="168">
        <v>2017</v>
      </c>
      <c r="G97" s="168">
        <v>2018</v>
      </c>
      <c r="H97" s="168">
        <v>2019</v>
      </c>
      <c r="I97" s="168">
        <v>2020</v>
      </c>
      <c r="J97" s="168">
        <v>2021</v>
      </c>
      <c r="K97" s="168">
        <v>2022</v>
      </c>
      <c r="L97" s="168">
        <v>2023</v>
      </c>
      <c r="M97" s="168">
        <v>2024</v>
      </c>
      <c r="N97" s="168">
        <v>2025</v>
      </c>
      <c r="O97" s="168">
        <v>2026</v>
      </c>
      <c r="P97" s="169">
        <v>2027</v>
      </c>
      <c r="Q97" s="60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</row>
    <row r="98" spans="1:30" ht="14">
      <c r="A98" s="128"/>
      <c r="B98" s="155" t="s">
        <v>119</v>
      </c>
      <c r="C98" s="170"/>
      <c r="D98" s="170"/>
      <c r="E98" s="171"/>
      <c r="F98" s="170">
        <v>1.7139757627080627</v>
      </c>
      <c r="G98" s="170">
        <v>1.5739113832908043</v>
      </c>
      <c r="H98" s="170">
        <v>1.6007991032127458</v>
      </c>
      <c r="I98" s="170">
        <v>1.5052151123224196</v>
      </c>
      <c r="J98" s="170">
        <v>1.3248927959426655</v>
      </c>
      <c r="K98" s="170">
        <v>1.9855537504704679</v>
      </c>
      <c r="L98" s="170">
        <v>1.6359693658888537</v>
      </c>
      <c r="M98" s="170">
        <v>4.2721637371162675</v>
      </c>
      <c r="N98" s="170">
        <v>4.7951612428158565</v>
      </c>
      <c r="O98" s="170">
        <v>5.2286588161086156</v>
      </c>
      <c r="P98" s="172">
        <v>0</v>
      </c>
      <c r="Q98" s="173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</row>
    <row r="99" spans="1:30" ht="14">
      <c r="A99" s="128"/>
      <c r="B99" s="67" t="s">
        <v>120</v>
      </c>
      <c r="C99" s="173"/>
      <c r="D99" s="173"/>
      <c r="E99" s="174"/>
      <c r="F99" s="173">
        <v>3.1</v>
      </c>
      <c r="G99" s="173">
        <v>3</v>
      </c>
      <c r="H99" s="173">
        <v>2.1</v>
      </c>
      <c r="I99" s="173">
        <v>1.8</v>
      </c>
      <c r="J99" s="173">
        <v>1.4</v>
      </c>
      <c r="K99" s="173">
        <v>0.9</v>
      </c>
      <c r="L99" s="173">
        <v>0.7</v>
      </c>
      <c r="M99" s="173">
        <v>0.3</v>
      </c>
      <c r="N99" s="173">
        <v>0.3</v>
      </c>
      <c r="O99" s="173">
        <v>0.2</v>
      </c>
      <c r="P99" s="175">
        <v>0.1</v>
      </c>
      <c r="Q99" s="173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</row>
    <row r="100" spans="1:30" ht="14">
      <c r="A100" s="128"/>
      <c r="B100" s="71" t="s">
        <v>121</v>
      </c>
      <c r="C100" s="176"/>
      <c r="D100" s="176"/>
      <c r="E100" s="177"/>
      <c r="F100" s="176">
        <v>4</v>
      </c>
      <c r="G100" s="176">
        <v>3.7</v>
      </c>
      <c r="H100" s="176">
        <v>5.0999999999999996</v>
      </c>
      <c r="I100" s="176">
        <v>6.2</v>
      </c>
      <c r="J100" s="176">
        <v>8</v>
      </c>
      <c r="K100" s="176">
        <v>11</v>
      </c>
      <c r="L100" s="176">
        <v>17.600000000000001</v>
      </c>
      <c r="M100" s="176">
        <v>31.9</v>
      </c>
      <c r="N100" s="176">
        <v>113.2</v>
      </c>
      <c r="O100" s="176">
        <v>888.8</v>
      </c>
      <c r="P100" s="178">
        <v>103.1</v>
      </c>
      <c r="Q100" s="173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</row>
    <row r="101" spans="1:30" ht="6" customHeight="1">
      <c r="A101" s="128"/>
      <c r="B101" s="114"/>
      <c r="C101" s="173"/>
      <c r="D101" s="173"/>
      <c r="E101" s="174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</row>
    <row r="102" spans="1:30" ht="14">
      <c r="A102" s="128"/>
      <c r="B102" s="165" t="s">
        <v>122</v>
      </c>
      <c r="C102" s="166"/>
      <c r="D102" s="166"/>
      <c r="E102" s="167"/>
      <c r="F102" s="168">
        <v>2017</v>
      </c>
      <c r="G102" s="168">
        <v>2018</v>
      </c>
      <c r="H102" s="168">
        <v>2019</v>
      </c>
      <c r="I102" s="168">
        <v>2020</v>
      </c>
      <c r="J102" s="168">
        <v>2021</v>
      </c>
      <c r="K102" s="168">
        <v>2022</v>
      </c>
      <c r="L102" s="168">
        <v>2023</v>
      </c>
      <c r="M102" s="168">
        <v>2024</v>
      </c>
      <c r="N102" s="168">
        <v>2025</v>
      </c>
      <c r="O102" s="168">
        <v>2026</v>
      </c>
      <c r="P102" s="168">
        <v>2027</v>
      </c>
      <c r="Q102" s="173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</row>
    <row r="103" spans="1:30" ht="14">
      <c r="A103" s="128"/>
      <c r="B103" s="62" t="s">
        <v>123</v>
      </c>
      <c r="C103" s="63"/>
      <c r="D103" s="63"/>
      <c r="E103" s="64"/>
      <c r="F103" s="63">
        <v>3018.8446538197572</v>
      </c>
      <c r="G103" s="63">
        <v>4109.3838297267794</v>
      </c>
      <c r="H103" s="63">
        <v>4546.6222800152473</v>
      </c>
      <c r="I103" s="63">
        <v>5061.1850298985255</v>
      </c>
      <c r="J103" s="63">
        <v>5581.5615051753803</v>
      </c>
      <c r="K103" s="63">
        <v>5976.4600020720991</v>
      </c>
      <c r="L103" s="63">
        <v>6451.2843485065569</v>
      </c>
      <c r="M103" s="63">
        <v>7005.9235872576355</v>
      </c>
      <c r="N103" s="63">
        <v>7729.9126681794842</v>
      </c>
      <c r="O103" s="63">
        <v>8500.8674438061007</v>
      </c>
      <c r="P103" s="65">
        <v>9378.5463539031407</v>
      </c>
      <c r="Q103" s="173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</row>
    <row r="104" spans="1:30" ht="6" customHeight="1">
      <c r="A104" s="128"/>
      <c r="B104" s="114"/>
      <c r="C104" s="173"/>
      <c r="D104" s="173"/>
      <c r="E104" s="174"/>
      <c r="F104" s="173"/>
      <c r="G104" s="173"/>
      <c r="H104" s="173"/>
      <c r="I104" s="173"/>
      <c r="J104" s="173"/>
      <c r="K104" s="173"/>
      <c r="L104" s="173"/>
      <c r="M104" s="173"/>
      <c r="N104" s="173"/>
      <c r="O104" s="173"/>
      <c r="P104" s="173"/>
      <c r="Q104" s="173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</row>
    <row r="105" spans="1:30" ht="14">
      <c r="A105" s="128"/>
      <c r="B105" s="62" t="s">
        <v>124</v>
      </c>
      <c r="C105" s="63"/>
      <c r="D105" s="63"/>
      <c r="E105" s="64"/>
      <c r="F105" s="63">
        <v>566.52458899999999</v>
      </c>
      <c r="G105" s="63">
        <v>631.76315499999998</v>
      </c>
      <c r="H105" s="63">
        <v>690.34918900000002</v>
      </c>
      <c r="I105" s="63">
        <v>763.67653100000007</v>
      </c>
      <c r="J105" s="63">
        <v>817.99327500000004</v>
      </c>
      <c r="K105" s="63">
        <v>870.97339599999998</v>
      </c>
      <c r="L105" s="63">
        <v>910.290931</v>
      </c>
      <c r="M105" s="63">
        <v>951.47593400000005</v>
      </c>
      <c r="N105" s="63">
        <v>994.6195110000001</v>
      </c>
      <c r="O105" s="63">
        <v>1039.8173000000002</v>
      </c>
      <c r="P105" s="65">
        <v>1087.169703</v>
      </c>
      <c r="Q105" s="173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</row>
    <row r="106" spans="1:30" ht="14">
      <c r="A106" s="128"/>
      <c r="B106" s="67" t="s">
        <v>125</v>
      </c>
      <c r="C106" s="93"/>
      <c r="D106" s="93"/>
      <c r="E106" s="157"/>
      <c r="F106" s="93">
        <v>256.21113700000001</v>
      </c>
      <c r="G106" s="93">
        <v>305.69299000000001</v>
      </c>
      <c r="H106" s="93">
        <v>342.87965100000002</v>
      </c>
      <c r="I106" s="93">
        <v>388.95119099999999</v>
      </c>
      <c r="J106" s="93">
        <v>420.38625200000001</v>
      </c>
      <c r="K106" s="93">
        <v>458.319862</v>
      </c>
      <c r="L106" s="93">
        <v>481.88853599999999</v>
      </c>
      <c r="M106" s="93">
        <v>506.587515</v>
      </c>
      <c r="N106" s="93">
        <v>532.47130300000003</v>
      </c>
      <c r="O106" s="93">
        <v>559.59706200000005</v>
      </c>
      <c r="P106" s="158">
        <v>588.02473599999996</v>
      </c>
      <c r="Q106" s="173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</row>
    <row r="107" spans="1:30" ht="14">
      <c r="A107" s="128"/>
      <c r="B107" s="71" t="s">
        <v>126</v>
      </c>
      <c r="C107" s="96"/>
      <c r="D107" s="96"/>
      <c r="E107" s="97"/>
      <c r="F107" s="96">
        <v>310.31345199999998</v>
      </c>
      <c r="G107" s="96">
        <v>326.07016499999997</v>
      </c>
      <c r="H107" s="96">
        <v>347.469538</v>
      </c>
      <c r="I107" s="96">
        <v>374.72534000000002</v>
      </c>
      <c r="J107" s="96">
        <v>397.60702300000003</v>
      </c>
      <c r="K107" s="96">
        <v>412.65353399999998</v>
      </c>
      <c r="L107" s="96">
        <v>428.40239500000001</v>
      </c>
      <c r="M107" s="96">
        <v>444.888419</v>
      </c>
      <c r="N107" s="96">
        <v>462.14820800000001</v>
      </c>
      <c r="O107" s="96">
        <v>480.22023799999999</v>
      </c>
      <c r="P107" s="98">
        <v>499.14496700000001</v>
      </c>
      <c r="Q107" s="173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</row>
    <row r="108" spans="1:30" ht="6" customHeight="1">
      <c r="A108" s="50"/>
      <c r="B108" s="114"/>
      <c r="F108" s="179"/>
      <c r="G108" s="179"/>
      <c r="H108" s="179"/>
      <c r="I108" s="179"/>
      <c r="J108" s="179"/>
      <c r="K108" s="179"/>
      <c r="L108" s="179"/>
      <c r="M108" s="179"/>
      <c r="N108" s="179"/>
      <c r="O108" s="179"/>
      <c r="P108" s="179"/>
      <c r="Q108" s="173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</row>
    <row r="109" spans="1:30" ht="14">
      <c r="A109" s="50"/>
      <c r="B109" s="151" t="s">
        <v>127</v>
      </c>
      <c r="C109" s="152"/>
      <c r="D109" s="152"/>
      <c r="E109" s="89"/>
      <c r="F109" s="152">
        <v>2452.3200648197571</v>
      </c>
      <c r="G109" s="152">
        <v>3477.6206747267793</v>
      </c>
      <c r="H109" s="152">
        <v>3856.2730910152472</v>
      </c>
      <c r="I109" s="152">
        <v>4297.5084988985254</v>
      </c>
      <c r="J109" s="152">
        <v>4763.5682301753804</v>
      </c>
      <c r="K109" s="152">
        <v>5105.4866060720988</v>
      </c>
      <c r="L109" s="152">
        <v>5540.9934175065573</v>
      </c>
      <c r="M109" s="152">
        <v>6054.4476532576355</v>
      </c>
      <c r="N109" s="152">
        <v>6735.2931571794843</v>
      </c>
      <c r="O109" s="152">
        <v>7461.0501438061001</v>
      </c>
      <c r="P109" s="153">
        <v>8291.3766509031411</v>
      </c>
      <c r="Q109" s="173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</row>
    <row r="110" spans="1:30" ht="6" customHeight="1">
      <c r="A110" s="50"/>
      <c r="B110" s="114"/>
      <c r="F110" s="179"/>
      <c r="G110" s="179"/>
      <c r="H110" s="179"/>
      <c r="I110" s="179"/>
      <c r="J110" s="179"/>
      <c r="K110" s="179"/>
      <c r="L110" s="179"/>
      <c r="M110" s="179"/>
      <c r="N110" s="179"/>
      <c r="O110" s="179"/>
      <c r="P110" s="179"/>
      <c r="Q110" s="173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</row>
    <row r="111" spans="1:30" ht="14">
      <c r="A111" s="50"/>
      <c r="B111" s="155" t="s">
        <v>128</v>
      </c>
      <c r="C111" s="156"/>
      <c r="D111" s="156"/>
      <c r="E111" s="157"/>
      <c r="F111" s="156">
        <v>47.364438</v>
      </c>
      <c r="G111" s="156">
        <v>62.932673999999999</v>
      </c>
      <c r="H111" s="156">
        <v>102.476281</v>
      </c>
      <c r="I111" s="156">
        <v>154.952348</v>
      </c>
      <c r="J111" s="156">
        <v>217.97007099999999</v>
      </c>
      <c r="K111" s="156">
        <v>232.33319399999999</v>
      </c>
      <c r="L111" s="156">
        <v>246.253963</v>
      </c>
      <c r="M111" s="156">
        <v>260.906454</v>
      </c>
      <c r="N111" s="156">
        <v>276.32777299999998</v>
      </c>
      <c r="O111" s="156">
        <v>292.55685899999997</v>
      </c>
      <c r="P111" s="158">
        <v>309.63457799999998</v>
      </c>
      <c r="Q111" s="173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</row>
    <row r="112" spans="1:30" ht="14">
      <c r="A112" s="50"/>
      <c r="B112" s="71" t="s">
        <v>129</v>
      </c>
      <c r="C112" s="96"/>
      <c r="D112" s="96"/>
      <c r="E112" s="97"/>
      <c r="F112" s="96">
        <v>16.956534000000001</v>
      </c>
      <c r="G112" s="96">
        <v>76.785342</v>
      </c>
      <c r="H112" s="96">
        <v>86.787987999999999</v>
      </c>
      <c r="I112" s="96">
        <v>97.294364000000002</v>
      </c>
      <c r="J112" s="96">
        <v>107.033483</v>
      </c>
      <c r="K112" s="96">
        <v>116.793724</v>
      </c>
      <c r="L112" s="96">
        <v>124.16381699999999</v>
      </c>
      <c r="M112" s="96">
        <v>132.72043400000001</v>
      </c>
      <c r="N112" s="96">
        <v>140.191114</v>
      </c>
      <c r="O112" s="96">
        <v>146.69135900000001</v>
      </c>
      <c r="P112" s="98">
        <v>152.937082</v>
      </c>
      <c r="Q112" s="173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</row>
    <row r="113" spans="1:41" ht="6" customHeight="1">
      <c r="A113" s="50"/>
      <c r="B113" s="114"/>
      <c r="F113" s="179"/>
      <c r="G113" s="179"/>
      <c r="H113" s="179"/>
      <c r="I113" s="179"/>
      <c r="J113" s="179"/>
      <c r="K113" s="179"/>
      <c r="L113" s="179"/>
      <c r="M113" s="179"/>
      <c r="N113" s="179"/>
      <c r="O113" s="179"/>
      <c r="P113" s="179"/>
      <c r="Q113" s="173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</row>
    <row r="114" spans="1:41" ht="14">
      <c r="A114" s="128"/>
      <c r="B114" s="151" t="s">
        <v>130</v>
      </c>
      <c r="C114" s="152"/>
      <c r="D114" s="152"/>
      <c r="E114" s="89"/>
      <c r="F114" s="152">
        <v>2387.9990928197572</v>
      </c>
      <c r="G114" s="152">
        <v>3337.902658726779</v>
      </c>
      <c r="H114" s="152">
        <v>3667.008822015247</v>
      </c>
      <c r="I114" s="152">
        <v>4045.2617868985258</v>
      </c>
      <c r="J114" s="152">
        <v>4438.5646761753806</v>
      </c>
      <c r="K114" s="152">
        <v>4756.3596880720988</v>
      </c>
      <c r="L114" s="152">
        <v>5170.5756375065575</v>
      </c>
      <c r="M114" s="152">
        <v>5660.8207652576357</v>
      </c>
      <c r="N114" s="152">
        <v>6318.7742701794841</v>
      </c>
      <c r="O114" s="152">
        <v>7021.8019258060995</v>
      </c>
      <c r="P114" s="153">
        <v>7828.8049909031406</v>
      </c>
      <c r="Q114" s="173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</row>
    <row r="115" spans="1:41" ht="14">
      <c r="A115" s="128"/>
      <c r="B115" s="180" t="s">
        <v>124</v>
      </c>
      <c r="C115" s="181"/>
      <c r="D115" s="181"/>
      <c r="E115" s="182"/>
      <c r="F115" s="181">
        <v>566.52458899999999</v>
      </c>
      <c r="G115" s="181">
        <v>631.76315499999998</v>
      </c>
      <c r="H115" s="181">
        <v>690.34918900000002</v>
      </c>
      <c r="I115" s="181">
        <v>763.67653100000007</v>
      </c>
      <c r="J115" s="181">
        <v>817.99327500000004</v>
      </c>
      <c r="K115" s="181">
        <v>870.97339599999998</v>
      </c>
      <c r="L115" s="181">
        <v>910.290931</v>
      </c>
      <c r="M115" s="181">
        <v>951.47593400000005</v>
      </c>
      <c r="N115" s="181">
        <v>994.6195110000001</v>
      </c>
      <c r="O115" s="181">
        <v>1039.8173000000002</v>
      </c>
      <c r="P115" s="183">
        <v>1087.169703</v>
      </c>
      <c r="Q115" s="173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</row>
    <row r="116" spans="1:41" ht="6" customHeight="1">
      <c r="A116" s="128"/>
      <c r="B116" s="114"/>
      <c r="C116" s="184"/>
      <c r="D116" s="184"/>
      <c r="F116" s="185"/>
      <c r="G116" s="185"/>
      <c r="H116" s="185"/>
      <c r="I116" s="185"/>
      <c r="J116" s="185"/>
      <c r="K116" s="185"/>
      <c r="L116" s="185"/>
      <c r="M116" s="185"/>
      <c r="N116" s="185"/>
      <c r="O116" s="185"/>
      <c r="P116" s="185"/>
      <c r="Q116" s="173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</row>
    <row r="117" spans="1:41" ht="14">
      <c r="A117" s="128"/>
      <c r="B117" s="186" t="s">
        <v>131</v>
      </c>
      <c r="C117" s="170"/>
      <c r="D117" s="170"/>
      <c r="E117" s="171"/>
      <c r="F117" s="134">
        <v>0.97377137963240235</v>
      </c>
      <c r="G117" s="134">
        <v>0.95982367570581073</v>
      </c>
      <c r="H117" s="134">
        <v>0.95092041861844068</v>
      </c>
      <c r="I117" s="134">
        <v>0.94130396436338593</v>
      </c>
      <c r="J117" s="134">
        <v>0.93177308725395669</v>
      </c>
      <c r="K117" s="134">
        <v>0.93161730801824583</v>
      </c>
      <c r="L117" s="134">
        <v>0.93314957227170148</v>
      </c>
      <c r="M117" s="134">
        <v>0.93498549982702284</v>
      </c>
      <c r="N117" s="134">
        <v>0.93815875905030033</v>
      </c>
      <c r="O117" s="134">
        <v>0.94112782925542338</v>
      </c>
      <c r="P117" s="187">
        <v>0.94421051177917303</v>
      </c>
      <c r="Q117" s="173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</row>
    <row r="118" spans="1:41" ht="14">
      <c r="A118" s="128"/>
      <c r="B118" s="188" t="s">
        <v>132</v>
      </c>
      <c r="C118" s="176"/>
      <c r="D118" s="176"/>
      <c r="E118" s="177"/>
      <c r="F118" s="189">
        <v>0.18766271668970247</v>
      </c>
      <c r="G118" s="189">
        <v>0.15373671119010657</v>
      </c>
      <c r="H118" s="189">
        <v>0.15183781420208167</v>
      </c>
      <c r="I118" s="189">
        <v>0.15088887809646262</v>
      </c>
      <c r="J118" s="189">
        <v>0.14655276560896691</v>
      </c>
      <c r="K118" s="189">
        <v>0.14573399565930747</v>
      </c>
      <c r="L118" s="189">
        <v>0.14110228007710252</v>
      </c>
      <c r="M118" s="189">
        <v>0.13581020719816916</v>
      </c>
      <c r="N118" s="189">
        <v>0.12867150687153217</v>
      </c>
      <c r="O118" s="189">
        <v>0.12231896413790472</v>
      </c>
      <c r="P118" s="190">
        <v>0.11592091801599343</v>
      </c>
      <c r="Q118" s="173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</row>
    <row r="119" spans="1:41" ht="14">
      <c r="A119" s="128"/>
      <c r="B119" s="114"/>
      <c r="C119" s="173"/>
      <c r="D119" s="173"/>
      <c r="E119" s="174"/>
      <c r="F119" s="191"/>
      <c r="G119" s="191"/>
      <c r="H119" s="191"/>
      <c r="I119" s="191"/>
      <c r="J119" s="191"/>
      <c r="K119" s="191"/>
      <c r="L119" s="191"/>
      <c r="M119" s="191"/>
      <c r="N119" s="191"/>
      <c r="O119" s="191"/>
      <c r="P119" s="191"/>
      <c r="Q119" s="173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</row>
    <row r="120" spans="1:41" ht="14">
      <c r="A120" s="128"/>
      <c r="B120" s="114"/>
      <c r="C120" s="173"/>
      <c r="D120" s="173"/>
      <c r="E120" s="174"/>
      <c r="F120" s="191"/>
      <c r="G120" s="191"/>
      <c r="H120" s="191"/>
      <c r="I120" s="191"/>
      <c r="J120" s="191"/>
      <c r="K120" s="191"/>
      <c r="L120" s="191"/>
      <c r="M120" s="191"/>
      <c r="N120" s="191"/>
      <c r="O120" s="191"/>
      <c r="P120" s="191"/>
      <c r="Q120" s="173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184"/>
      <c r="AF120" s="184"/>
      <c r="AG120" s="184"/>
      <c r="AH120" s="184"/>
      <c r="AI120" s="184"/>
      <c r="AJ120" s="184"/>
      <c r="AK120" s="184"/>
      <c r="AL120" s="184"/>
      <c r="AM120" s="184"/>
      <c r="AN120" s="184"/>
      <c r="AO120" s="184"/>
    </row>
    <row r="121" spans="1:41" ht="14">
      <c r="B121" s="192"/>
      <c r="C121" s="66"/>
      <c r="D121" s="66"/>
      <c r="E121" s="193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</row>
    <row r="122" spans="1:41" ht="14">
      <c r="B122" s="192"/>
      <c r="C122" s="66"/>
      <c r="D122" s="66"/>
      <c r="E122" s="193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</row>
    <row r="123" spans="1:41" ht="14">
      <c r="B123" s="192"/>
      <c r="C123" s="66"/>
      <c r="D123" s="66"/>
      <c r="E123" s="193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</row>
    <row r="124" spans="1:41" ht="14">
      <c r="B124" s="192"/>
      <c r="C124" s="66"/>
      <c r="D124" s="66"/>
      <c r="E124" s="193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</row>
    <row r="125" spans="1:41" ht="14">
      <c r="B125" s="192"/>
      <c r="C125" s="66"/>
      <c r="D125" s="66"/>
      <c r="E125" s="193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</row>
    <row r="126" spans="1:41" ht="14">
      <c r="B126" s="192"/>
      <c r="C126" s="66"/>
      <c r="D126" s="66"/>
      <c r="E126" s="193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</row>
    <row r="127" spans="1:41" ht="14">
      <c r="B127" s="192"/>
      <c r="C127" s="66"/>
      <c r="D127" s="66"/>
      <c r="E127" s="193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</row>
    <row r="128" spans="1:41" ht="14">
      <c r="B128" s="192"/>
      <c r="C128" s="66"/>
      <c r="D128" s="66"/>
      <c r="E128" s="193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</row>
    <row r="129" spans="2:30" ht="14">
      <c r="B129" s="192"/>
      <c r="C129" s="66"/>
      <c r="D129" s="66"/>
      <c r="E129" s="193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</row>
    <row r="130" spans="2:30" ht="14">
      <c r="B130" s="192"/>
      <c r="C130" s="66"/>
      <c r="D130" s="66"/>
      <c r="E130" s="193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</row>
    <row r="131" spans="2:30" ht="14">
      <c r="B131" s="192"/>
      <c r="C131" s="66"/>
      <c r="D131" s="66"/>
      <c r="E131" s="193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</row>
    <row r="132" spans="2:30" ht="14">
      <c r="B132" s="192"/>
      <c r="C132" s="66"/>
      <c r="D132" s="66"/>
      <c r="E132" s="193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</row>
    <row r="133" spans="2:30" ht="14">
      <c r="B133" s="192"/>
      <c r="C133" s="66"/>
      <c r="D133" s="66"/>
      <c r="E133" s="193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</row>
    <row r="134" spans="2:30" ht="14">
      <c r="B134" s="192"/>
      <c r="C134" s="66"/>
      <c r="D134" s="66"/>
      <c r="E134" s="193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</row>
    <row r="135" spans="2:30" ht="14">
      <c r="B135" s="192"/>
      <c r="C135" s="66"/>
      <c r="D135" s="66"/>
      <c r="E135" s="193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</row>
    <row r="136" spans="2:30" ht="14">
      <c r="B136" s="192"/>
      <c r="C136" s="66"/>
      <c r="D136" s="66"/>
      <c r="E136" s="193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</row>
    <row r="137" spans="2:30" ht="14">
      <c r="B137" s="192"/>
      <c r="C137" s="66"/>
      <c r="D137" s="66"/>
      <c r="E137" s="193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</row>
    <row r="138" spans="2:30" ht="14">
      <c r="B138" s="192"/>
      <c r="C138" s="66"/>
      <c r="D138" s="66"/>
      <c r="E138" s="193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</row>
    <row r="139" spans="2:30" ht="14">
      <c r="B139" s="192"/>
      <c r="C139" s="66"/>
      <c r="D139" s="66"/>
      <c r="E139" s="193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</row>
    <row r="140" spans="2:30" ht="14">
      <c r="B140" s="192"/>
      <c r="C140" s="66"/>
      <c r="D140" s="66"/>
      <c r="E140" s="193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</row>
    <row r="141" spans="2:30" ht="14">
      <c r="B141" s="192"/>
      <c r="C141" s="66"/>
      <c r="D141" s="66"/>
      <c r="E141" s="193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</row>
    <row r="142" spans="2:30" ht="14">
      <c r="B142" s="192"/>
      <c r="C142" s="66"/>
      <c r="D142" s="66"/>
      <c r="E142" s="193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</row>
    <row r="143" spans="2:30" ht="14">
      <c r="B143" s="192"/>
      <c r="C143" s="66"/>
      <c r="D143" s="66"/>
      <c r="E143" s="193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</row>
    <row r="144" spans="2:30" ht="14">
      <c r="B144" s="192"/>
      <c r="C144" s="66"/>
      <c r="D144" s="66"/>
      <c r="E144" s="193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</row>
    <row r="145" spans="2:30" ht="14">
      <c r="B145" s="192"/>
      <c r="C145" s="66"/>
      <c r="D145" s="66"/>
      <c r="E145" s="193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</row>
    <row r="146" spans="2:30" ht="14">
      <c r="B146" s="192"/>
      <c r="C146" s="66"/>
      <c r="D146" s="66"/>
      <c r="E146" s="193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</row>
    <row r="147" spans="2:30" ht="14">
      <c r="B147" s="192"/>
      <c r="C147" s="66"/>
      <c r="D147" s="66"/>
      <c r="E147" s="193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</row>
    <row r="148" spans="2:30" ht="14">
      <c r="B148" s="192"/>
      <c r="C148" s="66"/>
      <c r="D148" s="66"/>
      <c r="E148" s="193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</row>
    <row r="149" spans="2:30" ht="14">
      <c r="B149" s="192"/>
      <c r="C149" s="66"/>
      <c r="D149" s="66"/>
      <c r="E149" s="193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</row>
    <row r="150" spans="2:30" ht="14">
      <c r="B150" s="192"/>
      <c r="C150" s="66"/>
      <c r="D150" s="66"/>
      <c r="E150" s="193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</row>
    <row r="151" spans="2:30" ht="14">
      <c r="B151" s="192"/>
      <c r="C151" s="66"/>
      <c r="D151" s="66"/>
      <c r="E151" s="193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</row>
    <row r="152" spans="2:30" ht="14">
      <c r="B152" s="192"/>
      <c r="C152" s="66"/>
      <c r="D152" s="66"/>
      <c r="E152" s="193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</row>
    <row r="153" spans="2:30" ht="14">
      <c r="B153" s="192"/>
      <c r="C153" s="66"/>
      <c r="D153" s="66"/>
      <c r="E153" s="193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</row>
    <row r="154" spans="2:30" ht="14">
      <c r="B154" s="192"/>
      <c r="C154" s="66"/>
      <c r="D154" s="66"/>
      <c r="E154" s="193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</row>
    <row r="155" spans="2:30" ht="14">
      <c r="B155" s="192"/>
      <c r="C155" s="66"/>
      <c r="D155" s="66"/>
      <c r="E155" s="193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</row>
    <row r="156" spans="2:30" ht="14">
      <c r="B156" s="192"/>
      <c r="C156" s="66"/>
      <c r="D156" s="66"/>
      <c r="E156" s="193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</row>
    <row r="157" spans="2:30" ht="14">
      <c r="B157" s="192"/>
      <c r="C157" s="66"/>
      <c r="D157" s="66"/>
      <c r="E157" s="193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</row>
    <row r="158" spans="2:30" ht="14">
      <c r="B158" s="192"/>
      <c r="C158" s="66"/>
      <c r="D158" s="66"/>
      <c r="E158" s="193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</row>
    <row r="159" spans="2:30" ht="14">
      <c r="B159" s="192"/>
      <c r="C159" s="66"/>
      <c r="D159" s="66"/>
      <c r="E159" s="193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</row>
    <row r="160" spans="2:30" ht="14">
      <c r="B160" s="192"/>
      <c r="C160" s="66"/>
      <c r="D160" s="66"/>
      <c r="E160" s="193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</row>
    <row r="161" spans="2:30" ht="14">
      <c r="B161" s="192"/>
      <c r="C161" s="66"/>
      <c r="D161" s="66"/>
      <c r="E161" s="193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</row>
    <row r="162" spans="2:30" ht="14">
      <c r="B162" s="192"/>
      <c r="C162" s="66"/>
      <c r="D162" s="66"/>
      <c r="E162" s="193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</row>
    <row r="163" spans="2:30" ht="14">
      <c r="B163" s="192"/>
      <c r="C163" s="66"/>
      <c r="D163" s="66"/>
      <c r="E163" s="193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</row>
    <row r="164" spans="2:30" s="184" customFormat="1" ht="14">
      <c r="B164" s="192"/>
      <c r="C164" s="66"/>
      <c r="D164" s="66"/>
      <c r="E164" s="193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</row>
    <row r="165" spans="2:30" s="184" customFormat="1" ht="14">
      <c r="B165" s="130" t="s">
        <v>133</v>
      </c>
      <c r="C165" s="56"/>
      <c r="D165" s="56"/>
      <c r="E165" s="167"/>
      <c r="F165" s="58">
        <v>2017</v>
      </c>
      <c r="G165" s="58">
        <v>2018</v>
      </c>
      <c r="H165" s="58">
        <v>2019</v>
      </c>
      <c r="I165" s="58">
        <v>2020</v>
      </c>
      <c r="J165" s="58">
        <v>2021</v>
      </c>
      <c r="K165" s="58">
        <v>2022</v>
      </c>
      <c r="L165" s="58">
        <v>2023</v>
      </c>
      <c r="M165" s="58">
        <v>2024</v>
      </c>
      <c r="N165" s="58">
        <v>2025</v>
      </c>
      <c r="O165" s="58">
        <v>2026</v>
      </c>
      <c r="P165" s="59">
        <v>2027</v>
      </c>
      <c r="Q165" s="60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</row>
    <row r="166" spans="2:30" s="184" customFormat="1" ht="14">
      <c r="B166" s="67" t="s">
        <v>134</v>
      </c>
      <c r="C166" s="173"/>
      <c r="D166" s="173"/>
      <c r="E166" s="174"/>
      <c r="F166" s="173">
        <v>1.3</v>
      </c>
      <c r="G166" s="173">
        <v>1.3</v>
      </c>
      <c r="H166" s="173">
        <v>1.3</v>
      </c>
      <c r="I166" s="173">
        <v>1.3</v>
      </c>
      <c r="J166" s="173">
        <v>1.3</v>
      </c>
      <c r="K166" s="173">
        <v>1.3</v>
      </c>
      <c r="L166" s="173">
        <v>1.3</v>
      </c>
      <c r="M166" s="173">
        <v>1.3</v>
      </c>
      <c r="N166" s="173">
        <v>1.3</v>
      </c>
      <c r="O166" s="173">
        <v>1.3</v>
      </c>
      <c r="P166" s="175">
        <v>1.3</v>
      </c>
      <c r="Q166" s="173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</row>
    <row r="167" spans="2:30" s="184" customFormat="1" ht="14">
      <c r="B167" s="67" t="s">
        <v>135</v>
      </c>
      <c r="C167" s="173"/>
      <c r="D167" s="173"/>
      <c r="E167" s="174"/>
      <c r="F167" s="173">
        <v>4</v>
      </c>
      <c r="G167" s="173">
        <v>3.5</v>
      </c>
      <c r="H167" s="173">
        <v>3</v>
      </c>
      <c r="I167" s="173">
        <v>3</v>
      </c>
      <c r="J167" s="173">
        <v>3</v>
      </c>
      <c r="K167" s="173">
        <v>3</v>
      </c>
      <c r="L167" s="173">
        <v>3</v>
      </c>
      <c r="M167" s="173">
        <v>3</v>
      </c>
      <c r="N167" s="173">
        <v>3</v>
      </c>
      <c r="O167" s="173">
        <v>3</v>
      </c>
      <c r="P167" s="175">
        <v>3</v>
      </c>
      <c r="Q167" s="173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</row>
    <row r="168" spans="2:30" s="184" customFormat="1" ht="14">
      <c r="B168" s="71" t="s">
        <v>136</v>
      </c>
      <c r="C168" s="176"/>
      <c r="D168" s="176"/>
      <c r="E168" s="177"/>
      <c r="F168" s="176">
        <v>3.5</v>
      </c>
      <c r="G168" s="176">
        <v>3.5</v>
      </c>
      <c r="H168" s="176">
        <v>3.5</v>
      </c>
      <c r="I168" s="176">
        <v>3.5</v>
      </c>
      <c r="J168" s="176">
        <v>3.5</v>
      </c>
      <c r="K168" s="176">
        <v>3.5</v>
      </c>
      <c r="L168" s="176">
        <v>3.5</v>
      </c>
      <c r="M168" s="176">
        <v>3.5</v>
      </c>
      <c r="N168" s="176">
        <v>3.5</v>
      </c>
      <c r="O168" s="176">
        <v>3.5</v>
      </c>
      <c r="P168" s="178">
        <v>3.5</v>
      </c>
      <c r="Q168" s="173"/>
      <c r="R168" s="194"/>
      <c r="S168" s="194"/>
      <c r="T168" s="194"/>
      <c r="U168" s="194"/>
      <c r="V168" s="194"/>
      <c r="W168" s="194"/>
      <c r="X168" s="194"/>
      <c r="Y168" s="194"/>
      <c r="Z168" s="194"/>
      <c r="AA168" s="194"/>
      <c r="AB168" s="194"/>
      <c r="AC168" s="194"/>
      <c r="AD168" s="194"/>
    </row>
    <row r="169" spans="2:30" s="184" customFormat="1" ht="14">
      <c r="B169" s="195"/>
      <c r="C169" s="194"/>
      <c r="D169" s="194"/>
      <c r="E169" s="196"/>
      <c r="F169" s="194"/>
      <c r="G169" s="194"/>
      <c r="H169" s="194"/>
      <c r="I169" s="194"/>
      <c r="J169" s="194"/>
      <c r="K169" s="194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4"/>
      <c r="AA169" s="194"/>
      <c r="AB169" s="194"/>
      <c r="AC169" s="194"/>
      <c r="AD169" s="194"/>
    </row>
    <row r="170" spans="2:30" s="184" customFormat="1" ht="14">
      <c r="B170" s="197" t="s">
        <v>137</v>
      </c>
      <c r="C170" s="198"/>
      <c r="D170" s="198"/>
      <c r="E170" s="199">
        <v>2016</v>
      </c>
      <c r="F170" s="198">
        <v>2017</v>
      </c>
      <c r="G170" s="198">
        <v>2018</v>
      </c>
      <c r="H170" s="198">
        <v>2019</v>
      </c>
      <c r="I170" s="198">
        <v>2020</v>
      </c>
      <c r="J170" s="198">
        <v>2021</v>
      </c>
      <c r="K170" s="198">
        <v>2022</v>
      </c>
      <c r="L170" s="198">
        <v>2023</v>
      </c>
      <c r="M170" s="198">
        <v>2024</v>
      </c>
      <c r="N170" s="198">
        <v>2025</v>
      </c>
      <c r="O170" s="198">
        <v>2026</v>
      </c>
      <c r="P170" s="200">
        <v>2027</v>
      </c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</row>
    <row r="171" spans="2:30" s="184" customFormat="1" ht="14">
      <c r="B171" s="62" t="s">
        <v>68</v>
      </c>
      <c r="C171" s="201"/>
      <c r="D171" s="201"/>
      <c r="E171" s="202">
        <v>0.40571674955123327</v>
      </c>
      <c r="F171" s="201">
        <v>0.31936691788198912</v>
      </c>
      <c r="G171" s="201">
        <v>0.37222813265887744</v>
      </c>
      <c r="H171" s="201">
        <v>9.7661935069238481E-2</v>
      </c>
      <c r="I171" s="201">
        <v>0.10804099279517776</v>
      </c>
      <c r="J171" s="201">
        <v>0.10044583206696589</v>
      </c>
      <c r="K171" s="201">
        <v>6.405695578343451E-2</v>
      </c>
      <c r="L171" s="201">
        <v>7.1038689510354969E-2</v>
      </c>
      <c r="M171" s="201">
        <v>7.5672561472174715E-2</v>
      </c>
      <c r="N171" s="201">
        <v>8.2934317278637648E-2</v>
      </c>
      <c r="O171" s="201">
        <v>8.645625788353839E-2</v>
      </c>
      <c r="P171" s="203">
        <v>8.8921725754798286E-2</v>
      </c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</row>
    <row r="172" spans="2:30" s="184" customFormat="1" ht="14">
      <c r="B172" s="67" t="s">
        <v>69</v>
      </c>
      <c r="C172" s="204"/>
      <c r="D172" s="204"/>
      <c r="E172" s="205">
        <v>0.10322506491249017</v>
      </c>
      <c r="F172" s="204">
        <v>1.6091523302941724E-2</v>
      </c>
      <c r="G172" s="204">
        <v>9.5144629706105377E-2</v>
      </c>
      <c r="H172" s="204">
        <v>9.429123165433051E-2</v>
      </c>
      <c r="I172" s="204">
        <v>8.8060617141769937E-2</v>
      </c>
      <c r="J172" s="204">
        <v>8.430438158563347E-2</v>
      </c>
      <c r="K172" s="204">
        <v>4.9211020547111906E-2</v>
      </c>
      <c r="L172" s="204">
        <v>4.9642195363046371E-2</v>
      </c>
      <c r="M172" s="204">
        <v>5.0083615782785751E-2</v>
      </c>
      <c r="N172" s="204">
        <v>5.053537984851264E-2</v>
      </c>
      <c r="O172" s="204">
        <v>5.0997564114915628E-2</v>
      </c>
      <c r="P172" s="206">
        <v>5.147022207720009E-2</v>
      </c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</row>
    <row r="173" spans="2:30" s="184" customFormat="1" ht="14">
      <c r="B173" s="67" t="s">
        <v>70</v>
      </c>
      <c r="C173" s="207"/>
      <c r="D173" s="207"/>
      <c r="E173" s="208">
        <v>0.34638423994307255</v>
      </c>
      <c r="F173" s="207">
        <v>1.3701270006954194</v>
      </c>
      <c r="G173" s="207">
        <v>0.7044572338149937</v>
      </c>
      <c r="H173" s="207">
        <v>0.12408053104495242</v>
      </c>
      <c r="I173" s="207">
        <v>0.13685452264231013</v>
      </c>
      <c r="J173" s="207">
        <v>0.10984412744557481</v>
      </c>
      <c r="K173" s="207">
        <v>5.3206857771410876E-2</v>
      </c>
      <c r="L173" s="207">
        <v>5.3231513408223519E-2</v>
      </c>
      <c r="M173" s="207">
        <v>5.325605045693127E-2</v>
      </c>
      <c r="N173" s="207">
        <v>5.3280472217454689E-2</v>
      </c>
      <c r="O173" s="207">
        <v>5.3304781972763893E-2</v>
      </c>
      <c r="P173" s="209">
        <v>5.3328982988788631E-2</v>
      </c>
      <c r="Q173" s="50"/>
    </row>
    <row r="174" spans="2:30" s="184" customFormat="1" ht="14">
      <c r="B174" s="67" t="s">
        <v>71</v>
      </c>
      <c r="C174" s="207"/>
      <c r="D174" s="207"/>
      <c r="E174" s="208">
        <v>14.248657942541127</v>
      </c>
      <c r="F174" s="207">
        <v>-0.1992561728738933</v>
      </c>
      <c r="G174" s="207">
        <v>7.4378322415322495E-2</v>
      </c>
      <c r="H174" s="207">
        <v>7.488812582735882E-2</v>
      </c>
      <c r="I174" s="207">
        <v>7.5009385640666171E-2</v>
      </c>
      <c r="J174" s="207">
        <v>7.5131074182034796E-2</v>
      </c>
      <c r="K174" s="207">
        <v>5.9952227092479493E-2</v>
      </c>
      <c r="L174" s="207">
        <v>6.0073816868237095E-2</v>
      </c>
      <c r="M174" s="207">
        <v>6.0195815717194234E-2</v>
      </c>
      <c r="N174" s="207">
        <v>6.0318211388595167E-2</v>
      </c>
      <c r="O174" s="207">
        <v>6.0440991182037829E-2</v>
      </c>
      <c r="P174" s="209">
        <v>6.0564141952785366E-2</v>
      </c>
      <c r="Q174" s="50"/>
    </row>
    <row r="175" spans="2:30" s="184" customFormat="1" ht="14">
      <c r="B175" s="71" t="s">
        <v>72</v>
      </c>
      <c r="C175" s="210"/>
      <c r="D175" s="210"/>
      <c r="E175" s="211">
        <v>0.83532608329485258</v>
      </c>
      <c r="F175" s="210">
        <v>2.5701172304136324</v>
      </c>
      <c r="G175" s="210">
        <v>0.87559877632014582</v>
      </c>
      <c r="H175" s="210">
        <v>7.9020009679487746E-2</v>
      </c>
      <c r="I175" s="210">
        <v>0.11580185467153536</v>
      </c>
      <c r="J175" s="210">
        <v>0.12262206305041468</v>
      </c>
      <c r="K175" s="210">
        <v>0.10207464801600241</v>
      </c>
      <c r="L175" s="210">
        <v>0.12752781763482379</v>
      </c>
      <c r="M175" s="210">
        <v>0.14065935610363844</v>
      </c>
      <c r="N175" s="210">
        <v>0.16099124805785703</v>
      </c>
      <c r="O175" s="210">
        <v>0.16487771546502983</v>
      </c>
      <c r="P175" s="212">
        <v>0.16447524362532873</v>
      </c>
      <c r="Q175" s="50"/>
    </row>
    <row r="176" spans="2:30" s="184" customFormat="1" ht="14">
      <c r="B176" s="114"/>
      <c r="C176" s="213"/>
      <c r="D176" s="214"/>
      <c r="E176" s="49"/>
      <c r="F176" s="207"/>
      <c r="G176" s="207"/>
      <c r="H176" s="207"/>
      <c r="I176" s="207"/>
      <c r="J176" s="207"/>
      <c r="K176" s="207"/>
      <c r="L176" s="207"/>
      <c r="M176" s="207"/>
      <c r="N176" s="207"/>
      <c r="O176" s="207"/>
      <c r="P176" s="207"/>
      <c r="Q176" s="50"/>
    </row>
    <row r="177" spans="2:35" s="184" customFormat="1" ht="14">
      <c r="B177" s="197" t="s">
        <v>137</v>
      </c>
      <c r="C177" s="198"/>
      <c r="D177" s="198"/>
      <c r="E177" s="199">
        <v>2016</v>
      </c>
      <c r="F177" s="198">
        <v>2017</v>
      </c>
      <c r="G177" s="198">
        <v>2018</v>
      </c>
      <c r="H177" s="198">
        <v>2019</v>
      </c>
      <c r="I177" s="198">
        <v>2020</v>
      </c>
      <c r="J177" s="198">
        <v>2021</v>
      </c>
      <c r="K177" s="198">
        <v>2022</v>
      </c>
      <c r="L177" s="198">
        <v>2023</v>
      </c>
      <c r="M177" s="198">
        <v>2024</v>
      </c>
      <c r="N177" s="198">
        <v>2025</v>
      </c>
      <c r="O177" s="198">
        <v>2026</v>
      </c>
      <c r="P177" s="200">
        <v>2027</v>
      </c>
      <c r="Q177" s="50"/>
    </row>
    <row r="178" spans="2:35" s="184" customFormat="1" ht="14">
      <c r="B178" s="62" t="s">
        <v>68</v>
      </c>
      <c r="C178" s="215"/>
      <c r="D178" s="216"/>
      <c r="E178" s="202">
        <v>1</v>
      </c>
      <c r="F178" s="201">
        <v>0.99999999999999989</v>
      </c>
      <c r="G178" s="201">
        <v>1</v>
      </c>
      <c r="H178" s="201">
        <v>1</v>
      </c>
      <c r="I178" s="201">
        <v>0.99999999999999989</v>
      </c>
      <c r="J178" s="201">
        <v>1</v>
      </c>
      <c r="K178" s="201">
        <v>1</v>
      </c>
      <c r="L178" s="201">
        <v>1</v>
      </c>
      <c r="M178" s="201">
        <v>0.99999999999999989</v>
      </c>
      <c r="N178" s="201">
        <v>1</v>
      </c>
      <c r="O178" s="201">
        <v>0.99999999999999989</v>
      </c>
      <c r="P178" s="203">
        <v>0.99999999999999989</v>
      </c>
      <c r="Q178" s="50"/>
    </row>
    <row r="179" spans="2:35" s="184" customFormat="1" ht="14">
      <c r="B179" s="67" t="s">
        <v>69</v>
      </c>
      <c r="C179" s="213"/>
      <c r="D179" s="214"/>
      <c r="E179" s="205">
        <v>0.62612286174250242</v>
      </c>
      <c r="F179" s="204">
        <v>0.48219954869267168</v>
      </c>
      <c r="G179" s="204">
        <v>0.38483269190397962</v>
      </c>
      <c r="H179" s="204">
        <v>0.38365094657117177</v>
      </c>
      <c r="I179" s="204">
        <v>0.3767328902157473</v>
      </c>
      <c r="J179" s="204">
        <v>0.37120693417601675</v>
      </c>
      <c r="K179" s="204">
        <v>0.36602778086650856</v>
      </c>
      <c r="L179" s="204">
        <v>0.35871552282413754</v>
      </c>
      <c r="M179" s="204">
        <v>0.3501821155771172</v>
      </c>
      <c r="N179" s="204">
        <v>0.33970546129558837</v>
      </c>
      <c r="O179" s="204">
        <v>0.32861848762664914</v>
      </c>
      <c r="P179" s="206">
        <v>0.31731624596245117</v>
      </c>
      <c r="Q179" s="50"/>
    </row>
    <row r="180" spans="2:35" s="184" customFormat="1" ht="14">
      <c r="B180" s="67" t="s">
        <v>70</v>
      </c>
      <c r="C180" s="213"/>
      <c r="D180" s="214"/>
      <c r="E180" s="208">
        <v>0.13044912386260643</v>
      </c>
      <c r="F180" s="207">
        <v>0.23434041470447067</v>
      </c>
      <c r="G180" s="207">
        <v>0.29107639284752462</v>
      </c>
      <c r="H180" s="207">
        <v>0.29808203764126695</v>
      </c>
      <c r="I180" s="207">
        <v>0.30583337152179818</v>
      </c>
      <c r="J180" s="207">
        <v>0.30844532413085923</v>
      </c>
      <c r="K180" s="207">
        <v>0.30530013347167484</v>
      </c>
      <c r="L180" s="207">
        <v>0.30022418869584261</v>
      </c>
      <c r="M180" s="207">
        <v>0.29396765759707388</v>
      </c>
      <c r="N180" s="207">
        <v>0.28591798068473023</v>
      </c>
      <c r="O180" s="207">
        <v>0.27719365056987422</v>
      </c>
      <c r="P180" s="209">
        <v>0.26813323597095906</v>
      </c>
      <c r="Q180" s="50"/>
    </row>
    <row r="181" spans="2:35" s="184" customFormat="1" ht="14">
      <c r="B181" s="67" t="s">
        <v>71</v>
      </c>
      <c r="C181" s="213"/>
      <c r="D181" s="214"/>
      <c r="E181" s="208">
        <v>0.17876923102296069</v>
      </c>
      <c r="F181" s="207">
        <v>0.108497762283987</v>
      </c>
      <c r="G181" s="207">
        <v>8.4947714635919061E-2</v>
      </c>
      <c r="H181" s="207">
        <v>8.3185256645126091E-2</v>
      </c>
      <c r="I181" s="207">
        <v>8.0705436190453658E-2</v>
      </c>
      <c r="J181" s="207">
        <v>7.8848880858400971E-2</v>
      </c>
      <c r="K181" s="207">
        <v>7.8544711742499773E-2</v>
      </c>
      <c r="L181" s="207">
        <v>7.7740601891564232E-2</v>
      </c>
      <c r="M181" s="207">
        <v>7.6622072356267529E-2</v>
      </c>
      <c r="N181" s="207">
        <v>7.5021889524977708E-2</v>
      </c>
      <c r="O181" s="207">
        <v>7.3225485435737314E-2</v>
      </c>
      <c r="P181" s="209">
        <v>7.1318555129752603E-2</v>
      </c>
      <c r="Q181" s="50"/>
    </row>
    <row r="182" spans="2:35" s="184" customFormat="1" ht="14">
      <c r="B182" s="71" t="s">
        <v>72</v>
      </c>
      <c r="C182" s="217"/>
      <c r="D182" s="218"/>
      <c r="E182" s="211">
        <v>6.465878337193047E-2</v>
      </c>
      <c r="F182" s="210">
        <v>0.1749622743188706</v>
      </c>
      <c r="G182" s="210">
        <v>0.23914320061257668</v>
      </c>
      <c r="H182" s="210">
        <v>0.23508175914243529</v>
      </c>
      <c r="I182" s="210">
        <v>0.23672830207200077</v>
      </c>
      <c r="J182" s="210">
        <v>0.24149886083472308</v>
      </c>
      <c r="K182" s="210">
        <v>0.25012737391931678</v>
      </c>
      <c r="L182" s="210">
        <v>0.2633196865884555</v>
      </c>
      <c r="M182" s="210">
        <v>0.2792281544695413</v>
      </c>
      <c r="N182" s="210">
        <v>0.29935466849470377</v>
      </c>
      <c r="O182" s="210">
        <v>0.32096237636773928</v>
      </c>
      <c r="P182" s="212">
        <v>0.34323196293683711</v>
      </c>
      <c r="Q182" s="50"/>
    </row>
    <row r="183" spans="2:35" s="184" customFormat="1" ht="14">
      <c r="B183" s="114"/>
      <c r="C183" s="213"/>
      <c r="D183" s="214"/>
      <c r="E183" s="49"/>
      <c r="F183" s="207"/>
      <c r="G183" s="207"/>
      <c r="H183" s="207"/>
      <c r="I183" s="207"/>
      <c r="J183" s="207"/>
      <c r="K183" s="207"/>
      <c r="L183" s="207"/>
      <c r="M183" s="207"/>
      <c r="N183" s="207"/>
      <c r="O183" s="207"/>
      <c r="P183" s="207"/>
      <c r="Q183" s="50"/>
    </row>
    <row r="184" spans="2:35" s="184" customFormat="1" ht="14">
      <c r="B184" s="197" t="s">
        <v>137</v>
      </c>
      <c r="C184" s="198"/>
      <c r="D184" s="198"/>
      <c r="E184" s="199">
        <v>2016</v>
      </c>
      <c r="F184" s="198">
        <v>2017</v>
      </c>
      <c r="G184" s="198">
        <v>2018</v>
      </c>
      <c r="H184" s="198">
        <v>2019</v>
      </c>
      <c r="I184" s="198">
        <v>2020</v>
      </c>
      <c r="J184" s="198">
        <v>2021</v>
      </c>
      <c r="K184" s="198">
        <v>2022</v>
      </c>
      <c r="L184" s="198">
        <v>2023</v>
      </c>
      <c r="M184" s="198">
        <v>2024</v>
      </c>
      <c r="N184" s="198">
        <v>2025</v>
      </c>
      <c r="O184" s="198">
        <v>2026</v>
      </c>
      <c r="P184" s="200">
        <v>2027</v>
      </c>
      <c r="Q184" s="50"/>
    </row>
    <row r="185" spans="2:35" s="184" customFormat="1" ht="14">
      <c r="B185" s="62" t="s">
        <v>138</v>
      </c>
      <c r="C185" s="215"/>
      <c r="D185" s="216"/>
      <c r="E185" s="202">
        <v>0.43576350602660108</v>
      </c>
      <c r="F185" s="201">
        <v>0.49477533534588714</v>
      </c>
      <c r="G185" s="201">
        <v>0.48076550281218211</v>
      </c>
      <c r="H185" s="201">
        <v>0.47788253772870387</v>
      </c>
      <c r="I185" s="201">
        <v>0.47302096555707096</v>
      </c>
      <c r="J185" s="201">
        <v>0.46788952268400735</v>
      </c>
      <c r="K185" s="201">
        <v>0.46471459137729826</v>
      </c>
      <c r="L185" s="201">
        <v>0.4599600906851149</v>
      </c>
      <c r="M185" s="201">
        <v>0.45441504810320255</v>
      </c>
      <c r="N185" s="201">
        <v>0.44766912814992088</v>
      </c>
      <c r="O185" s="201">
        <v>0.44050962012364958</v>
      </c>
      <c r="P185" s="203">
        <v>0.43317289376562235</v>
      </c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</row>
    <row r="186" spans="2:35" s="184" customFormat="1" ht="14">
      <c r="B186" s="155" t="s">
        <v>69</v>
      </c>
      <c r="C186" s="219"/>
      <c r="D186" s="220"/>
      <c r="E186" s="205">
        <v>0.37111011888787188</v>
      </c>
      <c r="F186" s="204">
        <v>0.37075061682894472</v>
      </c>
      <c r="G186" s="204">
        <v>0.34850398444334785</v>
      </c>
      <c r="H186" s="204">
        <v>0.34401369613131705</v>
      </c>
      <c r="I186" s="204">
        <v>0.34079609411921158</v>
      </c>
      <c r="J186" s="204">
        <v>0.33837076562872626</v>
      </c>
      <c r="K186" s="204">
        <v>0.33651160073296921</v>
      </c>
      <c r="L186" s="204">
        <v>0.33464937494459623</v>
      </c>
      <c r="M186" s="204">
        <v>0.33278414670724465</v>
      </c>
      <c r="N186" s="204">
        <v>0.33091596623361313</v>
      </c>
      <c r="O186" s="204">
        <v>0.32904487618074435</v>
      </c>
      <c r="P186" s="206">
        <v>0.32717091239030244</v>
      </c>
      <c r="Q186" s="50"/>
    </row>
    <row r="187" spans="2:35" s="184" customFormat="1" ht="14">
      <c r="B187" s="67" t="s">
        <v>70</v>
      </c>
      <c r="C187" s="213"/>
      <c r="D187" s="214"/>
      <c r="E187" s="208">
        <v>0.47617615177463313</v>
      </c>
      <c r="F187" s="207">
        <v>0.57884827768055525</v>
      </c>
      <c r="G187" s="207">
        <v>0.52963807378982075</v>
      </c>
      <c r="H187" s="207">
        <v>0.52806092060908583</v>
      </c>
      <c r="I187" s="207">
        <v>0.52327864303085569</v>
      </c>
      <c r="J187" s="207">
        <v>0.5184868333938184</v>
      </c>
      <c r="K187" s="207">
        <v>0.51812063249053109</v>
      </c>
      <c r="L187" s="207">
        <v>0.51775143496085618</v>
      </c>
      <c r="M187" s="207">
        <v>0.51737924562302062</v>
      </c>
      <c r="N187" s="207">
        <v>0.51700406885706474</v>
      </c>
      <c r="O187" s="207">
        <v>0.51662590860686275</v>
      </c>
      <c r="P187" s="209">
        <v>0.51624476838225675</v>
      </c>
      <c r="Q187" s="50"/>
    </row>
    <row r="188" spans="2:35" s="184" customFormat="1" ht="14">
      <c r="B188" s="67" t="s">
        <v>71</v>
      </c>
      <c r="C188" s="213"/>
      <c r="D188" s="214"/>
      <c r="E188" s="208">
        <v>0.53793608747453814</v>
      </c>
      <c r="F188" s="207">
        <v>0.6988001079269156</v>
      </c>
      <c r="G188" s="207">
        <v>0.69035144140432891</v>
      </c>
      <c r="H188" s="207">
        <v>0.68177689450978107</v>
      </c>
      <c r="I188" s="207">
        <v>0.6733275037951244</v>
      </c>
      <c r="J188" s="207">
        <v>0.66500131968722265</v>
      </c>
      <c r="K188" s="207">
        <v>0.65675935132903474</v>
      </c>
      <c r="L188" s="207">
        <v>0.64863715586321902</v>
      </c>
      <c r="M188" s="207">
        <v>0.64063282393568211</v>
      </c>
      <c r="N188" s="207">
        <v>0.6327444653364579</v>
      </c>
      <c r="O188" s="207">
        <v>0.62497020931699387</v>
      </c>
      <c r="P188" s="209">
        <v>0.61730820489445337</v>
      </c>
      <c r="Q188" s="50"/>
    </row>
    <row r="189" spans="2:35" s="184" customFormat="1" ht="14">
      <c r="B189" s="71" t="s">
        <v>72</v>
      </c>
      <c r="C189" s="217"/>
      <c r="D189" s="218"/>
      <c r="E189" s="211">
        <v>0.69781383925516383</v>
      </c>
      <c r="F189" s="210">
        <v>0.59746458031528316</v>
      </c>
      <c r="G189" s="210">
        <v>0.55966826035774275</v>
      </c>
      <c r="H189" s="210">
        <v>0.56057984633438729</v>
      </c>
      <c r="I189" s="210">
        <v>0.55022828013776237</v>
      </c>
      <c r="J189" s="210">
        <v>0.53799218141512339</v>
      </c>
      <c r="K189" s="210">
        <v>0.5268304810954495</v>
      </c>
      <c r="L189" s="210">
        <v>0.50907404422567726</v>
      </c>
      <c r="M189" s="210">
        <v>0.48956600498931813</v>
      </c>
      <c r="N189" s="210">
        <v>0.46755483435367995</v>
      </c>
      <c r="O189" s="210">
        <v>0.44681318610907489</v>
      </c>
      <c r="P189" s="212">
        <v>0.42801473749293478</v>
      </c>
      <c r="Q189" s="50"/>
    </row>
    <row r="190" spans="2:35" s="184" customFormat="1" ht="14">
      <c r="B190" s="114"/>
      <c r="C190" s="213"/>
      <c r="D190" s="214"/>
      <c r="E190" s="49"/>
      <c r="F190" s="207"/>
      <c r="G190" s="207"/>
      <c r="H190" s="207"/>
      <c r="I190" s="207"/>
      <c r="J190" s="207"/>
      <c r="K190" s="207"/>
      <c r="L190" s="207"/>
      <c r="M190" s="207"/>
      <c r="N190" s="207"/>
      <c r="O190" s="207"/>
      <c r="P190" s="207"/>
      <c r="Q190" s="50"/>
    </row>
    <row r="191" spans="2:35" s="184" customFormat="1" ht="14">
      <c r="B191" s="221" t="s">
        <v>137</v>
      </c>
      <c r="C191" s="222"/>
      <c r="D191" s="222"/>
      <c r="E191" s="223">
        <v>2016</v>
      </c>
      <c r="F191" s="222">
        <v>2017</v>
      </c>
      <c r="G191" s="222">
        <v>2018</v>
      </c>
      <c r="H191" s="222">
        <v>2019</v>
      </c>
      <c r="I191" s="222">
        <v>2020</v>
      </c>
      <c r="J191" s="222">
        <v>2021</v>
      </c>
      <c r="K191" s="222">
        <v>2022</v>
      </c>
      <c r="L191" s="222">
        <v>2023</v>
      </c>
      <c r="M191" s="222">
        <v>2024</v>
      </c>
      <c r="N191" s="222">
        <v>2025</v>
      </c>
      <c r="O191" s="222">
        <v>2026</v>
      </c>
      <c r="P191" s="224">
        <v>2027</v>
      </c>
      <c r="Q191" s="50"/>
    </row>
    <row r="192" spans="2:35" s="184" customFormat="1" ht="14">
      <c r="B192" s="62" t="s">
        <v>139</v>
      </c>
      <c r="C192" s="79"/>
      <c r="D192" s="79"/>
      <c r="E192" s="225">
        <v>0.26894227149926636</v>
      </c>
      <c r="F192" s="226">
        <v>0.25402004574621967</v>
      </c>
      <c r="G192" s="226">
        <v>0.26213056260760526</v>
      </c>
      <c r="H192" s="226">
        <v>0.26107434168718707</v>
      </c>
      <c r="I192" s="226">
        <v>0.26213363729827066</v>
      </c>
      <c r="J192" s="226">
        <v>0.26381555939610046</v>
      </c>
      <c r="K192" s="226">
        <v>0.26367610149244075</v>
      </c>
      <c r="L192" s="226">
        <v>0.26501082641951346</v>
      </c>
      <c r="M192" s="226">
        <v>0.26653868796875269</v>
      </c>
      <c r="N192" s="226">
        <v>0.26838685674590629</v>
      </c>
      <c r="O192" s="226">
        <v>0.27033644362496445</v>
      </c>
      <c r="P192" s="227">
        <v>0.27229135114144987</v>
      </c>
      <c r="Q192" s="82"/>
    </row>
    <row r="193" spans="2:17" s="184" customFormat="1" ht="14">
      <c r="B193" s="67" t="s">
        <v>76</v>
      </c>
      <c r="C193" s="93"/>
      <c r="D193" s="93"/>
      <c r="E193" s="228">
        <v>6.4522897367450233E-2</v>
      </c>
      <c r="F193" s="185">
        <v>5.5472581824043972E-2</v>
      </c>
      <c r="G193" s="185">
        <v>5.7206119842398581E-2</v>
      </c>
      <c r="H193" s="185">
        <v>5.633981361525129E-2</v>
      </c>
      <c r="I193" s="185">
        <v>5.5643446978378454E-2</v>
      </c>
      <c r="J193" s="185">
        <v>5.484217729237114E-2</v>
      </c>
      <c r="K193" s="185">
        <v>5.3644379234685721E-2</v>
      </c>
      <c r="L193" s="185">
        <v>5.2421868319328289E-2</v>
      </c>
      <c r="M193" s="185">
        <v>5.1011647514078745E-2</v>
      </c>
      <c r="N193" s="185">
        <v>4.9311400470598586E-2</v>
      </c>
      <c r="O193" s="185">
        <v>4.7518403612488047E-2</v>
      </c>
      <c r="P193" s="229">
        <v>4.5691898724467092E-2</v>
      </c>
      <c r="Q193" s="93"/>
    </row>
    <row r="194" spans="2:17" s="184" customFormat="1" ht="14">
      <c r="B194" s="67" t="s">
        <v>77</v>
      </c>
      <c r="C194" s="93"/>
      <c r="D194" s="93"/>
      <c r="E194" s="228">
        <v>0.21960114124914501</v>
      </c>
      <c r="F194" s="185">
        <v>0.18844166750750391</v>
      </c>
      <c r="G194" s="185">
        <v>0.1846767725598685</v>
      </c>
      <c r="H194" s="185">
        <v>0.18194398996922762</v>
      </c>
      <c r="I194" s="185">
        <v>0.18065146164692278</v>
      </c>
      <c r="J194" s="185">
        <v>0.17977374618702091</v>
      </c>
      <c r="K194" s="185">
        <v>0.17889999688263183</v>
      </c>
      <c r="L194" s="185">
        <v>0.1791573186986832</v>
      </c>
      <c r="M194" s="185">
        <v>0.17964610245644441</v>
      </c>
      <c r="N194" s="185">
        <v>0.1805770007081654</v>
      </c>
      <c r="O194" s="185">
        <v>0.18168784756927692</v>
      </c>
      <c r="P194" s="229">
        <v>0.18290722417720154</v>
      </c>
      <c r="Q194" s="93"/>
    </row>
    <row r="195" spans="2:17" s="184" customFormat="1" ht="14">
      <c r="B195" s="67" t="s">
        <v>0</v>
      </c>
      <c r="C195" s="93"/>
      <c r="D195" s="93"/>
      <c r="E195" s="228">
        <v>7.6798047475991865E-2</v>
      </c>
      <c r="F195" s="185">
        <v>6.5212440350235212E-2</v>
      </c>
      <c r="G195" s="185">
        <v>6.6199874642625264E-2</v>
      </c>
      <c r="H195" s="185">
        <v>6.455101778839728E-2</v>
      </c>
      <c r="I195" s="185">
        <v>6.3952981704837056E-2</v>
      </c>
      <c r="J195" s="185">
        <v>6.4193317769903349E-2</v>
      </c>
      <c r="K195" s="185">
        <v>6.4231690757333454E-2</v>
      </c>
      <c r="L195" s="185">
        <v>6.4542941572152693E-2</v>
      </c>
      <c r="M195" s="185">
        <v>6.5003516898483438E-2</v>
      </c>
      <c r="N195" s="185">
        <v>6.5582799381242424E-2</v>
      </c>
      <c r="O195" s="185">
        <v>6.6243189902071259E-2</v>
      </c>
      <c r="P195" s="229">
        <v>6.6930258107887663E-2</v>
      </c>
      <c r="Q195" s="93"/>
    </row>
    <row r="196" spans="2:17" s="184" customFormat="1" ht="14">
      <c r="B196" s="71" t="s">
        <v>79</v>
      </c>
      <c r="C196" s="96"/>
      <c r="D196" s="96"/>
      <c r="E196" s="230">
        <v>0</v>
      </c>
      <c r="F196" s="231">
        <v>0</v>
      </c>
      <c r="G196" s="231">
        <v>-3.5640141914732672E-2</v>
      </c>
      <c r="H196" s="231">
        <v>-3.1972683797333715E-2</v>
      </c>
      <c r="I196" s="231">
        <v>-2.8876514633988978E-2</v>
      </c>
      <c r="J196" s="231">
        <v>-2.6260731496645574E-2</v>
      </c>
      <c r="K196" s="231">
        <v>-2.469145521427852E-2</v>
      </c>
      <c r="L196" s="231">
        <v>-2.3064805342921005E-2</v>
      </c>
      <c r="M196" s="231">
        <v>-2.1452679940032679E-2</v>
      </c>
      <c r="N196" s="231">
        <v>-1.9819602084623272E-2</v>
      </c>
      <c r="O196" s="231">
        <v>-1.8251639554140907E-2</v>
      </c>
      <c r="P196" s="232">
        <v>-1.676981165483013E-2</v>
      </c>
      <c r="Q196" s="93"/>
    </row>
    <row r="197" spans="2:17" s="184" customFormat="1" ht="14">
      <c r="B197" s="114"/>
      <c r="C197" s="93"/>
      <c r="D197" s="93"/>
      <c r="E197" s="94"/>
      <c r="F197" s="93"/>
      <c r="G197" s="93"/>
      <c r="H197" s="93"/>
      <c r="I197" s="93"/>
      <c r="J197" s="93"/>
      <c r="K197" s="93"/>
      <c r="L197" s="93"/>
      <c r="M197" s="93"/>
      <c r="N197" s="93"/>
      <c r="O197" s="93"/>
      <c r="P197" s="93"/>
      <c r="Q197" s="93"/>
    </row>
    <row r="198" spans="2:17" s="184" customFormat="1" ht="14">
      <c r="B198" s="114"/>
      <c r="C198" s="93"/>
      <c r="D198" s="93"/>
      <c r="E198" s="233"/>
      <c r="F198" s="234"/>
      <c r="G198" s="234"/>
      <c r="H198" s="234"/>
      <c r="I198" s="234"/>
      <c r="J198" s="234"/>
      <c r="K198" s="234"/>
      <c r="L198" s="234"/>
      <c r="M198" s="234"/>
      <c r="N198" s="234"/>
      <c r="O198" s="234"/>
      <c r="P198" s="234"/>
      <c r="Q198" s="93"/>
    </row>
    <row r="199" spans="2:17" ht="14.25" customHeight="1"/>
    <row r="200" spans="2:17" ht="14.25" customHeight="1"/>
    <row r="201" spans="2:17" ht="14.25" customHeight="1"/>
    <row r="202" spans="2:17" ht="14.25" customHeight="1"/>
    <row r="203" spans="2:17" ht="14.25" customHeight="1"/>
    <row r="204" spans="2:17" ht="14.25" customHeight="1"/>
    <row r="205" spans="2:17" ht="14.25" customHeight="1"/>
    <row r="206" spans="2:17" ht="14.25" customHeight="1"/>
    <row r="207" spans="2:17" ht="14.25" hidden="1" customHeight="1"/>
    <row r="208" spans="2:17" ht="14.25" hidden="1" customHeight="1"/>
    <row r="209" ht="14.25" hidden="1" customHeight="1"/>
    <row r="210" ht="14.25" hidden="1" customHeight="1"/>
    <row r="211" ht="14.25" hidden="1" customHeight="1"/>
    <row r="212" ht="14.25" hidden="1" customHeight="1"/>
    <row r="213" ht="14.25" hidden="1" customHeight="1"/>
    <row r="214" ht="14.25" hidden="1" customHeight="1"/>
    <row r="215" ht="14.25" hidden="1" customHeight="1"/>
    <row r="216" ht="14.25" hidden="1" customHeight="1"/>
    <row r="217" ht="14.25" hidden="1" customHeight="1"/>
    <row r="218" ht="14.25" hidden="1" customHeight="1"/>
    <row r="219" ht="14.25" hidden="1" customHeight="1"/>
    <row r="220" ht="14.25" hidden="1" customHeight="1"/>
    <row r="221" ht="14.25" hidden="1" customHeight="1"/>
    <row r="222" ht="14.25" hidden="1" customHeight="1"/>
    <row r="223" ht="14.25" hidden="1" customHeight="1"/>
    <row r="224" ht="14.25" hidden="1" customHeight="1"/>
    <row r="225" ht="14.25" hidden="1" customHeight="1"/>
    <row r="226" ht="14.25" hidden="1" customHeight="1"/>
    <row r="227" ht="14.25" hidden="1" customHeight="1"/>
    <row r="228" ht="14.25" hidden="1" customHeight="1"/>
    <row r="229" ht="14.25" hidden="1" customHeight="1"/>
    <row r="230" ht="14.25" hidden="1" customHeight="1"/>
    <row r="231" ht="14.25" hidden="1" customHeight="1"/>
    <row r="232" ht="14.25" hidden="1" customHeight="1"/>
    <row r="233" ht="14.25" hidden="1" customHeight="1"/>
    <row r="234" ht="14.25" hidden="1" customHeight="1"/>
    <row r="235" ht="14.25" hidden="1" customHeight="1"/>
    <row r="236" ht="14.25" hidden="1" customHeight="1"/>
    <row r="237" ht="14.25" hidden="1" customHeight="1"/>
    <row r="238" ht="14.25" hidden="1" customHeight="1"/>
    <row r="239" ht="14.25" hidden="1" customHeight="1"/>
    <row r="240" ht="14.25" hidden="1" customHeight="1"/>
    <row r="241" ht="14.25" hidden="1" customHeight="1"/>
    <row r="242" ht="14.25" hidden="1" customHeight="1"/>
    <row r="243" ht="14.25" hidden="1" customHeight="1"/>
    <row r="244" ht="14.25" hidden="1" customHeight="1"/>
    <row r="245" ht="14.25" hidden="1" customHeight="1"/>
    <row r="246" ht="14.25" hidden="1" customHeight="1"/>
    <row r="247" ht="14.25" hidden="1" customHeight="1"/>
    <row r="248" ht="14.25" hidden="1" customHeight="1"/>
    <row r="249" ht="14.25" hidden="1" customHeight="1"/>
    <row r="250" ht="14.25" hidden="1" customHeight="1"/>
    <row r="251" ht="14.25" hidden="1" customHeight="1"/>
    <row r="252" ht="14.25" hidden="1" customHeight="1"/>
    <row r="253" ht="14.25" hidden="1" customHeight="1"/>
    <row r="254" ht="14.25" hidden="1" customHeight="1"/>
    <row r="255" ht="14.25" hidden="1" customHeight="1"/>
    <row r="256" ht="14.25" hidden="1" customHeight="1"/>
    <row r="257" ht="14.25" hidden="1" customHeight="1"/>
    <row r="258" ht="14.25" hidden="1" customHeight="1"/>
    <row r="259" ht="14.25" hidden="1" customHeight="1"/>
    <row r="260" ht="14.25" hidden="1" customHeight="1"/>
    <row r="261" ht="14.25" hidden="1" customHeight="1"/>
    <row r="262" ht="14.25" hidden="1" customHeight="1"/>
    <row r="263" ht="14.25" hidden="1" customHeight="1"/>
    <row r="264" ht="14.25" hidden="1" customHeight="1"/>
    <row r="265" ht="14.25" hidden="1" customHeight="1"/>
    <row r="266" ht="14.25" hidden="1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hidden="1" customHeight="1"/>
    <row r="275" ht="14.25" hidden="1" customHeight="1"/>
    <row r="276" ht="14.25" hidden="1" customHeight="1"/>
    <row r="277" ht="14.25" hidden="1" customHeight="1"/>
    <row r="278" ht="14.25" hidden="1" customHeight="1"/>
    <row r="279" ht="14.25" hidden="1" customHeight="1"/>
    <row r="280" ht="14.25" hidden="1" customHeight="1"/>
    <row r="281" ht="14.25" hidden="1" customHeight="1"/>
    <row r="282" ht="14.25" hidden="1" customHeight="1"/>
    <row r="283" ht="14.25" hidden="1" customHeight="1"/>
    <row r="284" ht="14.25" hidden="1" customHeight="1"/>
    <row r="285" ht="14.25" hidden="1" customHeight="1"/>
    <row r="286" ht="14.25" hidden="1" customHeight="1"/>
    <row r="287" ht="14.25" hidden="1" customHeight="1"/>
    <row r="288" ht="14.25" hidden="1" customHeight="1"/>
    <row r="289" ht="14.25" hidden="1" customHeight="1"/>
    <row r="290" ht="14.25" hidden="1" customHeight="1"/>
    <row r="291" ht="14.25" hidden="1" customHeight="1"/>
    <row r="292" ht="14.25" hidden="1" customHeight="1"/>
    <row r="293" ht="14.25" hidden="1" customHeight="1"/>
    <row r="294" ht="14.25" hidden="1" customHeight="1"/>
    <row r="295" ht="14.25" hidden="1" customHeight="1"/>
    <row r="296" ht="14.25" hidden="1" customHeight="1"/>
    <row r="297" ht="14.25" hidden="1" customHeight="1"/>
    <row r="298" ht="14.25" hidden="1" customHeight="1"/>
    <row r="299" ht="14.25" hidden="1" customHeight="1"/>
    <row r="300" ht="14.25" hidden="1" customHeight="1"/>
    <row r="301" ht="14.25" hidden="1" customHeight="1"/>
    <row r="302" ht="14.25" hidden="1" customHeight="1"/>
    <row r="303" ht="14.25" hidden="1" customHeight="1"/>
    <row r="304" ht="14.25" hidden="1" customHeight="1"/>
    <row r="305" ht="14.25" hidden="1" customHeight="1"/>
    <row r="306" ht="14.25" hidden="1" customHeight="1"/>
    <row r="307" ht="14.25" hidden="1" customHeight="1"/>
    <row r="308" ht="14.25" hidden="1" customHeight="1"/>
    <row r="309" ht="14.25" hidden="1" customHeight="1"/>
    <row r="310" ht="14.25" hidden="1" customHeight="1"/>
    <row r="311" ht="14.25" hidden="1" customHeight="1"/>
    <row r="312" ht="14.25" hidden="1" customHeight="1"/>
    <row r="313" ht="14.25" hidden="1" customHeight="1"/>
    <row r="314" ht="14.25" hidden="1" customHeight="1"/>
    <row r="315" ht="14.25" hidden="1" customHeight="1"/>
    <row r="316" ht="14.25" hidden="1" customHeight="1"/>
    <row r="317" ht="14.25" hidden="1" customHeight="1"/>
    <row r="318" ht="14.25" hidden="1" customHeight="1"/>
    <row r="319" ht="14.25" hidden="1" customHeight="1"/>
    <row r="320" ht="14.25" hidden="1" customHeight="1"/>
    <row r="321" ht="14.25" hidden="1" customHeight="1"/>
    <row r="322" ht="14.25" hidden="1" customHeight="1"/>
    <row r="323" ht="14.25" hidden="1" customHeight="1"/>
    <row r="324" ht="14.25" hidden="1" customHeight="1"/>
    <row r="325" ht="14.25" hidden="1" customHeight="1"/>
    <row r="326" ht="14.25" hidden="1" customHeight="1"/>
    <row r="327" ht="14.25" hidden="1" customHeight="1"/>
    <row r="328" ht="14.25" hidden="1" customHeight="1"/>
    <row r="329" ht="14.25" hidden="1" customHeight="1"/>
    <row r="330" ht="14.25" hidden="1" customHeight="1"/>
    <row r="331" ht="14.25" hidden="1" customHeight="1"/>
    <row r="332" ht="14.25" hidden="1" customHeight="1"/>
    <row r="333" ht="14.25" hidden="1" customHeight="1"/>
    <row r="334" ht="14.25" hidden="1" customHeight="1"/>
    <row r="335" ht="14.25" hidden="1" customHeight="1"/>
    <row r="336" ht="14.25" hidden="1" customHeight="1"/>
    <row r="337" ht="14.25" hidden="1" customHeight="1"/>
    <row r="338" ht="14.25" hidden="1" customHeight="1"/>
    <row r="339" ht="14.25" hidden="1" customHeight="1"/>
    <row r="340" ht="14.25" hidden="1" customHeight="1"/>
    <row r="341" ht="14.25" hidden="1" customHeight="1"/>
    <row r="342" ht="14.25" hidden="1" customHeight="1"/>
    <row r="343" ht="14.25" hidden="1" customHeight="1"/>
    <row r="344" ht="14.25" hidden="1" customHeight="1"/>
    <row r="345" ht="14.25" hidden="1" customHeight="1"/>
    <row r="346" ht="14.25" hidden="1" customHeight="1"/>
    <row r="347" ht="14.25" hidden="1" customHeight="1"/>
    <row r="348" ht="14.25" hidden="1" customHeight="1"/>
    <row r="349" ht="14.25" hidden="1" customHeight="1"/>
    <row r="350" ht="14.25" hidden="1" customHeight="1"/>
    <row r="351" ht="14.25" hidden="1" customHeight="1"/>
    <row r="352" ht="14.25" hidden="1" customHeight="1"/>
    <row r="353" ht="14.25" hidden="1" customHeight="1"/>
    <row r="354" ht="14.25" hidden="1" customHeight="1"/>
    <row r="355" ht="14.25" hidden="1" customHeight="1"/>
    <row r="356" ht="14.25" hidden="1" customHeight="1"/>
    <row r="357" ht="14.25" hidden="1" customHeight="1"/>
    <row r="358" ht="14.25" hidden="1" customHeight="1"/>
    <row r="359" ht="14.25" hidden="1" customHeight="1"/>
    <row r="360" ht="14.25" hidden="1" customHeight="1"/>
    <row r="361" ht="14.25" hidden="1" customHeight="1"/>
    <row r="362" ht="14.25" hidden="1" customHeight="1"/>
    <row r="363" ht="14.25" hidden="1" customHeight="1"/>
    <row r="364" ht="14.25" hidden="1" customHeight="1"/>
    <row r="365" ht="14.25" hidden="1" customHeight="1"/>
    <row r="366" ht="14.25" hidden="1" customHeight="1"/>
    <row r="367" ht="14.25" hidden="1" customHeight="1"/>
    <row r="368" ht="14.25" hidden="1" customHeight="1"/>
    <row r="369" ht="14.25" hidden="1" customHeight="1"/>
    <row r="370" ht="14.25" hidden="1" customHeight="1"/>
    <row r="371" ht="14.25" hidden="1" customHeight="1"/>
    <row r="372" ht="14.25" hidden="1" customHeight="1"/>
    <row r="373" ht="14.25" hidden="1" customHeight="1"/>
    <row r="374" ht="14.25" customHeight="1"/>
    <row r="375" ht="14.25" customHeight="1"/>
  </sheetData>
  <dataConsolidate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P45"/>
  <sheetViews>
    <sheetView showGridLines="0" zoomScale="120" zoomScaleNormal="120" workbookViewId="0">
      <selection activeCell="G55" sqref="G55"/>
    </sheetView>
  </sheetViews>
  <sheetFormatPr baseColWidth="10" defaultColWidth="13.3984375" defaultRowHeight="14" outlineLevelCol="1"/>
  <cols>
    <col min="1" max="1" width="2.19921875" style="1" customWidth="1"/>
    <col min="2" max="5" width="13.3984375" style="1"/>
    <col min="6" max="6" width="13.3984375" style="1" customWidth="1" outlineLevel="1"/>
    <col min="7" max="16384" width="13.3984375" style="1"/>
  </cols>
  <sheetData>
    <row r="1" spans="1:16" ht="11.25" customHeight="1"/>
    <row r="2" spans="1:16" ht="17">
      <c r="A2" s="2"/>
      <c r="B2" s="3" t="s">
        <v>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>
      <c r="A3" s="2"/>
      <c r="B3" s="5"/>
      <c r="C3" s="5"/>
      <c r="D3" s="5"/>
      <c r="E3" s="5"/>
      <c r="F3" s="6"/>
      <c r="G3" s="45"/>
      <c r="H3" s="45"/>
      <c r="I3" s="45"/>
      <c r="J3" s="45"/>
      <c r="K3" s="45"/>
      <c r="L3" s="45"/>
      <c r="M3" s="45"/>
      <c r="N3" s="45"/>
      <c r="O3" s="45"/>
      <c r="P3" s="45"/>
    </row>
    <row r="4" spans="1:16" ht="17">
      <c r="A4" s="2"/>
      <c r="B4" s="5"/>
      <c r="C4" s="5"/>
      <c r="D4" s="5"/>
      <c r="E4" s="5"/>
      <c r="F4" s="7" t="s">
        <v>9</v>
      </c>
      <c r="G4" s="8"/>
      <c r="H4" s="8"/>
      <c r="I4" s="8"/>
      <c r="J4" s="8"/>
      <c r="K4" s="9"/>
      <c r="L4" s="9"/>
      <c r="M4" s="9"/>
      <c r="N4" s="9"/>
      <c r="O4" s="9"/>
      <c r="P4" s="9"/>
    </row>
    <row r="5" spans="1:16">
      <c r="A5" s="2"/>
      <c r="B5" s="10"/>
      <c r="C5" s="5"/>
      <c r="D5" s="5"/>
      <c r="E5" s="5"/>
      <c r="F5" s="11">
        <v>1</v>
      </c>
      <c r="G5" s="11">
        <v>2</v>
      </c>
      <c r="H5" s="11">
        <v>3</v>
      </c>
      <c r="I5" s="11">
        <v>4</v>
      </c>
      <c r="J5" s="11">
        <v>5</v>
      </c>
      <c r="K5" s="11">
        <v>6</v>
      </c>
      <c r="L5" s="11">
        <v>7</v>
      </c>
      <c r="M5" s="11">
        <v>8</v>
      </c>
      <c r="N5" s="11">
        <v>9</v>
      </c>
      <c r="O5" s="11">
        <v>10</v>
      </c>
      <c r="P5" s="11">
        <v>11</v>
      </c>
    </row>
    <row r="6" spans="1:16" ht="17">
      <c r="A6" s="2"/>
      <c r="B6" s="10"/>
      <c r="C6" s="5"/>
      <c r="D6" s="5"/>
      <c r="E6" s="5"/>
      <c r="F6" s="12">
        <v>2017</v>
      </c>
      <c r="G6" s="12">
        <v>2018</v>
      </c>
      <c r="H6" s="12">
        <v>2019</v>
      </c>
      <c r="I6" s="12">
        <v>2020</v>
      </c>
      <c r="J6" s="12">
        <v>2021</v>
      </c>
      <c r="K6" s="12">
        <v>2022</v>
      </c>
      <c r="L6" s="12">
        <v>2023</v>
      </c>
      <c r="M6" s="12">
        <v>2024</v>
      </c>
      <c r="N6" s="12">
        <v>2025</v>
      </c>
      <c r="O6" s="12">
        <v>2026</v>
      </c>
      <c r="P6" s="12">
        <v>2027</v>
      </c>
    </row>
    <row r="7" spans="1:16">
      <c r="A7" s="2"/>
      <c r="B7" s="13" t="s">
        <v>10</v>
      </c>
      <c r="C7" s="14"/>
      <c r="D7" s="14"/>
      <c r="E7" s="14"/>
      <c r="F7" s="15"/>
      <c r="G7" s="15"/>
      <c r="H7" s="15"/>
      <c r="I7" s="15"/>
      <c r="J7" s="14"/>
    </row>
    <row r="8" spans="1:16">
      <c r="A8" s="2"/>
      <c r="B8" s="16" t="s">
        <v>11</v>
      </c>
      <c r="C8" s="5"/>
      <c r="D8" s="5"/>
      <c r="E8" s="5"/>
      <c r="F8" s="17" t="e">
        <f>CHOOSE('Proposed Structure'!$D$6,'Operating Assumptions'!F9,'Operating Assumptions'!F10,'Operating Assumptions'!F11)</f>
        <v>#REF!</v>
      </c>
      <c r="G8" s="17">
        <f>CHOOSE('Proposed Structure'!$D$6,'Operating Assumptions'!G9,'Operating Assumptions'!G10,'Operating Assumptions'!G11)</f>
        <v>0.20603695672079714</v>
      </c>
      <c r="H8" s="17">
        <f>CHOOSE('Proposed Structure'!$D$6,'Operating Assumptions'!H9,'Operating Assumptions'!H10,'Operating Assumptions'!H11)</f>
        <v>8.7883157079708951E-2</v>
      </c>
      <c r="I8" s="17">
        <f>CHOOSE('Proposed Structure'!$D$6,'Operating Assumptions'!I9,'Operating Assumptions'!I10,'Operating Assumptions'!I11)</f>
        <v>0.10946650795711088</v>
      </c>
      <c r="J8" s="17">
        <f>CHOOSE('Proposed Structure'!$D$6,'Operating Assumptions'!J9,'Operating Assumptions'!J10,'Operating Assumptions'!J11)</f>
        <v>0.11105796611523755</v>
      </c>
      <c r="K8" s="17">
        <f>CHOOSE('Proposed Structure'!$D$6,'Operating Assumptions'!K9,'Operating Assumptions'!K10,'Operating Assumptions'!K11)</f>
        <v>0.11275364484380956</v>
      </c>
      <c r="L8" s="17">
        <f>CHOOSE('Proposed Structure'!$D$6,'Operating Assumptions'!L9,'Operating Assumptions'!L10,'Operating Assumptions'!L11)</f>
        <v>7.2775691059856928E-2</v>
      </c>
      <c r="M8" s="17">
        <f>CHOOSE('Proposed Structure'!$D$6,'Operating Assumptions'!M9,'Operating Assumptions'!M10,'Operating Assumptions'!M11)</f>
        <v>8.0703336583695551E-2</v>
      </c>
      <c r="N8" s="17">
        <f>CHOOSE('Proposed Structure'!$D$6,'Operating Assumptions'!N9,'Operating Assumptions'!N10,'Operating Assumptions'!N11)</f>
        <v>8.3277017152226351E-2</v>
      </c>
      <c r="O8" s="17">
        <f>CHOOSE('Proposed Structure'!$D$6,'Operating Assumptions'!O9,'Operating Assumptions'!O10,'Operating Assumptions'!O11)</f>
        <v>8.5996991437446102E-2</v>
      </c>
      <c r="P8" s="17">
        <f>CHOOSE('Proposed Structure'!$D$6,'Operating Assumptions'!P9,'Operating Assumptions'!P10,'Operating Assumptions'!P11)</f>
        <v>8.8861397639814266E-2</v>
      </c>
    </row>
    <row r="9" spans="1:16">
      <c r="A9" s="2"/>
      <c r="B9" s="10" t="s">
        <v>12</v>
      </c>
      <c r="C9" s="5"/>
      <c r="D9" s="5"/>
      <c r="E9" s="5">
        <v>1</v>
      </c>
      <c r="F9" s="425" t="e">
        <f>#REF!</f>
        <v>#REF!</v>
      </c>
      <c r="G9" s="425">
        <f>'Inc St'!AC8</f>
        <v>0.20603695672079714</v>
      </c>
      <c r="H9" s="426">
        <f>'Inc St'!AD8</f>
        <v>8.7883157079708951E-2</v>
      </c>
      <c r="I9" s="426">
        <f>'Inc St'!AE8</f>
        <v>0.10946650795711088</v>
      </c>
      <c r="J9" s="426">
        <f>'Inc St'!AF8</f>
        <v>0.11105796611523755</v>
      </c>
      <c r="K9" s="426">
        <f>'Inc St'!AG8</f>
        <v>0.11275364484380956</v>
      </c>
      <c r="L9" s="426">
        <f>'Inc St'!AH8</f>
        <v>7.2775691059856928E-2</v>
      </c>
      <c r="M9" s="426">
        <f>'Inc St'!AI8</f>
        <v>8.0703336583695551E-2</v>
      </c>
      <c r="N9" s="426">
        <f>'Inc St'!AJ8</f>
        <v>8.3277017152226351E-2</v>
      </c>
      <c r="O9" s="426">
        <f>'Inc St'!AK8</f>
        <v>8.5996991437446102E-2</v>
      </c>
      <c r="P9" s="427">
        <f>'Inc St'!AL8</f>
        <v>8.8861397639814266E-2</v>
      </c>
    </row>
    <row r="10" spans="1:16">
      <c r="A10" s="2"/>
      <c r="B10" s="10" t="s">
        <v>13</v>
      </c>
      <c r="C10" s="5"/>
      <c r="D10" s="5"/>
      <c r="E10" s="5">
        <v>2</v>
      </c>
      <c r="F10" s="428" t="e">
        <f>F9</f>
        <v>#REF!</v>
      </c>
      <c r="G10" s="428">
        <f t="shared" ref="G10:M10" si="0">G9</f>
        <v>0.20603695672079714</v>
      </c>
      <c r="H10" s="429">
        <f t="shared" si="0"/>
        <v>8.7883157079708951E-2</v>
      </c>
      <c r="I10" s="429">
        <f t="shared" si="0"/>
        <v>0.10946650795711088</v>
      </c>
      <c r="J10" s="429">
        <f t="shared" si="0"/>
        <v>0.11105796611523755</v>
      </c>
      <c r="K10" s="429">
        <f t="shared" si="0"/>
        <v>0.11275364484380956</v>
      </c>
      <c r="L10" s="429">
        <f t="shared" si="0"/>
        <v>7.2775691059856928E-2</v>
      </c>
      <c r="M10" s="429">
        <f t="shared" si="0"/>
        <v>8.0703336583695551E-2</v>
      </c>
      <c r="N10" s="429">
        <f t="shared" ref="N10" si="1">N9</f>
        <v>8.3277017152226351E-2</v>
      </c>
      <c r="O10" s="429">
        <f t="shared" ref="O10" si="2">O9</f>
        <v>8.5996991437446102E-2</v>
      </c>
      <c r="P10" s="430">
        <f t="shared" ref="P10" si="3">P9</f>
        <v>8.8861397639814266E-2</v>
      </c>
    </row>
    <row r="11" spans="1:16">
      <c r="A11" s="2"/>
      <c r="B11" s="10" t="s">
        <v>14</v>
      </c>
      <c r="C11" s="5"/>
      <c r="D11" s="5"/>
      <c r="E11" s="5">
        <v>3</v>
      </c>
      <c r="F11" s="431" t="e">
        <f>F10</f>
        <v>#REF!</v>
      </c>
      <c r="G11" s="431">
        <v>7.0000000000000007E-2</v>
      </c>
      <c r="H11" s="796">
        <v>7.0000000000000007E-2</v>
      </c>
      <c r="I11" s="796">
        <v>7.0000000000000007E-2</v>
      </c>
      <c r="J11" s="796">
        <v>7.0000000000000007E-2</v>
      </c>
      <c r="K11" s="796">
        <v>7.0000000000000007E-2</v>
      </c>
      <c r="L11" s="796">
        <v>7.0000000000000007E-2</v>
      </c>
      <c r="M11" s="796">
        <v>7.0000000000000007E-2</v>
      </c>
      <c r="N11" s="796">
        <v>7.0000000000000007E-2</v>
      </c>
      <c r="O11" s="796">
        <v>7.0000000000000007E-2</v>
      </c>
      <c r="P11" s="797">
        <v>7.0000000000000007E-2</v>
      </c>
    </row>
    <row r="12" spans="1:16">
      <c r="A12" s="18"/>
      <c r="B12" s="16"/>
      <c r="C12" s="14"/>
      <c r="D12" s="14"/>
      <c r="E12" s="14"/>
      <c r="F12" s="19"/>
      <c r="G12" s="19"/>
      <c r="H12" s="19"/>
      <c r="I12" s="19"/>
      <c r="J12" s="19"/>
    </row>
    <row r="13" spans="1:16">
      <c r="A13" s="2"/>
      <c r="B13" s="16" t="s">
        <v>167</v>
      </c>
      <c r="C13" s="5"/>
      <c r="D13" s="5"/>
      <c r="E13" s="5"/>
      <c r="F13" s="795" t="e">
        <f>F14</f>
        <v>#REF!</v>
      </c>
      <c r="G13" s="17">
        <f t="shared" ref="G13:P13" si="4">G14</f>
        <v>1.0132617331889359E-3</v>
      </c>
      <c r="H13" s="17">
        <f t="shared" si="4"/>
        <v>9.7797710436510542E-4</v>
      </c>
      <c r="I13" s="17">
        <f t="shared" si="4"/>
        <v>9.2555832214725781E-4</v>
      </c>
      <c r="J13" s="17">
        <f t="shared" si="4"/>
        <v>8.7469445149887266E-4</v>
      </c>
      <c r="K13" s="17">
        <f t="shared" si="4"/>
        <v>8.2536613412102615E-4</v>
      </c>
      <c r="L13" s="17">
        <f t="shared" si="4"/>
        <v>8.0784310089174324E-4</v>
      </c>
      <c r="M13" s="17">
        <f t="shared" si="4"/>
        <v>7.8489186367996242E-4</v>
      </c>
      <c r="N13" s="17">
        <f t="shared" si="4"/>
        <v>7.6078089335864646E-4</v>
      </c>
      <c r="O13" s="17">
        <f t="shared" si="4"/>
        <v>7.3556367496860722E-4</v>
      </c>
      <c r="P13" s="17">
        <f t="shared" si="4"/>
        <v>7.0931145175239408E-4</v>
      </c>
    </row>
    <row r="14" spans="1:16">
      <c r="A14" s="2"/>
      <c r="B14" s="10" t="s">
        <v>12</v>
      </c>
      <c r="C14" s="5"/>
      <c r="D14" s="5"/>
      <c r="E14" s="5">
        <v>1</v>
      </c>
      <c r="F14" s="425" t="e">
        <f>#REF!</f>
        <v>#REF!</v>
      </c>
      <c r="G14" s="425">
        <f>'Inc St'!AC14</f>
        <v>1.0132617331889359E-3</v>
      </c>
      <c r="H14" s="426">
        <f>'Inc St'!AD14</f>
        <v>9.7797710436510542E-4</v>
      </c>
      <c r="I14" s="426">
        <f>'Inc St'!AE14</f>
        <v>9.2555832214725781E-4</v>
      </c>
      <c r="J14" s="426">
        <f>'Inc St'!AF14</f>
        <v>8.7469445149887266E-4</v>
      </c>
      <c r="K14" s="426">
        <f>'Inc St'!AG14</f>
        <v>8.2536613412102615E-4</v>
      </c>
      <c r="L14" s="426">
        <f>'Inc St'!AH14</f>
        <v>8.0784310089174324E-4</v>
      </c>
      <c r="M14" s="426">
        <f>'Inc St'!AI14</f>
        <v>7.8489186367996242E-4</v>
      </c>
      <c r="N14" s="426">
        <f>'Inc St'!AJ14</f>
        <v>7.6078089335864646E-4</v>
      </c>
      <c r="O14" s="426">
        <f>'Inc St'!AK14</f>
        <v>7.3556367496860722E-4</v>
      </c>
      <c r="P14" s="427">
        <f>'Inc St'!AL14</f>
        <v>7.0931145175239408E-4</v>
      </c>
    </row>
    <row r="15" spans="1:16">
      <c r="A15" s="2"/>
      <c r="B15" s="10" t="s">
        <v>13</v>
      </c>
      <c r="C15" s="5"/>
      <c r="D15" s="5"/>
      <c r="E15" s="5">
        <v>2</v>
      </c>
      <c r="F15" s="428" t="e">
        <f>F14</f>
        <v>#REF!</v>
      </c>
      <c r="G15" s="428">
        <f t="shared" ref="G15:P15" si="5">G14</f>
        <v>1.0132617331889359E-3</v>
      </c>
      <c r="H15" s="429">
        <f t="shared" si="5"/>
        <v>9.7797710436510542E-4</v>
      </c>
      <c r="I15" s="429">
        <f t="shared" si="5"/>
        <v>9.2555832214725781E-4</v>
      </c>
      <c r="J15" s="429">
        <f t="shared" si="5"/>
        <v>8.7469445149887266E-4</v>
      </c>
      <c r="K15" s="429">
        <f t="shared" si="5"/>
        <v>8.2536613412102615E-4</v>
      </c>
      <c r="L15" s="429">
        <f t="shared" si="5"/>
        <v>8.0784310089174324E-4</v>
      </c>
      <c r="M15" s="429">
        <f t="shared" si="5"/>
        <v>7.8489186367996242E-4</v>
      </c>
      <c r="N15" s="429">
        <f t="shared" si="5"/>
        <v>7.6078089335864646E-4</v>
      </c>
      <c r="O15" s="429">
        <f t="shared" si="5"/>
        <v>7.3556367496860722E-4</v>
      </c>
      <c r="P15" s="430">
        <f t="shared" si="5"/>
        <v>7.0931145175239408E-4</v>
      </c>
    </row>
    <row r="16" spans="1:16">
      <c r="A16" s="2"/>
      <c r="B16" s="10" t="s">
        <v>14</v>
      </c>
      <c r="C16" s="5"/>
      <c r="D16" s="5"/>
      <c r="E16" s="5">
        <v>3</v>
      </c>
      <c r="F16" s="435" t="e">
        <f>F14</f>
        <v>#REF!</v>
      </c>
      <c r="G16" s="435">
        <f t="shared" ref="G16:P16" si="6">G14</f>
        <v>1.0132617331889359E-3</v>
      </c>
      <c r="H16" s="798">
        <f t="shared" si="6"/>
        <v>9.7797710436510542E-4</v>
      </c>
      <c r="I16" s="798">
        <f t="shared" si="6"/>
        <v>9.2555832214725781E-4</v>
      </c>
      <c r="J16" s="798">
        <f t="shared" si="6"/>
        <v>8.7469445149887266E-4</v>
      </c>
      <c r="K16" s="798">
        <f t="shared" si="6"/>
        <v>8.2536613412102615E-4</v>
      </c>
      <c r="L16" s="798">
        <f t="shared" si="6"/>
        <v>8.0784310089174324E-4</v>
      </c>
      <c r="M16" s="799">
        <f t="shared" si="6"/>
        <v>7.8489186367996242E-4</v>
      </c>
      <c r="N16" s="799">
        <f t="shared" si="6"/>
        <v>7.6078089335864646E-4</v>
      </c>
      <c r="O16" s="799">
        <f t="shared" si="6"/>
        <v>7.3556367496860722E-4</v>
      </c>
      <c r="P16" s="800">
        <f t="shared" si="6"/>
        <v>7.0931145175239408E-4</v>
      </c>
    </row>
    <row r="17" spans="1:16">
      <c r="A17" s="2"/>
      <c r="B17" s="10"/>
      <c r="C17" s="5"/>
      <c r="D17" s="5"/>
      <c r="E17" s="5"/>
      <c r="F17" s="20"/>
      <c r="G17" s="20"/>
      <c r="H17" s="20"/>
      <c r="I17" s="20"/>
      <c r="J17" s="20"/>
    </row>
    <row r="18" spans="1:16" s="22" customFormat="1">
      <c r="A18" s="18"/>
      <c r="B18" s="16" t="s">
        <v>15</v>
      </c>
      <c r="C18" s="5"/>
      <c r="D18" s="5"/>
      <c r="E18" s="5"/>
      <c r="F18" s="17" t="e">
        <f>CHOOSE('Proposed Structure'!$D$6,'Operating Assumptions'!F19,'Operating Assumptions'!F20,'Operating Assumptions'!F21)</f>
        <v>#REF!</v>
      </c>
      <c r="G18" s="17">
        <f>CHOOSE('Proposed Structure'!$D$6,'Operating Assumptions'!G19,'Operating Assumptions'!G20,'Operating Assumptions'!G21)</f>
        <v>0.33500000000000002</v>
      </c>
      <c r="H18" s="17">
        <f>CHOOSE('Proposed Structure'!$D$6,'Operating Assumptions'!H19,'Operating Assumptions'!H20,'Operating Assumptions'!H21)</f>
        <v>0.33499999999999996</v>
      </c>
      <c r="I18" s="17">
        <f>CHOOSE('Proposed Structure'!$D$6,'Operating Assumptions'!I19,'Operating Assumptions'!I20,'Operating Assumptions'!I21)</f>
        <v>0.33500000000000002</v>
      </c>
      <c r="J18" s="17">
        <f>CHOOSE('Proposed Structure'!$D$6,'Operating Assumptions'!J19,'Operating Assumptions'!J20,'Operating Assumptions'!J21)</f>
        <v>0.33500000000000002</v>
      </c>
      <c r="K18" s="17">
        <f>CHOOSE('Proposed Structure'!$D$6,'Operating Assumptions'!K19,'Operating Assumptions'!K20,'Operating Assumptions'!K21)</f>
        <v>0.33500000000000002</v>
      </c>
      <c r="L18" s="17">
        <f>CHOOSE('Proposed Structure'!$D$6,'Operating Assumptions'!L19,'Operating Assumptions'!L20,'Operating Assumptions'!L21)</f>
        <v>0.33500000000000002</v>
      </c>
      <c r="M18" s="17">
        <f>CHOOSE('Proposed Structure'!$D$6,'Operating Assumptions'!M19,'Operating Assumptions'!M20,'Operating Assumptions'!M21)</f>
        <v>0.33500000000000002</v>
      </c>
      <c r="N18" s="17">
        <f>CHOOSE('Proposed Structure'!$D$6,'Operating Assumptions'!N19,'Operating Assumptions'!N20,'Operating Assumptions'!N21)</f>
        <v>0.33500000000000002</v>
      </c>
      <c r="O18" s="17">
        <f>CHOOSE('Proposed Structure'!$D$6,'Operating Assumptions'!O19,'Operating Assumptions'!O20,'Operating Assumptions'!O21)</f>
        <v>0.33500000000000002</v>
      </c>
      <c r="P18" s="17">
        <f>CHOOSE('Proposed Structure'!$D$6,'Operating Assumptions'!P19,'Operating Assumptions'!P20,'Operating Assumptions'!P21)</f>
        <v>0.33500000000000002</v>
      </c>
    </row>
    <row r="19" spans="1:16" s="22" customFormat="1">
      <c r="A19" s="18"/>
      <c r="B19" s="10" t="s">
        <v>12</v>
      </c>
      <c r="C19" s="5"/>
      <c r="D19" s="5"/>
      <c r="E19" s="5">
        <v>1</v>
      </c>
      <c r="F19" s="425" t="e">
        <f>#REF!</f>
        <v>#REF!</v>
      </c>
      <c r="G19" s="425">
        <f>'Inc St'!AC24</f>
        <v>0.33500000000000002</v>
      </c>
      <c r="H19" s="426">
        <f>'Inc St'!AD24</f>
        <v>0.33499999999999996</v>
      </c>
      <c r="I19" s="426">
        <f>'Inc St'!AE24</f>
        <v>0.33500000000000002</v>
      </c>
      <c r="J19" s="426">
        <f>'Inc St'!AF24</f>
        <v>0.33500000000000002</v>
      </c>
      <c r="K19" s="426">
        <f>'Inc St'!AG24</f>
        <v>0.33500000000000002</v>
      </c>
      <c r="L19" s="426">
        <f>'Inc St'!AH24</f>
        <v>0.33500000000000002</v>
      </c>
      <c r="M19" s="426">
        <f>'Inc St'!AI24</f>
        <v>0.33500000000000002</v>
      </c>
      <c r="N19" s="426">
        <f>'Inc St'!AJ24</f>
        <v>0.33500000000000002</v>
      </c>
      <c r="O19" s="426">
        <f>'Inc St'!AK24</f>
        <v>0.33500000000000002</v>
      </c>
      <c r="P19" s="427">
        <f>'Inc St'!AL24</f>
        <v>0.33500000000000002</v>
      </c>
    </row>
    <row r="20" spans="1:16" s="22" customFormat="1">
      <c r="A20" s="18"/>
      <c r="B20" s="10" t="s">
        <v>13</v>
      </c>
      <c r="C20" s="5"/>
      <c r="D20" s="5"/>
      <c r="E20" s="5">
        <v>2</v>
      </c>
      <c r="F20" s="428" t="e">
        <f>F19</f>
        <v>#REF!</v>
      </c>
      <c r="G20" s="428">
        <f t="shared" ref="G20" si="7">G19</f>
        <v>0.33500000000000002</v>
      </c>
      <c r="H20" s="429">
        <f t="shared" ref="H20" si="8">H19</f>
        <v>0.33499999999999996</v>
      </c>
      <c r="I20" s="429">
        <f t="shared" ref="I20" si="9">I19</f>
        <v>0.33500000000000002</v>
      </c>
      <c r="J20" s="429">
        <f t="shared" ref="J20" si="10">J19</f>
        <v>0.33500000000000002</v>
      </c>
      <c r="K20" s="429">
        <f t="shared" ref="K20" si="11">K19</f>
        <v>0.33500000000000002</v>
      </c>
      <c r="L20" s="429">
        <f t="shared" ref="L20" si="12">L19</f>
        <v>0.33500000000000002</v>
      </c>
      <c r="M20" s="429">
        <f t="shared" ref="M20" si="13">M19</f>
        <v>0.33500000000000002</v>
      </c>
      <c r="N20" s="429">
        <f t="shared" ref="N20" si="14">N19</f>
        <v>0.33500000000000002</v>
      </c>
      <c r="O20" s="429">
        <f t="shared" ref="O20" si="15">O19</f>
        <v>0.33500000000000002</v>
      </c>
      <c r="P20" s="430">
        <f t="shared" ref="P20" si="16">P19</f>
        <v>0.33500000000000002</v>
      </c>
    </row>
    <row r="21" spans="1:16" s="22" customFormat="1">
      <c r="A21" s="18"/>
      <c r="B21" s="10" t="s">
        <v>14</v>
      </c>
      <c r="C21" s="5"/>
      <c r="D21" s="5"/>
      <c r="E21" s="5">
        <v>3</v>
      </c>
      <c r="F21" s="435" t="e">
        <f>F19</f>
        <v>#REF!</v>
      </c>
      <c r="G21" s="435">
        <f t="shared" ref="G21:P21" si="17">G19</f>
        <v>0.33500000000000002</v>
      </c>
      <c r="H21" s="798">
        <f t="shared" si="17"/>
        <v>0.33499999999999996</v>
      </c>
      <c r="I21" s="798">
        <f t="shared" si="17"/>
        <v>0.33500000000000002</v>
      </c>
      <c r="J21" s="798">
        <f t="shared" si="17"/>
        <v>0.33500000000000002</v>
      </c>
      <c r="K21" s="798">
        <f t="shared" si="17"/>
        <v>0.33500000000000002</v>
      </c>
      <c r="L21" s="798">
        <f t="shared" si="17"/>
        <v>0.33500000000000002</v>
      </c>
      <c r="M21" s="799">
        <f t="shared" si="17"/>
        <v>0.33500000000000002</v>
      </c>
      <c r="N21" s="799">
        <f t="shared" si="17"/>
        <v>0.33500000000000002</v>
      </c>
      <c r="O21" s="799">
        <f t="shared" si="17"/>
        <v>0.33500000000000002</v>
      </c>
      <c r="P21" s="800">
        <f t="shared" si="17"/>
        <v>0.33500000000000002</v>
      </c>
    </row>
    <row r="22" spans="1:16" s="22" customFormat="1">
      <c r="A22" s="18"/>
      <c r="B22" s="16"/>
      <c r="C22" s="14"/>
      <c r="D22" s="14"/>
      <c r="E22" s="14"/>
      <c r="F22" s="21"/>
      <c r="G22" s="21"/>
      <c r="H22" s="21"/>
      <c r="I22" s="21"/>
      <c r="J22" s="21"/>
    </row>
    <row r="23" spans="1:16" s="22" customFormat="1">
      <c r="A23" s="18"/>
      <c r="B23" s="16" t="s">
        <v>1</v>
      </c>
      <c r="C23" s="5"/>
      <c r="D23" s="5"/>
      <c r="E23" s="5"/>
      <c r="F23" s="17" t="e">
        <f>CHOOSE('Proposed Structure'!$D$6,'Operating Assumptions'!F24,'Operating Assumptions'!F25,'Operating Assumptions'!F26)</f>
        <v>#REF!</v>
      </c>
      <c r="G23" s="17">
        <f>CHOOSE('Proposed Structure'!$D$6,'Operating Assumptions'!G24,'Operating Assumptions'!G25,'Operating Assumptions'!G26)</f>
        <v>8.9111412821361854E-2</v>
      </c>
      <c r="H23" s="17">
        <f>CHOOSE('Proposed Structure'!$D$6,'Operating Assumptions'!H24,'Operating Assumptions'!H25,'Operating Assumptions'!H26)</f>
        <v>9.0875859775765261E-2</v>
      </c>
      <c r="I23" s="17">
        <f>CHOOSE('Proposed Structure'!$D$6,'Operating Assumptions'!I24,'Operating Assumptions'!I25,'Operating Assumptions'!I26)</f>
        <v>9.0756353112413715E-2</v>
      </c>
      <c r="J23" s="17">
        <f>CHOOSE('Proposed Structure'!$D$6,'Operating Assumptions'!J24,'Operating Assumptions'!J25,'Operating Assumptions'!J26)</f>
        <v>9.0468704496502586E-2</v>
      </c>
      <c r="K23" s="17">
        <f>CHOOSE('Proposed Structure'!$D$6,'Operating Assumptions'!K24,'Operating Assumptions'!K25,'Operating Assumptions'!K26)</f>
        <v>9.0028341781406299E-2</v>
      </c>
      <c r="L23" s="17">
        <f>CHOOSE('Proposed Structure'!$D$6,'Operating Assumptions'!L24,'Operating Assumptions'!L25,'Operating Assumptions'!L26)</f>
        <v>9.1452773637144283E-2</v>
      </c>
      <c r="M23" s="17">
        <f>CHOOSE('Proposed Structure'!$D$6,'Operating Assumptions'!M24,'Operating Assumptions'!M25,'Operating Assumptions'!M26)</f>
        <v>9.0263950711316654E-2</v>
      </c>
      <c r="N23" s="17">
        <f>CHOOSE('Proposed Structure'!$D$6,'Operating Assumptions'!N24,'Operating Assumptions'!N25,'Operating Assumptions'!N26)</f>
        <v>8.8881363414500883E-2</v>
      </c>
      <c r="O23" s="17">
        <f>CHOOSE('Proposed Structure'!$D$6,'Operating Assumptions'!O24,'Operating Assumptions'!O25,'Operating Assumptions'!O26)</f>
        <v>8.730936220433913E-2</v>
      </c>
      <c r="P23" s="17">
        <f>CHOOSE('Proposed Structure'!$D$6,'Operating Assumptions'!P24,'Operating Assumptions'!P25,'Operating Assumptions'!P26)</f>
        <v>8.5553015171023636E-2</v>
      </c>
    </row>
    <row r="24" spans="1:16" s="22" customFormat="1">
      <c r="A24" s="18"/>
      <c r="B24" s="10" t="s">
        <v>12</v>
      </c>
      <c r="C24" s="5"/>
      <c r="D24" s="5"/>
      <c r="E24" s="5">
        <v>1</v>
      </c>
      <c r="F24" s="425" t="e">
        <f>#REF!</f>
        <v>#REF!</v>
      </c>
      <c r="G24" s="425">
        <f>'Inc St'!AC34</f>
        <v>8.9111412821361854E-2</v>
      </c>
      <c r="H24" s="426">
        <f>'Inc St'!AD34</f>
        <v>9.0875859775765261E-2</v>
      </c>
      <c r="I24" s="426">
        <f>'Inc St'!AE34</f>
        <v>9.0756353112413715E-2</v>
      </c>
      <c r="J24" s="426">
        <f>'Inc St'!AF34</f>
        <v>9.0468704496502586E-2</v>
      </c>
      <c r="K24" s="426">
        <f>'Inc St'!AG34</f>
        <v>9.0028341781406299E-2</v>
      </c>
      <c r="L24" s="426">
        <f>'Inc St'!AH34</f>
        <v>9.1452773637144283E-2</v>
      </c>
      <c r="M24" s="426">
        <f>'Inc St'!AI34</f>
        <v>9.0263950711316654E-2</v>
      </c>
      <c r="N24" s="426">
        <f>'Inc St'!AJ34</f>
        <v>8.8881363414500883E-2</v>
      </c>
      <c r="O24" s="426">
        <f>'Inc St'!AK34</f>
        <v>8.730936220433913E-2</v>
      </c>
      <c r="P24" s="427">
        <f>'Inc St'!AL34</f>
        <v>8.5553015171023636E-2</v>
      </c>
    </row>
    <row r="25" spans="1:16" s="22" customFormat="1">
      <c r="A25" s="18"/>
      <c r="B25" s="10" t="s">
        <v>13</v>
      </c>
      <c r="C25" s="5"/>
      <c r="D25" s="5"/>
      <c r="E25" s="5">
        <v>2</v>
      </c>
      <c r="F25" s="428" t="e">
        <f>F24</f>
        <v>#REF!</v>
      </c>
      <c r="G25" s="432">
        <f t="shared" ref="G25:P25" si="18">G24</f>
        <v>8.9111412821361854E-2</v>
      </c>
      <c r="H25" s="433">
        <f t="shared" si="18"/>
        <v>9.0875859775765261E-2</v>
      </c>
      <c r="I25" s="433">
        <f t="shared" si="18"/>
        <v>9.0756353112413715E-2</v>
      </c>
      <c r="J25" s="433">
        <f t="shared" si="18"/>
        <v>9.0468704496502586E-2</v>
      </c>
      <c r="K25" s="433">
        <f t="shared" si="18"/>
        <v>9.0028341781406299E-2</v>
      </c>
      <c r="L25" s="433">
        <f t="shared" si="18"/>
        <v>9.1452773637144283E-2</v>
      </c>
      <c r="M25" s="433">
        <f t="shared" si="18"/>
        <v>9.0263950711316654E-2</v>
      </c>
      <c r="N25" s="433">
        <f t="shared" si="18"/>
        <v>8.8881363414500883E-2</v>
      </c>
      <c r="O25" s="433">
        <f t="shared" si="18"/>
        <v>8.730936220433913E-2</v>
      </c>
      <c r="P25" s="434">
        <f t="shared" si="18"/>
        <v>8.5553015171023636E-2</v>
      </c>
    </row>
    <row r="26" spans="1:16" s="22" customFormat="1">
      <c r="A26" s="18"/>
      <c r="B26" s="10" t="s">
        <v>14</v>
      </c>
      <c r="C26" s="5"/>
      <c r="D26" s="5"/>
      <c r="E26" s="5">
        <v>3</v>
      </c>
      <c r="F26" s="435" t="e">
        <f>F24</f>
        <v>#REF!</v>
      </c>
      <c r="G26" s="435">
        <f t="shared" ref="G26:P26" si="19">G24</f>
        <v>8.9111412821361854E-2</v>
      </c>
      <c r="H26" s="798">
        <f t="shared" si="19"/>
        <v>9.0875859775765261E-2</v>
      </c>
      <c r="I26" s="798">
        <f t="shared" si="19"/>
        <v>9.0756353112413715E-2</v>
      </c>
      <c r="J26" s="798">
        <f t="shared" si="19"/>
        <v>9.0468704496502586E-2</v>
      </c>
      <c r="K26" s="798">
        <f t="shared" si="19"/>
        <v>9.0028341781406299E-2</v>
      </c>
      <c r="L26" s="798">
        <f t="shared" si="19"/>
        <v>9.1452773637144283E-2</v>
      </c>
      <c r="M26" s="799">
        <f t="shared" si="19"/>
        <v>9.0263950711316654E-2</v>
      </c>
      <c r="N26" s="799">
        <f t="shared" si="19"/>
        <v>8.8881363414500883E-2</v>
      </c>
      <c r="O26" s="799">
        <f t="shared" si="19"/>
        <v>8.730936220433913E-2</v>
      </c>
      <c r="P26" s="800">
        <f t="shared" si="19"/>
        <v>8.5553015171023636E-2</v>
      </c>
    </row>
    <row r="27" spans="1:16" s="22" customFormat="1">
      <c r="A27" s="18"/>
      <c r="B27" s="16"/>
      <c r="C27" s="14"/>
      <c r="D27" s="14"/>
      <c r="E27" s="14"/>
      <c r="F27" s="21"/>
      <c r="G27" s="21"/>
      <c r="H27" s="21"/>
      <c r="I27" s="21"/>
      <c r="J27" s="21"/>
    </row>
    <row r="28" spans="1:16" s="22" customFormat="1">
      <c r="A28" s="18"/>
      <c r="B28" s="16" t="s">
        <v>3</v>
      </c>
      <c r="C28" s="5"/>
      <c r="D28" s="5"/>
      <c r="E28" s="5"/>
      <c r="F28" s="17" t="e">
        <f>CHOOSE('Proposed Structure'!$D$6,'Operating Assumptions'!F29,'Operating Assumptions'!F30,'Operating Assumptions'!F31)</f>
        <v>#REF!</v>
      </c>
      <c r="G28" s="17">
        <f>CHOOSE('Proposed Structure'!$D$6,'Operating Assumptions'!G29,'Operating Assumptions'!G30,'Operating Assumptions'!G31)</f>
        <v>2.9461000163670439E-2</v>
      </c>
      <c r="H28" s="17">
        <f>CHOOSE('Proposed Structure'!$D$6,'Operating Assumptions'!H29,'Operating Assumptions'!H30,'Operating Assumptions'!H31)</f>
        <v>2.8943846979461257E-2</v>
      </c>
      <c r="I28" s="17">
        <f>CHOOSE('Proposed Structure'!$D$6,'Operating Assumptions'!I29,'Operating Assumptions'!I30,'Operating Assumptions'!I31)</f>
        <v>2.7767093725353065E-2</v>
      </c>
      <c r="J28" s="17">
        <f>CHOOSE('Proposed Structure'!$D$6,'Operating Assumptions'!J29,'Operating Assumptions'!J30,'Operating Assumptions'!J31)</f>
        <v>2.6502767621341572E-2</v>
      </c>
      <c r="K28" s="17">
        <f>CHOOSE('Proposed Structure'!$D$6,'Operating Assumptions'!K29,'Operating Assumptions'!K30,'Operating Assumptions'!K31)</f>
        <v>2.5175343760960592E-2</v>
      </c>
      <c r="L28" s="17">
        <f>CHOOSE('Proposed Structure'!$D$6,'Operating Assumptions'!L29,'Operating Assumptions'!L30,'Operating Assumptions'!L31)</f>
        <v>2.4522425252031601E-2</v>
      </c>
      <c r="M28" s="17">
        <f>CHOOSE('Proposed Structure'!$D$6,'Operating Assumptions'!M29,'Operating Assumptions'!M30,'Operating Assumptions'!M31)</f>
        <v>2.3813822099675766E-2</v>
      </c>
      <c r="N28" s="17">
        <f>CHOOSE('Proposed Structure'!$D$6,'Operating Assumptions'!N29,'Operating Assumptions'!N30,'Operating Assumptions'!N31)</f>
        <v>2.3019478712221944E-2</v>
      </c>
      <c r="O28" s="17">
        <f>CHOOSE('Proposed Structure'!$D$6,'Operating Assumptions'!O29,'Operating Assumptions'!O30,'Operating Assumptions'!O31)</f>
        <v>2.2150913132183921E-2</v>
      </c>
      <c r="P28" s="17">
        <f>CHOOSE('Proposed Structure'!$D$6,'Operating Assumptions'!P29,'Operating Assumptions'!P30,'Operating Assumptions'!P31)</f>
        <v>2.1219591578190762E-2</v>
      </c>
    </row>
    <row r="29" spans="1:16" s="22" customFormat="1">
      <c r="A29" s="18"/>
      <c r="B29" s="10" t="s">
        <v>12</v>
      </c>
      <c r="C29" s="5"/>
      <c r="D29" s="5"/>
      <c r="E29" s="5">
        <v>1</v>
      </c>
      <c r="F29" s="425" t="e">
        <f>#REF!</f>
        <v>#REF!</v>
      </c>
      <c r="G29" s="425">
        <f>'Inc St'!AC31</f>
        <v>2.9461000163670439E-2</v>
      </c>
      <c r="H29" s="426">
        <f>'Inc St'!AD31</f>
        <v>2.8943846979461257E-2</v>
      </c>
      <c r="I29" s="426">
        <f>'Inc St'!AE31</f>
        <v>2.7767093725353065E-2</v>
      </c>
      <c r="J29" s="426">
        <f>'Inc St'!AF31</f>
        <v>2.6502767621341572E-2</v>
      </c>
      <c r="K29" s="426">
        <f>'Inc St'!AG31</f>
        <v>2.5175343760960592E-2</v>
      </c>
      <c r="L29" s="426">
        <f>'Inc St'!AH31</f>
        <v>2.4522425252031601E-2</v>
      </c>
      <c r="M29" s="426">
        <f>'Inc St'!AI31</f>
        <v>2.3813822099675766E-2</v>
      </c>
      <c r="N29" s="426">
        <f>'Inc St'!AJ31</f>
        <v>2.3019478712221944E-2</v>
      </c>
      <c r="O29" s="426">
        <f>'Inc St'!AK31</f>
        <v>2.2150913132183921E-2</v>
      </c>
      <c r="P29" s="427">
        <f>'Inc St'!AL31</f>
        <v>2.1219591578190762E-2</v>
      </c>
    </row>
    <row r="30" spans="1:16" s="22" customFormat="1">
      <c r="A30" s="18"/>
      <c r="B30" s="10" t="s">
        <v>13</v>
      </c>
      <c r="C30" s="5"/>
      <c r="D30" s="5"/>
      <c r="E30" s="5">
        <v>2</v>
      </c>
      <c r="F30" s="428" t="e">
        <f>F29</f>
        <v>#REF!</v>
      </c>
      <c r="G30" s="428">
        <f t="shared" ref="G30" si="20">G29</f>
        <v>2.9461000163670439E-2</v>
      </c>
      <c r="H30" s="429">
        <f t="shared" ref="H30" si="21">H29</f>
        <v>2.8943846979461257E-2</v>
      </c>
      <c r="I30" s="429">
        <f t="shared" ref="I30" si="22">I29</f>
        <v>2.7767093725353065E-2</v>
      </c>
      <c r="J30" s="429">
        <f t="shared" ref="J30" si="23">J29</f>
        <v>2.6502767621341572E-2</v>
      </c>
      <c r="K30" s="429">
        <f t="shared" ref="K30" si="24">K29</f>
        <v>2.5175343760960592E-2</v>
      </c>
      <c r="L30" s="429">
        <f t="shared" ref="L30" si="25">L29</f>
        <v>2.4522425252031601E-2</v>
      </c>
      <c r="M30" s="429">
        <f t="shared" ref="M30" si="26">M29</f>
        <v>2.3813822099675766E-2</v>
      </c>
      <c r="N30" s="429">
        <f t="shared" ref="N30" si="27">N29</f>
        <v>2.3019478712221944E-2</v>
      </c>
      <c r="O30" s="429">
        <f t="shared" ref="O30" si="28">O29</f>
        <v>2.2150913132183921E-2</v>
      </c>
      <c r="P30" s="430">
        <f t="shared" ref="P30" si="29">P29</f>
        <v>2.1219591578190762E-2</v>
      </c>
    </row>
    <row r="31" spans="1:16" s="22" customFormat="1">
      <c r="A31" s="18"/>
      <c r="B31" s="10" t="s">
        <v>14</v>
      </c>
      <c r="C31" s="5"/>
      <c r="D31" s="5"/>
      <c r="E31" s="5">
        <v>3</v>
      </c>
      <c r="F31" s="435" t="e">
        <f>F29</f>
        <v>#REF!</v>
      </c>
      <c r="G31" s="435">
        <f t="shared" ref="G31:P31" si="30">G29</f>
        <v>2.9461000163670439E-2</v>
      </c>
      <c r="H31" s="798">
        <f t="shared" si="30"/>
        <v>2.8943846979461257E-2</v>
      </c>
      <c r="I31" s="798">
        <f t="shared" si="30"/>
        <v>2.7767093725353065E-2</v>
      </c>
      <c r="J31" s="798">
        <f t="shared" si="30"/>
        <v>2.6502767621341572E-2</v>
      </c>
      <c r="K31" s="798">
        <f t="shared" si="30"/>
        <v>2.5175343760960592E-2</v>
      </c>
      <c r="L31" s="798">
        <f t="shared" si="30"/>
        <v>2.4522425252031601E-2</v>
      </c>
      <c r="M31" s="799">
        <f t="shared" si="30"/>
        <v>2.3813822099675766E-2</v>
      </c>
      <c r="N31" s="799">
        <f t="shared" si="30"/>
        <v>2.3019478712221944E-2</v>
      </c>
      <c r="O31" s="799">
        <f t="shared" si="30"/>
        <v>2.2150913132183921E-2</v>
      </c>
      <c r="P31" s="800">
        <f t="shared" si="30"/>
        <v>2.1219591578190762E-2</v>
      </c>
    </row>
    <row r="32" spans="1:16" s="22" customFormat="1">
      <c r="A32" s="18"/>
      <c r="B32" s="16"/>
      <c r="C32" s="14"/>
      <c r="D32" s="14"/>
      <c r="E32" s="14"/>
      <c r="F32" s="21"/>
      <c r="G32" s="21"/>
      <c r="H32" s="21"/>
      <c r="I32" s="21"/>
      <c r="J32" s="21"/>
    </row>
    <row r="33" spans="1:16" s="22" customFormat="1" hidden="1">
      <c r="A33" s="18"/>
      <c r="B33" s="16"/>
      <c r="C33" s="14"/>
      <c r="D33" s="14"/>
      <c r="E33" s="14"/>
      <c r="F33" s="21"/>
      <c r="G33" s="21"/>
      <c r="H33" s="21"/>
      <c r="I33" s="21"/>
      <c r="J33" s="21"/>
    </row>
    <row r="34" spans="1:16" s="22" customFormat="1" hidden="1">
      <c r="A34" s="18"/>
      <c r="B34" s="16"/>
      <c r="C34" s="14"/>
      <c r="D34" s="14"/>
      <c r="E34" s="14"/>
      <c r="F34" s="23"/>
      <c r="G34" s="23"/>
      <c r="H34" s="23"/>
      <c r="I34" s="23"/>
      <c r="J34" s="23"/>
    </row>
    <row r="35" spans="1:16" s="22" customFormat="1">
      <c r="A35" s="18"/>
      <c r="B35" s="16"/>
      <c r="C35" s="14"/>
      <c r="D35" s="14"/>
      <c r="E35" s="14"/>
      <c r="F35" s="23"/>
      <c r="G35" s="23"/>
      <c r="H35" s="23"/>
      <c r="I35" s="23"/>
      <c r="J35" s="23"/>
    </row>
    <row r="36" spans="1:16">
      <c r="A36" s="2"/>
      <c r="B36" s="13" t="s">
        <v>16</v>
      </c>
      <c r="C36" s="14"/>
      <c r="D36" s="14"/>
      <c r="E36" s="14"/>
      <c r="F36" s="24"/>
      <c r="G36" s="24"/>
      <c r="H36" s="24"/>
      <c r="I36" s="24"/>
      <c r="J36" s="23"/>
    </row>
    <row r="37" spans="1:16">
      <c r="A37" s="2"/>
      <c r="B37" s="16" t="s">
        <v>17</v>
      </c>
      <c r="C37" s="5"/>
      <c r="D37" s="5"/>
      <c r="E37" s="5"/>
      <c r="F37" s="17" t="e">
        <f>CHOOSE('Proposed Structure'!$D$6,'Operating Assumptions'!F38,'Operating Assumptions'!F39,'Operating Assumptions'!F40)</f>
        <v>#REF!</v>
      </c>
      <c r="G37" s="17">
        <f>CHOOSE('Proposed Structure'!$D$6,'Operating Assumptions'!G38,'Operating Assumptions'!G39,'Operating Assumptions'!G40)</f>
        <v>2.026523466377872E-2</v>
      </c>
      <c r="H37" s="17">
        <f>CHOOSE('Proposed Structure'!$D$6,'Operating Assumptions'!H38,'Operating Assumptions'!H39,'Operating Assumptions'!H40)</f>
        <v>1.8628135321240101E-2</v>
      </c>
      <c r="I37" s="17">
        <f>CHOOSE('Proposed Structure'!$D$6,'Operating Assumptions'!I38,'Operating Assumptions'!I39,'Operating Assumptions'!I40)</f>
        <v>1.6790173644394696E-2</v>
      </c>
      <c r="J37" s="17">
        <f>CHOOSE('Proposed Structure'!$D$6,'Operating Assumptions'!J38,'Operating Assumptions'!J39,'Operating Assumptions'!J40)</f>
        <v>1.5111879088631855E-2</v>
      </c>
      <c r="K37" s="17">
        <f>CHOOSE('Proposed Structure'!$D$6,'Operating Assumptions'!K38,'Operating Assumptions'!K39,'Operating Assumptions'!K40)</f>
        <v>1.3580615223015529E-2</v>
      </c>
      <c r="L37" s="17">
        <f>CHOOSE('Proposed Structure'!$D$6,'Operating Assumptions'!L38,'Operating Assumptions'!L39,'Operating Assumptions'!L40)</f>
        <v>1.2659324158994E-2</v>
      </c>
      <c r="M37" s="17">
        <f>CHOOSE('Proposed Structure'!$D$6,'Operating Assumptions'!M38,'Operating Assumptions'!M39,'Operating Assumptions'!M40)</f>
        <v>1.4594451769289562E-2</v>
      </c>
      <c r="N37" s="17">
        <f>CHOOSE('Proposed Structure'!$D$6,'Operating Assumptions'!N38,'Operating Assumptions'!N39,'Operating Assumptions'!N40)</f>
        <v>1.3472501989986087E-2</v>
      </c>
      <c r="O37" s="17">
        <f>CHOOSE('Proposed Structure'!$D$6,'Operating Assumptions'!O38,'Operating Assumptions'!O39,'Operating Assumptions'!O40)</f>
        <v>1.2405653142881759E-2</v>
      </c>
      <c r="P37" s="17">
        <f>CHOOSE('Proposed Structure'!$D$6,'Operating Assumptions'!P38,'Operating Assumptions'!P39,'Operating Assumptions'!P40)</f>
        <v>1.1393234409606134E-2</v>
      </c>
    </row>
    <row r="38" spans="1:16">
      <c r="A38" s="2"/>
      <c r="B38" s="10" t="s">
        <v>12</v>
      </c>
      <c r="C38" s="5"/>
      <c r="D38" s="5"/>
      <c r="E38" s="5">
        <v>1</v>
      </c>
      <c r="F38" s="425" t="e">
        <f>#REF!</f>
        <v>#REF!</v>
      </c>
      <c r="G38" s="425">
        <f>'Cash Flow'!AC36</f>
        <v>2.026523466377872E-2</v>
      </c>
      <c r="H38" s="426">
        <f>'Cash Flow'!AD36</f>
        <v>1.8628135321240101E-2</v>
      </c>
      <c r="I38" s="426">
        <f>'Cash Flow'!AE36</f>
        <v>1.6790173644394696E-2</v>
      </c>
      <c r="J38" s="426">
        <f>'Cash Flow'!AF36</f>
        <v>1.5111879088631855E-2</v>
      </c>
      <c r="K38" s="426">
        <f>'Cash Flow'!AG36</f>
        <v>1.3580615223015529E-2</v>
      </c>
      <c r="L38" s="426">
        <f>'Cash Flow'!AH36</f>
        <v>1.2659324158994E-2</v>
      </c>
      <c r="M38" s="426">
        <f>'Cash Flow'!AI36</f>
        <v>1.4594451769289562E-2</v>
      </c>
      <c r="N38" s="426">
        <f>'Cash Flow'!AJ36</f>
        <v>1.3472501989986087E-2</v>
      </c>
      <c r="O38" s="426">
        <f>'Cash Flow'!AK36</f>
        <v>1.2405653142881759E-2</v>
      </c>
      <c r="P38" s="427">
        <f>'Cash Flow'!AL36</f>
        <v>1.1393234409606134E-2</v>
      </c>
    </row>
    <row r="39" spans="1:16">
      <c r="A39" s="2"/>
      <c r="B39" s="10" t="s">
        <v>13</v>
      </c>
      <c r="C39" s="5"/>
      <c r="D39" s="5"/>
      <c r="E39" s="5">
        <v>2</v>
      </c>
      <c r="F39" s="428" t="e">
        <f>F38</f>
        <v>#REF!</v>
      </c>
      <c r="G39" s="428">
        <f t="shared" ref="G39" si="31">G38</f>
        <v>2.026523466377872E-2</v>
      </c>
      <c r="H39" s="429">
        <f t="shared" ref="H39" si="32">H38</f>
        <v>1.8628135321240101E-2</v>
      </c>
      <c r="I39" s="429">
        <f t="shared" ref="I39" si="33">I38</f>
        <v>1.6790173644394696E-2</v>
      </c>
      <c r="J39" s="429">
        <f t="shared" ref="J39" si="34">J38</f>
        <v>1.5111879088631855E-2</v>
      </c>
      <c r="K39" s="429">
        <f t="shared" ref="K39" si="35">K38</f>
        <v>1.3580615223015529E-2</v>
      </c>
      <c r="L39" s="429">
        <f t="shared" ref="L39" si="36">L38</f>
        <v>1.2659324158994E-2</v>
      </c>
      <c r="M39" s="429">
        <f t="shared" ref="M39" si="37">M38</f>
        <v>1.4594451769289562E-2</v>
      </c>
      <c r="N39" s="429">
        <f t="shared" ref="N39" si="38">N38</f>
        <v>1.3472501989986087E-2</v>
      </c>
      <c r="O39" s="429">
        <f t="shared" ref="O39" si="39">O38</f>
        <v>1.2405653142881759E-2</v>
      </c>
      <c r="P39" s="430">
        <f t="shared" ref="P39" si="40">P38</f>
        <v>1.1393234409606134E-2</v>
      </c>
    </row>
    <row r="40" spans="1:16">
      <c r="A40" s="2"/>
      <c r="B40" s="10" t="s">
        <v>14</v>
      </c>
      <c r="C40" s="5"/>
      <c r="D40" s="5"/>
      <c r="E40" s="5">
        <v>3</v>
      </c>
      <c r="F40" s="435" t="e">
        <f>F38</f>
        <v>#REF!</v>
      </c>
      <c r="G40" s="435">
        <f t="shared" ref="G40:P40" si="41">G38</f>
        <v>2.026523466377872E-2</v>
      </c>
      <c r="H40" s="798">
        <f t="shared" si="41"/>
        <v>1.8628135321240101E-2</v>
      </c>
      <c r="I40" s="798">
        <f t="shared" si="41"/>
        <v>1.6790173644394696E-2</v>
      </c>
      <c r="J40" s="798">
        <f t="shared" si="41"/>
        <v>1.5111879088631855E-2</v>
      </c>
      <c r="K40" s="798">
        <f t="shared" si="41"/>
        <v>1.3580615223015529E-2</v>
      </c>
      <c r="L40" s="798">
        <f t="shared" si="41"/>
        <v>1.2659324158994E-2</v>
      </c>
      <c r="M40" s="799">
        <f t="shared" si="41"/>
        <v>1.4594451769289562E-2</v>
      </c>
      <c r="N40" s="799">
        <f t="shared" si="41"/>
        <v>1.3472501989986087E-2</v>
      </c>
      <c r="O40" s="799">
        <f t="shared" si="41"/>
        <v>1.2405653142881759E-2</v>
      </c>
      <c r="P40" s="800">
        <f t="shared" si="41"/>
        <v>1.1393234409606134E-2</v>
      </c>
    </row>
    <row r="42" spans="1:16">
      <c r="B42" s="16" t="s">
        <v>164</v>
      </c>
      <c r="C42" s="5"/>
      <c r="D42" s="5"/>
      <c r="E42" s="5"/>
      <c r="F42" s="17">
        <f>CHOOSE('Proposed Structure'!$D$6,'Operating Assumptions'!F43,'Operating Assumptions'!F44,'Operating Assumptions'!F45)</f>
        <v>0.51572116291398773</v>
      </c>
      <c r="G42" s="17">
        <f>CHOOSE('Proposed Structure'!$D$6,'Operating Assumptions'!G43,'Operating Assumptions'!G44,'Operating Assumptions'!G45)</f>
        <v>0.40921502198335868</v>
      </c>
      <c r="H42" s="17">
        <f>CHOOSE('Proposed Structure'!$D$6,'Operating Assumptions'!H43,'Operating Assumptions'!H44,'Operating Assumptions'!H45)</f>
        <v>0.39790249482031576</v>
      </c>
      <c r="I42" s="17">
        <f>CHOOSE('Proposed Structure'!$D$6,'Operating Assumptions'!I43,'Operating Assumptions'!I44,'Operating Assumptions'!I45)</f>
        <v>0.38700490774843355</v>
      </c>
      <c r="J42" s="17">
        <f>CHOOSE('Proposed Structure'!$D$6,'Operating Assumptions'!J43,'Operating Assumptions'!J44,'Operating Assumptions'!J45)</f>
        <v>0.37773951369268077</v>
      </c>
      <c r="K42" s="17">
        <f>CHOOSE('Proposed Structure'!$D$6,'Operating Assumptions'!K43,'Operating Assumptions'!K44,'Operating Assumptions'!K45)</f>
        <v>0.36987425780001859</v>
      </c>
      <c r="L42" s="17">
        <f>CHOOSE('Proposed Structure'!$D$6,'Operating Assumptions'!L43,'Operating Assumptions'!L44,'Operating Assumptions'!L45)</f>
        <v>0.36455011919495389</v>
      </c>
      <c r="M42" s="17">
        <f>CHOOSE('Proposed Structure'!$D$6,'Operating Assumptions'!M43,'Operating Assumptions'!M44,'Operating Assumptions'!M45)</f>
        <v>0.359682107553286</v>
      </c>
      <c r="N42" s="17">
        <f>CHOOSE('Proposed Structure'!$D$6,'Operating Assumptions'!N43,'Operating Assumptions'!N44,'Operating Assumptions'!N45)</f>
        <v>0.35541064662250099</v>
      </c>
      <c r="O42" s="17">
        <f>CHOOSE('Proposed Structure'!$D$6,'Operating Assumptions'!O43,'Operating Assumptions'!O44,'Operating Assumptions'!O45)</f>
        <v>0.35167202331335667</v>
      </c>
      <c r="P42" s="17">
        <f>CHOOSE('Proposed Structure'!$D$6,'Operating Assumptions'!P43,'Operating Assumptions'!P44,'Operating Assumptions'!P45)</f>
        <v>0.34840851480291213</v>
      </c>
    </row>
    <row r="43" spans="1:16">
      <c r="B43" s="10" t="s">
        <v>12</v>
      </c>
      <c r="C43" s="5"/>
      <c r="D43" s="5"/>
      <c r="E43" s="5">
        <v>1</v>
      </c>
      <c r="F43" s="425">
        <f>BS!AB40</f>
        <v>0.51572116291398773</v>
      </c>
      <c r="G43" s="425">
        <f>BS!AC40</f>
        <v>0.40921502198335868</v>
      </c>
      <c r="H43" s="426">
        <f>BS!AD40</f>
        <v>0.39790249482031576</v>
      </c>
      <c r="I43" s="426">
        <f>BS!AE40</f>
        <v>0.38700490774843355</v>
      </c>
      <c r="J43" s="426">
        <f>BS!AF40</f>
        <v>0.37773951369268077</v>
      </c>
      <c r="K43" s="426">
        <f>BS!AG40</f>
        <v>0.36987425780001859</v>
      </c>
      <c r="L43" s="426">
        <f>BS!AH40</f>
        <v>0.36455011919495389</v>
      </c>
      <c r="M43" s="426">
        <f>BS!AI40</f>
        <v>0.359682107553286</v>
      </c>
      <c r="N43" s="426">
        <f>BS!AJ40</f>
        <v>0.35541064662250099</v>
      </c>
      <c r="O43" s="426">
        <f>BS!AK40</f>
        <v>0.35167202331335667</v>
      </c>
      <c r="P43" s="427">
        <f>BS!AL40</f>
        <v>0.34840851480291213</v>
      </c>
    </row>
    <row r="44" spans="1:16">
      <c r="B44" s="10" t="s">
        <v>13</v>
      </c>
      <c r="C44" s="5"/>
      <c r="D44" s="5"/>
      <c r="E44" s="5">
        <v>2</v>
      </c>
      <c r="F44" s="428">
        <f>F43</f>
        <v>0.51572116291398773</v>
      </c>
      <c r="G44" s="428">
        <f t="shared" ref="G44" si="42">G43</f>
        <v>0.40921502198335868</v>
      </c>
      <c r="H44" s="429">
        <f t="shared" ref="H44" si="43">H43</f>
        <v>0.39790249482031576</v>
      </c>
      <c r="I44" s="429">
        <f t="shared" ref="I44" si="44">I43</f>
        <v>0.38700490774843355</v>
      </c>
      <c r="J44" s="429">
        <f t="shared" ref="J44" si="45">J43</f>
        <v>0.37773951369268077</v>
      </c>
      <c r="K44" s="429">
        <f t="shared" ref="K44" si="46">K43</f>
        <v>0.36987425780001859</v>
      </c>
      <c r="L44" s="429">
        <f t="shared" ref="L44" si="47">L43</f>
        <v>0.36455011919495389</v>
      </c>
      <c r="M44" s="429">
        <f t="shared" ref="M44" si="48">M43</f>
        <v>0.359682107553286</v>
      </c>
      <c r="N44" s="429">
        <f t="shared" ref="N44" si="49">N43</f>
        <v>0.35541064662250099</v>
      </c>
      <c r="O44" s="429">
        <f t="shared" ref="O44" si="50">O43</f>
        <v>0.35167202331335667</v>
      </c>
      <c r="P44" s="430">
        <f t="shared" ref="P44" si="51">P43</f>
        <v>0.34840851480291213</v>
      </c>
    </row>
    <row r="45" spans="1:16">
      <c r="B45" s="10" t="s">
        <v>14</v>
      </c>
      <c r="C45" s="5"/>
      <c r="D45" s="5"/>
      <c r="E45" s="5">
        <v>3</v>
      </c>
      <c r="F45" s="435">
        <f>F43</f>
        <v>0.51572116291398773</v>
      </c>
      <c r="G45" s="435">
        <f t="shared" ref="G45:P45" si="52">G43</f>
        <v>0.40921502198335868</v>
      </c>
      <c r="H45" s="798">
        <f t="shared" si="52"/>
        <v>0.39790249482031576</v>
      </c>
      <c r="I45" s="798">
        <f t="shared" si="52"/>
        <v>0.38700490774843355</v>
      </c>
      <c r="J45" s="798">
        <f t="shared" si="52"/>
        <v>0.37773951369268077</v>
      </c>
      <c r="K45" s="798">
        <f t="shared" si="52"/>
        <v>0.36987425780001859</v>
      </c>
      <c r="L45" s="798">
        <f t="shared" si="52"/>
        <v>0.36455011919495389</v>
      </c>
      <c r="M45" s="799">
        <f t="shared" si="52"/>
        <v>0.359682107553286</v>
      </c>
      <c r="N45" s="799">
        <f t="shared" si="52"/>
        <v>0.35541064662250099</v>
      </c>
      <c r="O45" s="799">
        <f t="shared" si="52"/>
        <v>0.35167202331335667</v>
      </c>
      <c r="P45" s="800">
        <f t="shared" si="52"/>
        <v>0.34840851480291213</v>
      </c>
    </row>
  </sheetData>
  <pageMargins left="0.7" right="0.7" top="0.75" bottom="0.75" header="0.3" footer="0.3"/>
  <pageSetup orientation="portrait" verticalDpi="598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AK113"/>
  <sheetViews>
    <sheetView showGridLines="0" tabSelected="1" topLeftCell="O28" zoomScaleNormal="100" workbookViewId="0">
      <selection activeCell="AA44" sqref="AA44"/>
    </sheetView>
  </sheetViews>
  <sheetFormatPr baseColWidth="10" defaultColWidth="13.3984375" defaultRowHeight="14" outlineLevelRow="1" outlineLevelCol="1"/>
  <cols>
    <col min="1" max="1" width="2.19921875" style="28" customWidth="1"/>
    <col min="2" max="3" width="19.796875" style="28" customWidth="1"/>
    <col min="4" max="5" width="5.3984375" style="28" customWidth="1" outlineLevel="1"/>
    <col min="6" max="6" width="13.3984375" style="28" bestFit="1" customWidth="1" outlineLevel="1"/>
    <col min="7" max="15" width="22.3984375" style="28" customWidth="1"/>
    <col min="16" max="19" width="22.3984375" style="28" customWidth="1" outlineLevel="1"/>
    <col min="20" max="21" width="17" style="28" customWidth="1"/>
    <col min="22" max="22" width="14.3984375" style="28" customWidth="1"/>
    <col min="23" max="23" width="27.796875" style="28" bestFit="1" customWidth="1"/>
    <col min="24" max="24" width="20.3984375" style="28" customWidth="1"/>
    <col min="25" max="27" width="13.3984375" style="28"/>
    <col min="28" max="28" width="16" style="28" bestFit="1" customWidth="1"/>
    <col min="29" max="16384" width="13.3984375" style="28"/>
  </cols>
  <sheetData>
    <row r="1" spans="1:37" ht="25">
      <c r="A1" s="25" t="s">
        <v>405</v>
      </c>
      <c r="B1" s="26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</row>
    <row r="2" spans="1:37" ht="18">
      <c r="A2" s="29" t="s">
        <v>18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</row>
    <row r="3" spans="1:37" ht="16">
      <c r="A3" s="30" t="s">
        <v>399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31"/>
    </row>
    <row r="4" spans="1:37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4"/>
    </row>
    <row r="5" spans="1:37">
      <c r="A5" s="32"/>
      <c r="B5" s="35" t="s">
        <v>19</v>
      </c>
      <c r="C5" s="36"/>
      <c r="D5" s="37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33"/>
      <c r="U5" s="34"/>
    </row>
    <row r="6" spans="1:37" ht="14.25" customHeight="1">
      <c r="A6" s="32"/>
      <c r="B6" s="250" t="s">
        <v>64</v>
      </c>
      <c r="C6" s="251"/>
      <c r="D6" s="252">
        <v>1</v>
      </c>
      <c r="E6" s="249"/>
      <c r="F6" s="249"/>
      <c r="G6" s="249"/>
      <c r="H6" s="249"/>
      <c r="I6" s="249"/>
      <c r="J6" s="804"/>
      <c r="K6" s="249"/>
      <c r="L6" s="249"/>
      <c r="M6" s="249"/>
      <c r="N6" s="249"/>
      <c r="O6" s="33"/>
      <c r="U6" s="34"/>
    </row>
    <row r="7" spans="1:37">
      <c r="A7" s="39"/>
      <c r="B7" s="40"/>
      <c r="C7" s="38"/>
      <c r="D7" s="41"/>
      <c r="E7" s="38"/>
      <c r="F7" s="38"/>
      <c r="G7" s="42"/>
      <c r="H7" s="38"/>
      <c r="I7" s="38"/>
      <c r="J7" s="43"/>
      <c r="M7" s="44"/>
      <c r="O7" s="33"/>
      <c r="T7" s="44"/>
      <c r="U7" s="34"/>
    </row>
    <row r="8" spans="1:37" s="257" customFormat="1" ht="16">
      <c r="A8" s="254"/>
      <c r="B8" s="255"/>
      <c r="C8" s="255"/>
      <c r="D8" s="255"/>
      <c r="E8" s="255"/>
      <c r="F8" s="255"/>
      <c r="G8" s="256"/>
      <c r="H8" s="255"/>
      <c r="I8" s="255"/>
      <c r="J8" s="255"/>
      <c r="K8" s="255"/>
      <c r="L8" s="255"/>
      <c r="M8" s="255"/>
      <c r="N8" s="255"/>
      <c r="O8" s="255"/>
      <c r="P8" s="255"/>
      <c r="Q8" s="255"/>
      <c r="R8" s="255"/>
      <c r="S8" s="255"/>
      <c r="T8" s="255"/>
      <c r="U8" s="255"/>
      <c r="Z8" s="258"/>
    </row>
    <row r="9" spans="1:37" s="257" customFormat="1" ht="19">
      <c r="A9" s="259"/>
      <c r="B9" s="260" t="s">
        <v>403</v>
      </c>
      <c r="C9" s="261"/>
      <c r="D9" s="261"/>
      <c r="E9" s="262" t="s">
        <v>20</v>
      </c>
      <c r="F9" s="263"/>
      <c r="G9" s="263"/>
      <c r="H9" s="263"/>
      <c r="I9" s="264"/>
      <c r="J9" s="262" t="s">
        <v>9</v>
      </c>
      <c r="K9" s="265"/>
      <c r="L9" s="265"/>
      <c r="M9" s="265"/>
      <c r="N9" s="265"/>
      <c r="O9" s="265"/>
      <c r="P9" s="265"/>
      <c r="Q9" s="265"/>
      <c r="R9" s="265"/>
      <c r="S9" s="265"/>
      <c r="T9" s="266" t="s">
        <v>2</v>
      </c>
      <c r="U9" s="266" t="s">
        <v>2</v>
      </c>
      <c r="V9" s="266" t="s">
        <v>2</v>
      </c>
      <c r="X9" s="808" t="s">
        <v>5</v>
      </c>
      <c r="Y9" s="808"/>
      <c r="Z9" s="808"/>
      <c r="AA9" s="808"/>
      <c r="AB9" s="808"/>
      <c r="AC9" s="808"/>
      <c r="AD9" s="808"/>
      <c r="AE9" s="808"/>
      <c r="AF9" s="808"/>
      <c r="AG9" s="808"/>
      <c r="AH9" s="808"/>
      <c r="AI9" s="808"/>
      <c r="AJ9" s="808"/>
      <c r="AK9" s="808"/>
    </row>
    <row r="10" spans="1:37" s="257" customFormat="1" ht="19">
      <c r="A10" s="259"/>
      <c r="B10" s="267"/>
      <c r="C10" s="259"/>
      <c r="D10" s="259"/>
      <c r="E10" s="268"/>
      <c r="F10" s="268"/>
      <c r="G10" s="268">
        <v>2015</v>
      </c>
      <c r="H10" s="268">
        <v>2016</v>
      </c>
      <c r="I10" s="269">
        <v>2017</v>
      </c>
      <c r="J10" s="268">
        <v>2018</v>
      </c>
      <c r="K10" s="268">
        <v>2019</v>
      </c>
      <c r="L10" s="268">
        <v>2020</v>
      </c>
      <c r="M10" s="268">
        <v>2021</v>
      </c>
      <c r="N10" s="268">
        <v>2022</v>
      </c>
      <c r="O10" s="268">
        <v>2023</v>
      </c>
      <c r="P10" s="268">
        <v>2024</v>
      </c>
      <c r="Q10" s="268">
        <v>2025</v>
      </c>
      <c r="R10" s="268">
        <v>2026</v>
      </c>
      <c r="S10" s="268">
        <v>2027</v>
      </c>
      <c r="T10" s="270" t="s">
        <v>21</v>
      </c>
      <c r="U10" s="270" t="s">
        <v>22</v>
      </c>
      <c r="V10" s="270" t="s">
        <v>142</v>
      </c>
      <c r="X10" s="271"/>
      <c r="Y10" s="268">
        <v>2015</v>
      </c>
      <c r="Z10" s="268">
        <v>2016</v>
      </c>
      <c r="AA10" s="268">
        <v>2017</v>
      </c>
      <c r="AB10" s="268">
        <v>2018</v>
      </c>
      <c r="AC10" s="268">
        <v>2019</v>
      </c>
      <c r="AD10" s="268">
        <v>2020</v>
      </c>
      <c r="AE10" s="268">
        <v>2021</v>
      </c>
      <c r="AF10" s="268">
        <v>2022</v>
      </c>
      <c r="AG10" s="268">
        <v>2023</v>
      </c>
      <c r="AH10" s="268">
        <v>2024</v>
      </c>
      <c r="AI10" s="268">
        <v>2025</v>
      </c>
      <c r="AJ10" s="268">
        <v>2026</v>
      </c>
      <c r="AK10" s="268">
        <v>2027</v>
      </c>
    </row>
    <row r="11" spans="1:37" s="257" customFormat="1" ht="16">
      <c r="A11" s="259"/>
      <c r="B11" s="259" t="s">
        <v>4</v>
      </c>
      <c r="C11" s="259"/>
      <c r="D11" s="259"/>
      <c r="E11" s="272"/>
      <c r="F11" s="272"/>
      <c r="G11" s="273">
        <f>'Inc St'!X7</f>
        <v>293460</v>
      </c>
      <c r="H11" s="273">
        <f>'Inc St'!Z7</f>
        <v>252827</v>
      </c>
      <c r="I11" s="274">
        <f>'Inc St'!AB7</f>
        <v>249584.48335281393</v>
      </c>
      <c r="J11" s="275">
        <f t="shared" ref="J11:P11" si="0">I11*(1+J12)</f>
        <v>301008.11074756016</v>
      </c>
      <c r="K11" s="275">
        <f t="shared" si="0"/>
        <v>327461.65382665442</v>
      </c>
      <c r="L11" s="275">
        <f t="shared" si="0"/>
        <v>363307.73756091855</v>
      </c>
      <c r="M11" s="275">
        <f t="shared" si="0"/>
        <v>403655.95596836269</v>
      </c>
      <c r="N11" s="275">
        <f t="shared" si="0"/>
        <v>449169.63626670791</v>
      </c>
      <c r="O11" s="275">
        <f t="shared" si="0"/>
        <v>481858.26694912213</v>
      </c>
      <c r="P11" s="275">
        <f t="shared" si="0"/>
        <v>520745.83685235336</v>
      </c>
      <c r="Q11" s="275">
        <f t="shared" ref="Q11" si="1">P11*(1+Q12)</f>
        <v>564111.99683985731</v>
      </c>
      <c r="R11" s="275">
        <f t="shared" ref="R11" si="2">Q11*(1+R12)</f>
        <v>612623.9314018552</v>
      </c>
      <c r="S11" s="275">
        <f t="shared" ref="S11" si="3">R11*(1+S12)</f>
        <v>667062.55017382174</v>
      </c>
      <c r="T11" s="276">
        <f>+IF(ISERROR((I11/G11)^(1/(COUNT($G$10:$I$10)-1))-1),"-",(I11/G11)^(1/(COUNT($G$10:$I$10)-1))-1)</f>
        <v>-7.7780429256707029E-2</v>
      </c>
      <c r="U11" s="276">
        <f>+IF(ISERROR((P11/J11)^(1/(COUNT($J$10:$P$10)-1))-1),"-",(P11/J11)^(1/(COUNT($J$10:$P$10)-1))-1)</f>
        <v>9.565695894078563E-2</v>
      </c>
      <c r="V11" s="276">
        <f>+IF(ISERROR((Q11/J11)^(1/(COUNT($J$10:$S$10)-1))-1),"-",(Q11/J11)^(1/(COUNT($J$10:$S$10)-1))-1)</f>
        <v>7.2283645066155922E-2</v>
      </c>
      <c r="X11" s="259" t="s">
        <v>4</v>
      </c>
      <c r="Y11" s="277" t="e">
        <f>G11-#REF!</f>
        <v>#REF!</v>
      </c>
      <c r="Z11" s="277" t="e">
        <f>H11-#REF!</f>
        <v>#REF!</v>
      </c>
      <c r="AA11" s="277" t="e">
        <f>I11-#REF!</f>
        <v>#REF!</v>
      </c>
      <c r="AB11" s="277">
        <f>J11-'Inc St'!AC7</f>
        <v>0</v>
      </c>
      <c r="AC11" s="277">
        <f>K11-'Inc St'!AD7</f>
        <v>0</v>
      </c>
      <c r="AD11" s="277">
        <f>L11-'Inc St'!AE7</f>
        <v>0</v>
      </c>
      <c r="AE11" s="277">
        <f>M11-'Inc St'!AF7</f>
        <v>0</v>
      </c>
      <c r="AF11" s="277">
        <f>N11-'Inc St'!AG7</f>
        <v>0</v>
      </c>
      <c r="AG11" s="277">
        <f>O11-'Inc St'!AH7</f>
        <v>0</v>
      </c>
      <c r="AH11" s="277">
        <f>P11-'Inc St'!AI7</f>
        <v>0</v>
      </c>
      <c r="AI11" s="277">
        <f>Q11-'Inc St'!AJ7</f>
        <v>0</v>
      </c>
      <c r="AJ11" s="277">
        <f>R11-'Inc St'!AK7</f>
        <v>0</v>
      </c>
      <c r="AK11" s="277">
        <f>S11-'Inc St'!AL7</f>
        <v>0</v>
      </c>
    </row>
    <row r="12" spans="1:37" s="257" customFormat="1" ht="16">
      <c r="A12" s="254"/>
      <c r="B12" s="278" t="s">
        <v>23</v>
      </c>
      <c r="C12" s="254"/>
      <c r="D12" s="254"/>
      <c r="E12" s="279"/>
      <c r="F12" s="279"/>
      <c r="G12" s="279"/>
      <c r="H12" s="279">
        <f>+IF(ISERROR(H11/G11-1),0,H11/G11-1)</f>
        <v>-0.13846180058611057</v>
      </c>
      <c r="I12" s="280">
        <f>+IF(ISERROR(I11/H11-1),0,I11/H11-1)</f>
        <v>-1.2825041024835504E-2</v>
      </c>
      <c r="J12" s="801">
        <f>'Operating Assumptions'!G8</f>
        <v>0.20603695672079714</v>
      </c>
      <c r="K12" s="281">
        <f>'Operating Assumptions'!H8</f>
        <v>8.7883157079708951E-2</v>
      </c>
      <c r="L12" s="281">
        <f>'Operating Assumptions'!I8</f>
        <v>0.10946650795711088</v>
      </c>
      <c r="M12" s="281">
        <f>'Operating Assumptions'!J8</f>
        <v>0.11105796611523755</v>
      </c>
      <c r="N12" s="281">
        <f>'Operating Assumptions'!K8</f>
        <v>0.11275364484380956</v>
      </c>
      <c r="O12" s="281">
        <f>'Operating Assumptions'!L8</f>
        <v>7.2775691059856928E-2</v>
      </c>
      <c r="P12" s="281">
        <f>'Operating Assumptions'!M8</f>
        <v>8.0703336583695551E-2</v>
      </c>
      <c r="Q12" s="281">
        <f>'Operating Assumptions'!N8</f>
        <v>8.3277017152226351E-2</v>
      </c>
      <c r="R12" s="281">
        <f>'Operating Assumptions'!O8</f>
        <v>8.5996991437446102E-2</v>
      </c>
      <c r="S12" s="281">
        <f>'Operating Assumptions'!P8</f>
        <v>8.8861397639814266E-2</v>
      </c>
      <c r="T12" s="282"/>
      <c r="U12" s="283"/>
      <c r="V12" s="283"/>
      <c r="X12" s="271"/>
      <c r="Y12" s="271"/>
      <c r="Z12" s="271"/>
      <c r="AA12" s="271"/>
      <c r="AB12" s="271"/>
      <c r="AC12" s="271"/>
      <c r="AD12" s="271"/>
      <c r="AE12" s="271"/>
      <c r="AH12" s="277"/>
      <c r="AI12" s="277"/>
      <c r="AJ12" s="277"/>
      <c r="AK12" s="277"/>
    </row>
    <row r="13" spans="1:37" s="257" customFormat="1" ht="16">
      <c r="A13" s="254"/>
      <c r="B13" s="290" t="s">
        <v>3</v>
      </c>
      <c r="C13" s="290"/>
      <c r="D13" s="290"/>
      <c r="E13" s="290"/>
      <c r="F13" s="290"/>
      <c r="G13" s="284">
        <f>'Inc St'!X30</f>
        <v>9739.5173132739565</v>
      </c>
      <c r="H13" s="284">
        <f>'Inc St'!Z30</f>
        <v>8320</v>
      </c>
      <c r="I13" s="285">
        <f>'Inc St'!AB30</f>
        <v>8258</v>
      </c>
      <c r="J13" s="286">
        <f t="shared" ref="J13:S13" si="4">(J14*J11)</f>
        <v>8868</v>
      </c>
      <c r="K13" s="286">
        <f t="shared" si="4"/>
        <v>9478</v>
      </c>
      <c r="L13" s="286">
        <f t="shared" si="4"/>
        <v>10088</v>
      </c>
      <c r="M13" s="286">
        <f t="shared" si="4"/>
        <v>10698.000000000002</v>
      </c>
      <c r="N13" s="286">
        <f t="shared" si="4"/>
        <v>11308.000000000004</v>
      </c>
      <c r="O13" s="286">
        <f t="shared" si="4"/>
        <v>11816.333333333338</v>
      </c>
      <c r="P13" s="286">
        <f t="shared" si="4"/>
        <v>12400.948717948724</v>
      </c>
      <c r="Q13" s="286">
        <f t="shared" si="4"/>
        <v>12985.564102564107</v>
      </c>
      <c r="R13" s="286">
        <f t="shared" si="4"/>
        <v>13570.179487179495</v>
      </c>
      <c r="S13" s="286">
        <f t="shared" si="4"/>
        <v>14154.79487179488</v>
      </c>
      <c r="T13" s="282"/>
      <c r="U13" s="283"/>
      <c r="V13" s="283"/>
      <c r="X13" s="287" t="s">
        <v>3</v>
      </c>
      <c r="Y13" s="277" t="e">
        <f>G13-#REF!</f>
        <v>#REF!</v>
      </c>
      <c r="Z13" s="277" t="e">
        <f>H13-#REF!</f>
        <v>#REF!</v>
      </c>
      <c r="AA13" s="277" t="e">
        <f>I13-#REF!</f>
        <v>#REF!</v>
      </c>
      <c r="AB13" s="277">
        <f>J13-'Inc St'!AC30</f>
        <v>0</v>
      </c>
      <c r="AC13" s="277">
        <f>K13-'Inc St'!AD30</f>
        <v>0</v>
      </c>
      <c r="AD13" s="277">
        <f>L13-'Inc St'!AE30</f>
        <v>0</v>
      </c>
      <c r="AE13" s="277">
        <f>M13-'Inc St'!AF30</f>
        <v>0</v>
      </c>
      <c r="AF13" s="277">
        <f>N13-'Inc St'!AG30</f>
        <v>0</v>
      </c>
      <c r="AG13" s="277">
        <f>O13-'Inc St'!AH30</f>
        <v>0</v>
      </c>
      <c r="AH13" s="277">
        <f>P13-'Inc St'!AI30</f>
        <v>0</v>
      </c>
      <c r="AI13" s="277">
        <f>Q13-'Inc St'!AJ30</f>
        <v>0</v>
      </c>
      <c r="AJ13" s="277">
        <f>R13-'Inc St'!AK30</f>
        <v>0</v>
      </c>
      <c r="AK13" s="277">
        <f>S13-'Inc St'!AL30</f>
        <v>0</v>
      </c>
    </row>
    <row r="14" spans="1:37" s="257" customFormat="1" ht="16">
      <c r="A14" s="254"/>
      <c r="B14" s="291" t="s">
        <v>28</v>
      </c>
      <c r="C14" s="290"/>
      <c r="D14" s="290"/>
      <c r="E14" s="290"/>
      <c r="F14" s="290"/>
      <c r="G14" s="279">
        <f>IFERROR(G13/G$11,0)</f>
        <v>3.3188568504307084E-2</v>
      </c>
      <c r="H14" s="279">
        <f>IFERROR(H13/H$11,0)</f>
        <v>3.2907877718756307E-2</v>
      </c>
      <c r="I14" s="280">
        <f>I13/I11</f>
        <v>3.3086992785230356E-2</v>
      </c>
      <c r="J14" s="281">
        <f>'Operating Assumptions'!G28</f>
        <v>2.9461000163670439E-2</v>
      </c>
      <c r="K14" s="281">
        <f>'Operating Assumptions'!H28</f>
        <v>2.8943846979461257E-2</v>
      </c>
      <c r="L14" s="281">
        <f>'Operating Assumptions'!I28</f>
        <v>2.7767093725353065E-2</v>
      </c>
      <c r="M14" s="281">
        <f>'Operating Assumptions'!J28</f>
        <v>2.6502767621341572E-2</v>
      </c>
      <c r="N14" s="281">
        <f>'Operating Assumptions'!K28</f>
        <v>2.5175343760960592E-2</v>
      </c>
      <c r="O14" s="281">
        <f>'Operating Assumptions'!L28</f>
        <v>2.4522425252031601E-2</v>
      </c>
      <c r="P14" s="281">
        <f>'Operating Assumptions'!M28</f>
        <v>2.3813822099675766E-2</v>
      </c>
      <c r="Q14" s="281">
        <f>'Operating Assumptions'!N28</f>
        <v>2.3019478712221944E-2</v>
      </c>
      <c r="R14" s="281">
        <f>'Operating Assumptions'!O28</f>
        <v>2.2150913132183921E-2</v>
      </c>
      <c r="S14" s="281">
        <f>'Operating Assumptions'!P28</f>
        <v>2.1219591578190762E-2</v>
      </c>
      <c r="T14" s="282"/>
      <c r="U14" s="283"/>
      <c r="V14" s="283"/>
      <c r="X14" s="271"/>
      <c r="Y14" s="271"/>
      <c r="Z14" s="271"/>
      <c r="AA14" s="271"/>
      <c r="AB14" s="271"/>
      <c r="AC14" s="271"/>
      <c r="AD14" s="271"/>
      <c r="AE14" s="271"/>
      <c r="AH14" s="277"/>
      <c r="AI14" s="277"/>
      <c r="AJ14" s="277"/>
      <c r="AK14" s="277"/>
    </row>
    <row r="15" spans="1:37" s="257" customFormat="1" ht="16">
      <c r="A15" s="259"/>
      <c r="B15" s="292" t="s">
        <v>24</v>
      </c>
      <c r="C15" s="292"/>
      <c r="D15" s="292"/>
      <c r="E15" s="275"/>
      <c r="F15" s="275"/>
      <c r="G15" s="273">
        <f>'Inc St'!X32</f>
        <v>32007.517313273958</v>
      </c>
      <c r="H15" s="273">
        <f>'Inc St'!Z32</f>
        <v>26515.080656500781</v>
      </c>
      <c r="I15" s="779">
        <f>'Inc St'!AB32</f>
        <v>26243.668254353252</v>
      </c>
      <c r="J15" s="275">
        <f t="shared" ref="J15:S15" si="5">J16*J11</f>
        <v>26823.258019404042</v>
      </c>
      <c r="K15" s="275">
        <f t="shared" si="5"/>
        <v>29758.359335091234</v>
      </c>
      <c r="L15" s="275">
        <f t="shared" si="5"/>
        <v>32972.485318550855</v>
      </c>
      <c r="M15" s="275">
        <f t="shared" si="5"/>
        <v>36518.231398755066</v>
      </c>
      <c r="N15" s="275">
        <f t="shared" si="5"/>
        <v>40437.997531649133</v>
      </c>
      <c r="O15" s="275">
        <f t="shared" si="5"/>
        <v>44067.275012484708</v>
      </c>
      <c r="P15" s="275">
        <f t="shared" si="5"/>
        <v>47004.57655076417</v>
      </c>
      <c r="Q15" s="275">
        <f t="shared" si="5"/>
        <v>50139.043397603135</v>
      </c>
      <c r="R15" s="275">
        <f t="shared" si="5"/>
        <v>53487.804721810782</v>
      </c>
      <c r="S15" s="275">
        <f t="shared" si="5"/>
        <v>57069.212475042688</v>
      </c>
      <c r="T15" s="276">
        <f>+IF(ISERROR((I15/G15)^(1/(COUNT($G$10:$I$10)-1))-1),"-",(I15/G15)^(1/(COUNT($G$10:$I$10)-1))-1)</f>
        <v>-9.450454439869227E-2</v>
      </c>
      <c r="U15" s="276">
        <f>+IF(ISERROR((P15/J15)^(1/(COUNT($J$10:$P$10)-1))-1),"-",(P15/J15)^(1/(COUNT($J$10:$P$10)-1))-1)</f>
        <v>9.8006142257860862E-2</v>
      </c>
      <c r="V15" s="276">
        <f>+IF(ISERROR((Q15/J15)^(1/(COUNT($J$10:$S$10)-1))-1),"-",(Q15/J15)^(1/(COUNT($J$10:$S$10)-1))-1)</f>
        <v>7.197571380226675E-2</v>
      </c>
      <c r="X15" s="287" t="s">
        <v>1</v>
      </c>
      <c r="Y15" s="277" t="e">
        <f>#REF!-#REF!</f>
        <v>#REF!</v>
      </c>
      <c r="Z15" s="277" t="e">
        <f>#REF!-#REF!</f>
        <v>#REF!</v>
      </c>
      <c r="AA15" s="277" t="e">
        <f>#REF!-#REF!</f>
        <v>#REF!</v>
      </c>
      <c r="AB15" s="277">
        <f>J15-'Inc St'!AC32</f>
        <v>0</v>
      </c>
      <c r="AC15" s="277">
        <f>K15-'Inc St'!AD32</f>
        <v>0</v>
      </c>
      <c r="AD15" s="277">
        <f>L15-'Inc St'!AE32</f>
        <v>0</v>
      </c>
      <c r="AE15" s="277">
        <f>M15-'Inc St'!AF32</f>
        <v>0</v>
      </c>
      <c r="AF15" s="277">
        <f>N15-'Inc St'!AG32</f>
        <v>0</v>
      </c>
      <c r="AG15" s="277">
        <f>O15-'Inc St'!AH32</f>
        <v>0</v>
      </c>
      <c r="AH15" s="277">
        <f>P15-'Inc St'!AI32</f>
        <v>0</v>
      </c>
      <c r="AI15" s="277">
        <f>Q15-'Inc St'!AJ32</f>
        <v>0</v>
      </c>
      <c r="AJ15" s="277">
        <f>R15-'Inc St'!AK32</f>
        <v>0</v>
      </c>
      <c r="AK15" s="277">
        <f>S15-'Inc St'!AL32</f>
        <v>0</v>
      </c>
    </row>
    <row r="16" spans="1:37" s="257" customFormat="1" ht="16">
      <c r="B16" s="278" t="s">
        <v>25</v>
      </c>
      <c r="C16" s="254"/>
      <c r="D16" s="254"/>
      <c r="E16" s="279"/>
      <c r="F16" s="279"/>
      <c r="G16" s="279"/>
      <c r="H16" s="279">
        <f>IFERROR(H15/H11,0)</f>
        <v>0.10487440287825581</v>
      </c>
      <c r="I16" s="288">
        <f>IFERROR(I15/I11,0)</f>
        <v>0.10514943838577924</v>
      </c>
      <c r="J16" s="279">
        <f>'Operating Assumptions'!G23</f>
        <v>8.9111412821361854E-2</v>
      </c>
      <c r="K16" s="279">
        <f>'Operating Assumptions'!H23</f>
        <v>9.0875859775765261E-2</v>
      </c>
      <c r="L16" s="279">
        <f>'Operating Assumptions'!I23</f>
        <v>9.0756353112413715E-2</v>
      </c>
      <c r="M16" s="279">
        <f>'Operating Assumptions'!J23</f>
        <v>9.0468704496502586E-2</v>
      </c>
      <c r="N16" s="279">
        <f>'Operating Assumptions'!K23</f>
        <v>9.0028341781406299E-2</v>
      </c>
      <c r="O16" s="279">
        <f>'Operating Assumptions'!L23</f>
        <v>9.1452773637144283E-2</v>
      </c>
      <c r="P16" s="279">
        <f>'Operating Assumptions'!M23</f>
        <v>9.0263950711316654E-2</v>
      </c>
      <c r="Q16" s="279">
        <f>'Operating Assumptions'!N23</f>
        <v>8.8881363414500883E-2</v>
      </c>
      <c r="R16" s="279">
        <f>'Operating Assumptions'!O23</f>
        <v>8.730936220433913E-2</v>
      </c>
      <c r="S16" s="279">
        <f>'Operating Assumptions'!P23</f>
        <v>8.5553015171023636E-2</v>
      </c>
      <c r="T16" s="293"/>
      <c r="U16" s="276"/>
      <c r="V16" s="276"/>
      <c r="X16" s="271"/>
      <c r="Y16" s="271"/>
      <c r="Z16" s="271"/>
      <c r="AA16" s="271"/>
      <c r="AB16" s="271"/>
      <c r="AC16" s="271"/>
      <c r="AD16" s="271"/>
      <c r="AE16" s="271"/>
      <c r="AH16" s="277"/>
      <c r="AI16" s="277"/>
      <c r="AJ16" s="277"/>
      <c r="AK16" s="277"/>
    </row>
    <row r="17" spans="1:37" s="257" customFormat="1" ht="16">
      <c r="A17" s="254"/>
      <c r="B17" s="290" t="s">
        <v>167</v>
      </c>
      <c r="C17" s="290"/>
      <c r="D17" s="290"/>
      <c r="E17" s="290"/>
      <c r="F17" s="290"/>
      <c r="G17" s="284"/>
      <c r="H17" s="284"/>
      <c r="I17" s="285"/>
      <c r="J17" s="286">
        <f t="shared" ref="J17:S17" si="6">J18*J11</f>
        <v>304.99999999999994</v>
      </c>
      <c r="K17" s="286">
        <f t="shared" si="6"/>
        <v>320.25000000000006</v>
      </c>
      <c r="L17" s="286">
        <f t="shared" si="6"/>
        <v>336.26250000000005</v>
      </c>
      <c r="M17" s="286">
        <f t="shared" si="6"/>
        <v>353.07562500000012</v>
      </c>
      <c r="N17" s="286">
        <f t="shared" si="6"/>
        <v>370.72940625000018</v>
      </c>
      <c r="O17" s="286">
        <f t="shared" si="6"/>
        <v>389.26587656250024</v>
      </c>
      <c r="P17" s="286">
        <f t="shared" si="6"/>
        <v>408.72917039062526</v>
      </c>
      <c r="Q17" s="286">
        <f t="shared" si="6"/>
        <v>429.16562891015661</v>
      </c>
      <c r="R17" s="286">
        <f t="shared" si="6"/>
        <v>450.62391035566452</v>
      </c>
      <c r="S17" s="286">
        <f t="shared" si="6"/>
        <v>473.15510587344772</v>
      </c>
      <c r="T17" s="282"/>
      <c r="U17" s="283"/>
      <c r="V17" s="283"/>
      <c r="X17" s="287" t="s">
        <v>167</v>
      </c>
      <c r="Y17" s="277"/>
      <c r="Z17" s="277"/>
      <c r="AA17" s="277" t="e">
        <f>I17+#REF!</f>
        <v>#REF!</v>
      </c>
      <c r="AB17" s="277">
        <f>J17-('Inc St'!AC13+'Inc St'!AC15)</f>
        <v>0</v>
      </c>
      <c r="AC17" s="277">
        <f>K17-('Inc St'!AD13+'Inc St'!AD15)</f>
        <v>0</v>
      </c>
      <c r="AD17" s="277">
        <f>L17-('Inc St'!AE13+'Inc St'!AE15)</f>
        <v>0</v>
      </c>
      <c r="AE17" s="277">
        <f>M17-('Inc St'!AF13+'Inc St'!AF15)</f>
        <v>0</v>
      </c>
      <c r="AF17" s="277">
        <f>N17-('Inc St'!AG13+'Inc St'!AG15)</f>
        <v>0</v>
      </c>
      <c r="AG17" s="277">
        <f>O17-('Inc St'!AH13+'Inc St'!AH15)</f>
        <v>0</v>
      </c>
      <c r="AH17" s="277">
        <f>P17-('Inc St'!AI13+'Inc St'!AI15)</f>
        <v>0</v>
      </c>
      <c r="AI17" s="277">
        <f>Q17-('Inc St'!AJ13+'Inc St'!AJ15)</f>
        <v>0</v>
      </c>
      <c r="AJ17" s="277">
        <f>R17-('Inc St'!AK13+'Inc St'!AK15)</f>
        <v>0</v>
      </c>
      <c r="AK17" s="277">
        <f>S17-('Inc St'!AL13+'Inc St'!AL15)</f>
        <v>0</v>
      </c>
    </row>
    <row r="18" spans="1:37" s="257" customFormat="1" ht="16">
      <c r="A18" s="254"/>
      <c r="B18" s="291" t="s">
        <v>28</v>
      </c>
      <c r="C18" s="290"/>
      <c r="D18" s="290"/>
      <c r="E18" s="290"/>
      <c r="F18" s="290"/>
      <c r="G18" s="279"/>
      <c r="H18" s="279"/>
      <c r="I18" s="280"/>
      <c r="J18" s="281">
        <f>'Operating Assumptions'!G13</f>
        <v>1.0132617331889359E-3</v>
      </c>
      <c r="K18" s="281">
        <f>'Operating Assumptions'!H13</f>
        <v>9.7797710436510542E-4</v>
      </c>
      <c r="L18" s="281">
        <f>'Operating Assumptions'!I13</f>
        <v>9.2555832214725781E-4</v>
      </c>
      <c r="M18" s="281">
        <f>'Operating Assumptions'!J13</f>
        <v>8.7469445149887266E-4</v>
      </c>
      <c r="N18" s="281">
        <f>'Operating Assumptions'!K13</f>
        <v>8.2536613412102615E-4</v>
      </c>
      <c r="O18" s="281">
        <f>'Operating Assumptions'!L13</f>
        <v>8.0784310089174324E-4</v>
      </c>
      <c r="P18" s="281">
        <f>'Operating Assumptions'!M13</f>
        <v>7.8489186367996242E-4</v>
      </c>
      <c r="Q18" s="281">
        <f>'Operating Assumptions'!N13</f>
        <v>7.6078089335864646E-4</v>
      </c>
      <c r="R18" s="281">
        <f>'Operating Assumptions'!O13</f>
        <v>7.3556367496860722E-4</v>
      </c>
      <c r="S18" s="281">
        <f>'Operating Assumptions'!P13</f>
        <v>7.0931145175239408E-4</v>
      </c>
      <c r="T18" s="282"/>
      <c r="U18" s="283"/>
      <c r="V18" s="283"/>
      <c r="X18" s="271"/>
      <c r="Y18" s="271"/>
      <c r="Z18" s="271"/>
      <c r="AA18" s="271"/>
      <c r="AB18" s="271"/>
      <c r="AC18" s="271"/>
      <c r="AD18" s="271"/>
      <c r="AE18" s="271"/>
      <c r="AH18" s="277"/>
      <c r="AI18" s="277"/>
      <c r="AJ18" s="277"/>
      <c r="AK18" s="277"/>
    </row>
    <row r="19" spans="1:37" s="257" customFormat="1" ht="16">
      <c r="A19" s="290"/>
      <c r="B19" s="290" t="s">
        <v>26</v>
      </c>
      <c r="C19" s="290"/>
      <c r="D19" s="290"/>
      <c r="E19" s="290"/>
      <c r="F19" s="290"/>
      <c r="G19" s="290"/>
      <c r="H19" s="290"/>
      <c r="I19" s="294"/>
      <c r="J19" s="295">
        <f t="shared" ref="J19:S19" ca="1" si="7">(J15-J13-J21-J17)*J20</f>
        <v>4323.8861952482903</v>
      </c>
      <c r="K19" s="295">
        <f t="shared" ca="1" si="7"/>
        <v>5181.5065472980377</v>
      </c>
      <c r="L19" s="295">
        <f t="shared" ca="1" si="7"/>
        <v>6143.0307752345852</v>
      </c>
      <c r="M19" s="295">
        <f t="shared" ca="1" si="7"/>
        <v>7292.096306373609</v>
      </c>
      <c r="N19" s="295">
        <f t="shared" ca="1" si="7"/>
        <v>8675.1798166684148</v>
      </c>
      <c r="O19" s="295">
        <f t="shared" ca="1" si="7"/>
        <v>9956.0115467090964</v>
      </c>
      <c r="P19" s="295">
        <f t="shared" ca="1" si="7"/>
        <v>11012.773378840411</v>
      </c>
      <c r="Q19" s="295">
        <f t="shared" ca="1" si="7"/>
        <v>12111.789749167669</v>
      </c>
      <c r="R19" s="295">
        <f t="shared" ca="1" si="7"/>
        <v>13174.180890254092</v>
      </c>
      <c r="S19" s="296">
        <f t="shared" ca="1" si="7"/>
        <v>14321.774932710681</v>
      </c>
      <c r="T19" s="297"/>
      <c r="U19" s="276"/>
      <c r="V19" s="276"/>
      <c r="X19" s="271"/>
      <c r="Y19" s="271"/>
      <c r="Z19" s="271"/>
      <c r="AA19" s="271"/>
      <c r="AB19" s="271"/>
      <c r="AC19" s="271"/>
      <c r="AD19" s="271"/>
      <c r="AE19" s="271"/>
      <c r="AH19" s="277"/>
      <c r="AI19" s="277"/>
      <c r="AJ19" s="277"/>
      <c r="AK19" s="277"/>
    </row>
    <row r="20" spans="1:37" s="257" customFormat="1" ht="16">
      <c r="B20" s="291" t="s">
        <v>27</v>
      </c>
      <c r="C20" s="290"/>
      <c r="D20" s="290"/>
      <c r="E20" s="290"/>
      <c r="F20" s="290"/>
      <c r="G20" s="290"/>
      <c r="H20" s="290"/>
      <c r="I20" s="298"/>
      <c r="J20" s="802">
        <f>'Operating Assumptions'!G18</f>
        <v>0.33500000000000002</v>
      </c>
      <c r="K20" s="299">
        <f>'Operating Assumptions'!H18</f>
        <v>0.33499999999999996</v>
      </c>
      <c r="L20" s="299">
        <f>'Operating Assumptions'!I18</f>
        <v>0.33500000000000002</v>
      </c>
      <c r="M20" s="299">
        <f>'Operating Assumptions'!J18</f>
        <v>0.33500000000000002</v>
      </c>
      <c r="N20" s="299">
        <f>'Operating Assumptions'!K18</f>
        <v>0.33500000000000002</v>
      </c>
      <c r="O20" s="299">
        <f>'Operating Assumptions'!L18</f>
        <v>0.33500000000000002</v>
      </c>
      <c r="P20" s="299">
        <f>'Operating Assumptions'!M18</f>
        <v>0.33500000000000002</v>
      </c>
      <c r="Q20" s="299">
        <f>'Operating Assumptions'!N18</f>
        <v>0.33500000000000002</v>
      </c>
      <c r="R20" s="299">
        <f>'Operating Assumptions'!O18</f>
        <v>0.33500000000000002</v>
      </c>
      <c r="S20" s="299">
        <f>'Operating Assumptions'!P18</f>
        <v>0.33500000000000002</v>
      </c>
      <c r="T20" s="293"/>
      <c r="U20" s="276"/>
      <c r="V20" s="276"/>
      <c r="X20" s="271"/>
      <c r="Y20" s="271"/>
      <c r="Z20" s="271"/>
      <c r="AA20" s="271"/>
      <c r="AB20" s="271"/>
      <c r="AC20" s="271"/>
      <c r="AD20" s="271"/>
      <c r="AE20" s="271"/>
      <c r="AH20" s="277"/>
      <c r="AI20" s="277"/>
      <c r="AJ20" s="277"/>
      <c r="AK20" s="277"/>
    </row>
    <row r="21" spans="1:37" s="257" customFormat="1" ht="16">
      <c r="B21" s="257" t="s">
        <v>29</v>
      </c>
      <c r="I21" s="294"/>
      <c r="J21" s="295">
        <f ca="1">J109</f>
        <v>4743.1350485136245</v>
      </c>
      <c r="K21" s="295">
        <f t="shared" ref="K21:P21" ca="1" si="8">K109</f>
        <v>4492.9256118135072</v>
      </c>
      <c r="L21" s="295">
        <f t="shared" ca="1" si="8"/>
        <v>4210.817519343138</v>
      </c>
      <c r="M21" s="295">
        <f t="shared" ca="1" si="8"/>
        <v>3699.7041129383233</v>
      </c>
      <c r="N21" s="295">
        <f t="shared" ca="1" si="8"/>
        <v>2863.2089711650569</v>
      </c>
      <c r="O21" s="295">
        <f t="shared" ca="1" si="8"/>
        <v>2142.2383497259011</v>
      </c>
      <c r="P21" s="295">
        <f t="shared" ca="1" si="8"/>
        <v>1320.9482778265794</v>
      </c>
      <c r="Q21" s="295">
        <f t="shared" ref="Q21:S21" ca="1" si="9">Q109</f>
        <v>569.71739995672488</v>
      </c>
      <c r="R21" s="295">
        <f t="shared" ca="1" si="9"/>
        <v>141.08821903951798</v>
      </c>
      <c r="S21" s="295">
        <f t="shared" ca="1" si="9"/>
        <v>-310.30446594110595</v>
      </c>
      <c r="T21" s="293"/>
      <c r="U21" s="276"/>
      <c r="V21" s="276"/>
      <c r="X21" s="271"/>
      <c r="Y21" s="271"/>
      <c r="Z21" s="271"/>
      <c r="AA21" s="271"/>
      <c r="AB21" s="271"/>
      <c r="AC21" s="271"/>
      <c r="AD21" s="271"/>
      <c r="AE21" s="271"/>
      <c r="AH21" s="277"/>
      <c r="AI21" s="277"/>
      <c r="AJ21" s="277"/>
      <c r="AK21" s="277"/>
    </row>
    <row r="22" spans="1:37" s="257" customFormat="1" ht="16">
      <c r="A22" s="290"/>
      <c r="B22" s="290" t="s">
        <v>30</v>
      </c>
      <c r="C22" s="290"/>
      <c r="D22" s="290"/>
      <c r="E22" s="290"/>
      <c r="F22" s="290"/>
      <c r="G22" s="290"/>
      <c r="H22" s="290"/>
      <c r="I22" s="285">
        <v>504.0104608552719</v>
      </c>
      <c r="J22" s="286">
        <f>J24-I24</f>
        <v>-5538.9593432679249</v>
      </c>
      <c r="K22" s="286">
        <f t="shared" ref="K22:S22" si="10">K24-J24</f>
        <v>7120.7683588803047</v>
      </c>
      <c r="L22" s="286">
        <f t="shared" si="10"/>
        <v>10304.068443443</v>
      </c>
      <c r="M22" s="286">
        <f t="shared" si="10"/>
        <v>11874.927047588077</v>
      </c>
      <c r="N22" s="286">
        <f t="shared" si="10"/>
        <v>13659.481333809439</v>
      </c>
      <c r="O22" s="286">
        <f t="shared" si="10"/>
        <v>9525.2028109234816</v>
      </c>
      <c r="P22" s="286">
        <f t="shared" si="10"/>
        <v>11641.471447277698</v>
      </c>
      <c r="Q22" s="286">
        <f t="shared" si="10"/>
        <v>13188.449465709826</v>
      </c>
      <c r="R22" s="286">
        <f t="shared" si="10"/>
        <v>14951.287921909534</v>
      </c>
      <c r="S22" s="286">
        <f t="shared" si="10"/>
        <v>16967.574900430831</v>
      </c>
      <c r="T22" s="276"/>
      <c r="U22" s="276"/>
      <c r="V22" s="276"/>
      <c r="X22" s="300" t="s">
        <v>143</v>
      </c>
      <c r="Y22" s="287"/>
      <c r="Z22" s="271"/>
      <c r="AA22" s="301" t="e">
        <f>J22-#REF!/1000000</f>
        <v>#REF!</v>
      </c>
      <c r="AB22" s="792" t="e">
        <f>K22-#REF!/1000000</f>
        <v>#REF!</v>
      </c>
      <c r="AC22" s="792" t="e">
        <f>L22-#REF!/1000000</f>
        <v>#REF!</v>
      </c>
      <c r="AD22" s="792" t="e">
        <f>M22-#REF!/1000000</f>
        <v>#REF!</v>
      </c>
      <c r="AE22" s="792" t="e">
        <f>N22-#REF!/1000000</f>
        <v>#REF!</v>
      </c>
      <c r="AF22" s="793" t="e">
        <f>O22-#REF!/1000000</f>
        <v>#REF!</v>
      </c>
      <c r="AG22" s="793" t="e">
        <f>P22-#REF!/1000000</f>
        <v>#REF!</v>
      </c>
      <c r="AH22" s="793" t="e">
        <f>Q22-#REF!/1000000</f>
        <v>#REF!</v>
      </c>
      <c r="AI22" s="793" t="e">
        <f>R22-#REF!/1000000</f>
        <v>#REF!</v>
      </c>
      <c r="AJ22" s="793" t="e">
        <f>S22-#REF!/1000000</f>
        <v>#REF!</v>
      </c>
      <c r="AK22" s="793" t="e">
        <f>T22-#REF!/1000000</f>
        <v>#REF!</v>
      </c>
    </row>
    <row r="23" spans="1:37" s="257" customFormat="1" ht="16" outlineLevel="1">
      <c r="A23" s="290"/>
      <c r="B23" s="302" t="s">
        <v>31</v>
      </c>
      <c r="C23" s="290"/>
      <c r="D23" s="290"/>
      <c r="E23" s="290"/>
      <c r="F23" s="290"/>
      <c r="G23" s="290"/>
      <c r="H23" s="290"/>
      <c r="I23" s="280">
        <v>4.9294330336371497E-2</v>
      </c>
      <c r="J23" s="281">
        <v>6.6071216573007643E-2</v>
      </c>
      <c r="K23" s="281">
        <v>2.931946181168818E-2</v>
      </c>
      <c r="L23" s="281">
        <v>3.3009680547127752E-2</v>
      </c>
      <c r="M23" s="281">
        <v>3.0648117832161523E-2</v>
      </c>
      <c r="N23" s="281">
        <v>2.0188963934624483E-2</v>
      </c>
      <c r="O23" s="281">
        <v>2.1881302874412291E-2</v>
      </c>
      <c r="P23" s="281">
        <v>2.3001667369261011E-2</v>
      </c>
      <c r="Q23" s="281">
        <v>2.4759950159629621E-2</v>
      </c>
      <c r="R23" s="281">
        <v>2.5558224137163753E-2</v>
      </c>
      <c r="S23" s="281">
        <v>2.6085759218301623E-2</v>
      </c>
      <c r="T23" s="276"/>
      <c r="U23" s="276"/>
      <c r="V23" s="276"/>
      <c r="Y23" s="287"/>
      <c r="Z23" s="271"/>
      <c r="AA23" s="301"/>
      <c r="AB23" s="792"/>
      <c r="AC23" s="792"/>
      <c r="AD23" s="792"/>
      <c r="AE23" s="792"/>
      <c r="AF23" s="794"/>
      <c r="AG23" s="794"/>
      <c r="AH23" s="793"/>
      <c r="AI23" s="793"/>
      <c r="AJ23" s="793"/>
      <c r="AK23" s="793"/>
    </row>
    <row r="24" spans="1:37" s="257" customFormat="1" ht="16" outlineLevel="1">
      <c r="A24" s="290"/>
      <c r="B24" s="303" t="str">
        <f>"Net WC"</f>
        <v>Net WC</v>
      </c>
      <c r="C24" s="290"/>
      <c r="D24" s="290"/>
      <c r="E24" s="290"/>
      <c r="F24" s="290"/>
      <c r="G24" s="290"/>
      <c r="H24" s="290"/>
      <c r="I24" s="285">
        <f t="shared" ref="I24:S24" si="11">I11*I25</f>
        <v>128716.00000000001</v>
      </c>
      <c r="J24" s="286">
        <f t="shared" si="11"/>
        <v>123177.04065673209</v>
      </c>
      <c r="K24" s="286">
        <f t="shared" si="11"/>
        <v>130297.80901561239</v>
      </c>
      <c r="L24" s="286">
        <f t="shared" si="11"/>
        <v>140601.87745905539</v>
      </c>
      <c r="M24" s="286">
        <f t="shared" si="11"/>
        <v>152476.80450664347</v>
      </c>
      <c r="N24" s="286">
        <f t="shared" si="11"/>
        <v>166136.28584045291</v>
      </c>
      <c r="O24" s="286">
        <f t="shared" si="11"/>
        <v>175661.48865137639</v>
      </c>
      <c r="P24" s="286">
        <f t="shared" si="11"/>
        <v>187302.96009865409</v>
      </c>
      <c r="Q24" s="286">
        <f t="shared" si="11"/>
        <v>200491.40956436392</v>
      </c>
      <c r="R24" s="286">
        <f t="shared" si="11"/>
        <v>215442.69748627345</v>
      </c>
      <c r="S24" s="286">
        <f t="shared" si="11"/>
        <v>232410.27238670428</v>
      </c>
      <c r="T24" s="276"/>
      <c r="U24" s="276"/>
      <c r="V24" s="276"/>
      <c r="X24" s="300" t="s">
        <v>165</v>
      </c>
      <c r="Y24" s="287"/>
      <c r="Z24" s="271"/>
      <c r="AA24" s="301" t="e">
        <f>I24-#REF!/1000000</f>
        <v>#REF!</v>
      </c>
      <c r="AB24" s="792" t="e">
        <f>J24-#REF!/1000000</f>
        <v>#REF!</v>
      </c>
      <c r="AC24" s="792" t="e">
        <f>K24-#REF!/1000000</f>
        <v>#REF!</v>
      </c>
      <c r="AD24" s="792" t="e">
        <f>L24-#REF!/1000000</f>
        <v>#REF!</v>
      </c>
      <c r="AE24" s="792" t="e">
        <f>M24-#REF!/1000000</f>
        <v>#REF!</v>
      </c>
      <c r="AF24" s="793" t="e">
        <f>N24-#REF!/1000000</f>
        <v>#REF!</v>
      </c>
      <c r="AG24" s="793" t="e">
        <f>O24-#REF!/1000000</f>
        <v>#REF!</v>
      </c>
      <c r="AH24" s="793" t="e">
        <f>P24-#REF!/1000000</f>
        <v>#REF!</v>
      </c>
      <c r="AI24" s="793" t="e">
        <f>Q24-#REF!/1000000</f>
        <v>#REF!</v>
      </c>
      <c r="AJ24" s="793" t="e">
        <f>R24-#REF!/1000000</f>
        <v>#REF!</v>
      </c>
      <c r="AK24" s="793" t="e">
        <f>S24-#REF!/1000000</f>
        <v>#REF!</v>
      </c>
    </row>
    <row r="25" spans="1:37" s="257" customFormat="1" ht="16" outlineLevel="1">
      <c r="A25" s="290"/>
      <c r="B25" s="304" t="s">
        <v>31</v>
      </c>
      <c r="C25" s="290"/>
      <c r="D25" s="290"/>
      <c r="E25" s="290"/>
      <c r="F25" s="290"/>
      <c r="G25" s="290"/>
      <c r="H25" s="290"/>
      <c r="I25" s="280">
        <f>'Operating Assumptions'!F42</f>
        <v>0.51572116291398773</v>
      </c>
      <c r="J25" s="281">
        <f>'Operating Assumptions'!G42</f>
        <v>0.40921502198335868</v>
      </c>
      <c r="K25" s="281">
        <f>'Operating Assumptions'!H42</f>
        <v>0.39790249482031576</v>
      </c>
      <c r="L25" s="281">
        <f>'Operating Assumptions'!I42</f>
        <v>0.38700490774843355</v>
      </c>
      <c r="M25" s="281">
        <f>'Operating Assumptions'!J42</f>
        <v>0.37773951369268077</v>
      </c>
      <c r="N25" s="281">
        <f>'Operating Assumptions'!K42</f>
        <v>0.36987425780001859</v>
      </c>
      <c r="O25" s="281">
        <f>'Operating Assumptions'!L42</f>
        <v>0.36455011919495389</v>
      </c>
      <c r="P25" s="281">
        <f>'Operating Assumptions'!M42</f>
        <v>0.359682107553286</v>
      </c>
      <c r="Q25" s="281">
        <f>'Operating Assumptions'!N42</f>
        <v>0.35541064662250099</v>
      </c>
      <c r="R25" s="281">
        <f>'Operating Assumptions'!O42</f>
        <v>0.35167202331335667</v>
      </c>
      <c r="S25" s="281">
        <f>'Operating Assumptions'!P42</f>
        <v>0.34840851480291213</v>
      </c>
      <c r="T25" s="276"/>
      <c r="U25" s="276"/>
      <c r="V25" s="276"/>
      <c r="Y25" s="287"/>
      <c r="Z25" s="271"/>
      <c r="AA25" s="301"/>
      <c r="AB25" s="301"/>
      <c r="AC25" s="301"/>
      <c r="AD25" s="301"/>
      <c r="AE25" s="301"/>
      <c r="AH25" s="277"/>
      <c r="AI25" s="277"/>
      <c r="AJ25" s="277"/>
      <c r="AK25" s="277"/>
    </row>
    <row r="26" spans="1:37" s="257" customFormat="1" ht="16" outlineLevel="1">
      <c r="A26" s="290"/>
      <c r="B26" s="306" t="s">
        <v>162</v>
      </c>
      <c r="C26" s="290"/>
      <c r="D26" s="290"/>
      <c r="E26" s="290"/>
      <c r="F26" s="290"/>
      <c r="G26" s="284"/>
      <c r="H26" s="284"/>
      <c r="I26" s="285">
        <f t="shared" ref="I26:S26" si="12">I27*I11</f>
        <v>5873</v>
      </c>
      <c r="J26" s="286">
        <f t="shared" si="12"/>
        <v>6100</v>
      </c>
      <c r="K26" s="286">
        <f t="shared" si="12"/>
        <v>6100</v>
      </c>
      <c r="L26" s="286">
        <f t="shared" si="12"/>
        <v>6100</v>
      </c>
      <c r="M26" s="286">
        <f t="shared" si="12"/>
        <v>6100.0000000000009</v>
      </c>
      <c r="N26" s="286">
        <f t="shared" si="12"/>
        <v>6100.0000000000009</v>
      </c>
      <c r="O26" s="286">
        <f t="shared" si="12"/>
        <v>6100.0000000000018</v>
      </c>
      <c r="P26" s="286">
        <f t="shared" si="12"/>
        <v>7600.0000000000018</v>
      </c>
      <c r="Q26" s="286">
        <f t="shared" si="12"/>
        <v>7600.0000000000027</v>
      </c>
      <c r="R26" s="286">
        <f t="shared" si="12"/>
        <v>7600.0000000000045</v>
      </c>
      <c r="S26" s="286">
        <f t="shared" si="12"/>
        <v>7600.0000000000045</v>
      </c>
      <c r="T26" s="293"/>
      <c r="U26" s="276"/>
      <c r="V26" s="276"/>
      <c r="X26" s="287" t="s">
        <v>32</v>
      </c>
      <c r="Y26" s="287"/>
      <c r="Z26" s="271"/>
      <c r="AA26" s="305" t="e">
        <f>'Proposed Structure'!I26+#REF!</f>
        <v>#REF!</v>
      </c>
      <c r="AB26" s="277">
        <f>J26+'Cash Flow'!AC31</f>
        <v>0</v>
      </c>
      <c r="AC26" s="277">
        <f>K26+'Cash Flow'!AD31</f>
        <v>0</v>
      </c>
      <c r="AD26" s="277">
        <f>L26+'Cash Flow'!AE31</f>
        <v>0</v>
      </c>
      <c r="AE26" s="277">
        <f>M26+'Cash Flow'!AF31</f>
        <v>0</v>
      </c>
      <c r="AF26" s="277">
        <f>N26+'Cash Flow'!AG31</f>
        <v>0</v>
      </c>
      <c r="AG26" s="277">
        <f>O26+'Cash Flow'!AH31</f>
        <v>0</v>
      </c>
      <c r="AH26" s="277">
        <f>P26+'Cash Flow'!AI31</f>
        <v>0</v>
      </c>
      <c r="AI26" s="277">
        <f>Q26+'Cash Flow'!AJ31</f>
        <v>0</v>
      </c>
      <c r="AJ26" s="277">
        <f>R26+'Cash Flow'!AK31</f>
        <v>0</v>
      </c>
      <c r="AK26" s="277">
        <f>S26+'Cash Flow'!AL31</f>
        <v>0</v>
      </c>
    </row>
    <row r="27" spans="1:37" s="257" customFormat="1" ht="16" outlineLevel="1">
      <c r="B27" s="307" t="s">
        <v>31</v>
      </c>
      <c r="G27" s="279"/>
      <c r="H27" s="279"/>
      <c r="I27" s="280">
        <f>'Cash Flow'!AB36</f>
        <v>2.3531110272179447E-2</v>
      </c>
      <c r="J27" s="803">
        <f>'Operating Assumptions'!G37</f>
        <v>2.026523466377872E-2</v>
      </c>
      <c r="K27" s="289">
        <f>'Operating Assumptions'!H37</f>
        <v>1.8628135321240101E-2</v>
      </c>
      <c r="L27" s="289">
        <f>'Operating Assumptions'!I37</f>
        <v>1.6790173644394696E-2</v>
      </c>
      <c r="M27" s="289">
        <f>'Operating Assumptions'!J37</f>
        <v>1.5111879088631855E-2</v>
      </c>
      <c r="N27" s="289">
        <f>'Operating Assumptions'!K37</f>
        <v>1.3580615223015529E-2</v>
      </c>
      <c r="O27" s="289">
        <f>'Operating Assumptions'!L37</f>
        <v>1.2659324158994E-2</v>
      </c>
      <c r="P27" s="289">
        <f>'Operating Assumptions'!M37</f>
        <v>1.4594451769289562E-2</v>
      </c>
      <c r="Q27" s="289">
        <f>'Operating Assumptions'!N37</f>
        <v>1.3472501989986087E-2</v>
      </c>
      <c r="R27" s="289">
        <f>'Operating Assumptions'!O37</f>
        <v>1.2405653142881759E-2</v>
      </c>
      <c r="S27" s="289">
        <f>'Operating Assumptions'!P37</f>
        <v>1.1393234409606134E-2</v>
      </c>
      <c r="T27" s="293"/>
      <c r="U27" s="276"/>
      <c r="V27" s="276"/>
    </row>
    <row r="28" spans="1:37" s="257" customFormat="1" ht="16">
      <c r="B28" s="308" t="s">
        <v>33</v>
      </c>
      <c r="C28" s="308"/>
      <c r="D28" s="308"/>
      <c r="E28" s="309"/>
      <c r="F28" s="309"/>
      <c r="G28" s="309"/>
      <c r="H28" s="309"/>
      <c r="I28" s="310"/>
      <c r="J28" s="309">
        <f t="shared" ref="J28:S28" ca="1" si="13">J15-J19-J22-J26</f>
        <v>21938.331167423676</v>
      </c>
      <c r="K28" s="309">
        <f t="shared" ca="1" si="13"/>
        <v>11356.084428912891</v>
      </c>
      <c r="L28" s="309">
        <f t="shared" ca="1" si="13"/>
        <v>10425.386099873271</v>
      </c>
      <c r="M28" s="309">
        <f t="shared" ca="1" si="13"/>
        <v>11251.20804479338</v>
      </c>
      <c r="N28" s="309">
        <f t="shared" ca="1" si="13"/>
        <v>12003.336381171277</v>
      </c>
      <c r="O28" s="309">
        <f t="shared" ca="1" si="13"/>
        <v>18486.060654852132</v>
      </c>
      <c r="P28" s="309">
        <f t="shared" ca="1" si="13"/>
        <v>16750.331724646065</v>
      </c>
      <c r="Q28" s="309">
        <f t="shared" ca="1" si="13"/>
        <v>17238.804182725635</v>
      </c>
      <c r="R28" s="309">
        <f t="shared" ca="1" si="13"/>
        <v>17762.33590964715</v>
      </c>
      <c r="S28" s="310">
        <f t="shared" ca="1" si="13"/>
        <v>18179.862641901174</v>
      </c>
      <c r="T28" s="309"/>
      <c r="U28" s="311">
        <f ca="1">+IF(ISERROR((P28/J28)^(1/(COUNT($J$10:$P$10)-1))-1),"-",(P28/J28)^(1/(COUNT($J$10:$P$10)-1))-1)</f>
        <v>-4.3973411735287682E-2</v>
      </c>
      <c r="V28" s="311">
        <f ca="1">+IF(ISERROR((Q28/J28)^(1/(COUNT($J$10:$S$10)-1))-1),"-",(Q28/J28)^(1/(COUNT($J$10:$S$10)-1))-1)</f>
        <v>-2.6430273385912306E-2</v>
      </c>
    </row>
    <row r="29" spans="1:37" s="257" customFormat="1" ht="16"/>
    <row r="30" spans="1:37" s="257" customFormat="1" ht="16">
      <c r="J30" s="312"/>
      <c r="K30" s="312"/>
      <c r="L30" s="312"/>
      <c r="M30" s="312"/>
      <c r="N30" s="312"/>
      <c r="O30" s="312"/>
      <c r="P30" s="312"/>
      <c r="Q30" s="312"/>
      <c r="R30" s="312"/>
      <c r="S30" s="312"/>
    </row>
    <row r="31" spans="1:37" s="257" customFormat="1" ht="16">
      <c r="B31" s="257" t="str">
        <f>"+Net Interest Payments"</f>
        <v>+Net Interest Payments</v>
      </c>
      <c r="I31" s="295"/>
      <c r="J31" s="295">
        <f ca="1">J109</f>
        <v>4743.1350485136245</v>
      </c>
      <c r="K31" s="295">
        <f t="shared" ref="K31:S31" ca="1" si="14">K109</f>
        <v>4492.9256118135072</v>
      </c>
      <c r="L31" s="295">
        <f t="shared" ca="1" si="14"/>
        <v>4210.817519343138</v>
      </c>
      <c r="M31" s="295">
        <f t="shared" ca="1" si="14"/>
        <v>3699.7041129383233</v>
      </c>
      <c r="N31" s="295">
        <f t="shared" ca="1" si="14"/>
        <v>2863.2089711650569</v>
      </c>
      <c r="O31" s="295">
        <f t="shared" ca="1" si="14"/>
        <v>2142.2383497259011</v>
      </c>
      <c r="P31" s="295">
        <f t="shared" ca="1" si="14"/>
        <v>1320.9482778265794</v>
      </c>
      <c r="Q31" s="295">
        <f t="shared" ca="1" si="14"/>
        <v>569.71739995672488</v>
      </c>
      <c r="R31" s="295">
        <f t="shared" ca="1" si="14"/>
        <v>141.08821903951798</v>
      </c>
      <c r="S31" s="295">
        <f t="shared" ca="1" si="14"/>
        <v>-310.30446594110595</v>
      </c>
    </row>
    <row r="32" spans="1:37" s="257" customFormat="1" ht="16">
      <c r="B32" s="257" t="str">
        <f>"+Amortization"</f>
        <v>+Amortization</v>
      </c>
      <c r="I32" s="295"/>
      <c r="J32" s="295">
        <f t="shared" ref="J32:S32" si="15">+J87+J101</f>
        <v>6800</v>
      </c>
      <c r="K32" s="295">
        <f t="shared" si="15"/>
        <v>6800</v>
      </c>
      <c r="L32" s="295">
        <f t="shared" si="15"/>
        <v>8500</v>
      </c>
      <c r="M32" s="295">
        <f t="shared" si="15"/>
        <v>11900.000000000002</v>
      </c>
      <c r="N32" s="295">
        <f t="shared" si="15"/>
        <v>21250</v>
      </c>
      <c r="O32" s="295">
        <f t="shared" si="15"/>
        <v>0</v>
      </c>
      <c r="P32" s="295">
        <f t="shared" ca="1" si="15"/>
        <v>20000</v>
      </c>
      <c r="Q32" s="295">
        <f t="shared" ca="1" si="15"/>
        <v>0</v>
      </c>
      <c r="R32" s="295">
        <f t="shared" ca="1" si="15"/>
        <v>0</v>
      </c>
      <c r="S32" s="295">
        <f t="shared" ca="1" si="15"/>
        <v>0</v>
      </c>
    </row>
    <row r="33" spans="1:27" s="257" customFormat="1" ht="16">
      <c r="B33" s="257" t="str">
        <f>"- New Debt"</f>
        <v>- New Debt</v>
      </c>
      <c r="I33" s="295"/>
      <c r="J33" s="295">
        <f>J88</f>
        <v>0</v>
      </c>
      <c r="K33" s="295">
        <f t="shared" ref="K33:S33" si="16">K88</f>
        <v>0</v>
      </c>
      <c r="L33" s="295">
        <f t="shared" si="16"/>
        <v>0</v>
      </c>
      <c r="M33" s="295">
        <f t="shared" si="16"/>
        <v>0</v>
      </c>
      <c r="N33" s="295">
        <f t="shared" si="16"/>
        <v>0</v>
      </c>
      <c r="O33" s="295">
        <f t="shared" si="16"/>
        <v>0</v>
      </c>
      <c r="P33" s="295">
        <f t="shared" si="16"/>
        <v>0</v>
      </c>
      <c r="Q33" s="295">
        <f t="shared" ca="1" si="16"/>
        <v>0</v>
      </c>
      <c r="R33" s="295">
        <f t="shared" ca="1" si="16"/>
        <v>0</v>
      </c>
      <c r="S33" s="295">
        <f t="shared" ca="1" si="16"/>
        <v>0</v>
      </c>
    </row>
    <row r="34" spans="1:27" s="257" customFormat="1" ht="16">
      <c r="B34" s="257" t="str">
        <f>"+Dividends"</f>
        <v>+Dividends</v>
      </c>
      <c r="I34" s="295"/>
      <c r="J34" s="295">
        <v>0</v>
      </c>
      <c r="K34" s="295">
        <v>0</v>
      </c>
      <c r="L34" s="295">
        <v>0</v>
      </c>
      <c r="M34" s="295">
        <v>0</v>
      </c>
      <c r="N34" s="295">
        <v>0</v>
      </c>
      <c r="O34" s="295">
        <v>0</v>
      </c>
      <c r="P34" s="295">
        <v>0</v>
      </c>
      <c r="Q34" s="295">
        <v>0</v>
      </c>
      <c r="R34" s="295">
        <v>0</v>
      </c>
      <c r="S34" s="295">
        <v>0</v>
      </c>
    </row>
    <row r="35" spans="1:27" s="257" customFormat="1" ht="16">
      <c r="B35" s="313" t="s">
        <v>34</v>
      </c>
      <c r="C35" s="313"/>
      <c r="D35" s="313"/>
      <c r="E35" s="313"/>
      <c r="F35" s="313"/>
      <c r="G35" s="313"/>
      <c r="H35" s="313"/>
      <c r="I35" s="309"/>
      <c r="J35" s="309">
        <f ca="1">J31+J32-J33+J34</f>
        <v>11543.135048513624</v>
      </c>
      <c r="K35" s="309">
        <f t="shared" ref="K35:S35" ca="1" si="17">K31+K32-K33+K34</f>
        <v>11292.925611813507</v>
      </c>
      <c r="L35" s="309">
        <f t="shared" ca="1" si="17"/>
        <v>12710.817519343138</v>
      </c>
      <c r="M35" s="309">
        <f t="shared" ca="1" si="17"/>
        <v>15599.704112938325</v>
      </c>
      <c r="N35" s="309">
        <f t="shared" ca="1" si="17"/>
        <v>24113.208971165055</v>
      </c>
      <c r="O35" s="309">
        <f t="shared" ca="1" si="17"/>
        <v>2142.2383497259011</v>
      </c>
      <c r="P35" s="309">
        <f t="shared" ca="1" si="17"/>
        <v>21320.948277826581</v>
      </c>
      <c r="Q35" s="309">
        <f t="shared" ca="1" si="17"/>
        <v>569.71739995672488</v>
      </c>
      <c r="R35" s="309">
        <f t="shared" ca="1" si="17"/>
        <v>141.08821903951798</v>
      </c>
      <c r="S35" s="309">
        <f t="shared" ca="1" si="17"/>
        <v>-310.30446594110595</v>
      </c>
    </row>
    <row r="36" spans="1:27" s="257" customFormat="1" ht="16">
      <c r="I36" s="295"/>
      <c r="J36" s="295"/>
      <c r="K36" s="295"/>
      <c r="L36" s="295"/>
      <c r="M36" s="295"/>
      <c r="N36" s="295"/>
      <c r="O36" s="295"/>
      <c r="P36" s="295"/>
      <c r="Q36" s="295"/>
      <c r="R36" s="295"/>
      <c r="S36" s="295"/>
    </row>
    <row r="37" spans="1:27" s="257" customFormat="1" ht="16">
      <c r="B37" s="314" t="s">
        <v>35</v>
      </c>
      <c r="C37" s="315"/>
      <c r="D37" s="315"/>
      <c r="E37" s="315"/>
      <c r="F37" s="315"/>
      <c r="G37" s="315"/>
      <c r="H37" s="315"/>
      <c r="I37" s="316"/>
      <c r="J37" s="316">
        <f ca="1">J28-J35</f>
        <v>10395.196118910051</v>
      </c>
      <c r="K37" s="316">
        <f t="shared" ref="K37:P37" ca="1" si="18">K28-K35</f>
        <v>63.158817099383668</v>
      </c>
      <c r="L37" s="316">
        <f t="shared" ca="1" si="18"/>
        <v>-2285.4314194698673</v>
      </c>
      <c r="M37" s="316">
        <f t="shared" ca="1" si="18"/>
        <v>-4348.4960681449447</v>
      </c>
      <c r="N37" s="316">
        <f t="shared" ca="1" si="18"/>
        <v>-12109.872589993778</v>
      </c>
      <c r="O37" s="316">
        <f t="shared" ca="1" si="18"/>
        <v>16343.82230512623</v>
      </c>
      <c r="P37" s="316">
        <f t="shared" ca="1" si="18"/>
        <v>-4570.6165531805163</v>
      </c>
      <c r="Q37" s="316">
        <f t="shared" ref="Q37:S37" ca="1" si="19">Q28-Q35</f>
        <v>16669.086782768911</v>
      </c>
      <c r="R37" s="316">
        <f t="shared" ca="1" si="19"/>
        <v>17621.247690607634</v>
      </c>
      <c r="S37" s="317">
        <f t="shared" ca="1" si="19"/>
        <v>18490.167107842281</v>
      </c>
    </row>
    <row r="38" spans="1:27" s="257" customFormat="1" ht="17" thickBot="1">
      <c r="B38" s="318" t="s">
        <v>36</v>
      </c>
      <c r="I38" s="295"/>
      <c r="J38" s="295">
        <f>J63</f>
        <v>40789</v>
      </c>
      <c r="K38" s="295">
        <f ca="1">J39</f>
        <v>51184.196118910055</v>
      </c>
      <c r="L38" s="295">
        <f t="shared" ref="L38:P38" ca="1" si="20">K39</f>
        <v>51247.35493600944</v>
      </c>
      <c r="M38" s="295">
        <f t="shared" ca="1" si="20"/>
        <v>48961.923516539573</v>
      </c>
      <c r="N38" s="295">
        <f t="shared" ca="1" si="20"/>
        <v>44613.427448394628</v>
      </c>
      <c r="O38" s="295">
        <f t="shared" ca="1" si="20"/>
        <v>32503.55485840085</v>
      </c>
      <c r="P38" s="295">
        <f t="shared" ca="1" si="20"/>
        <v>48847.377163527082</v>
      </c>
      <c r="Q38" s="295">
        <f t="shared" ref="Q38" ca="1" si="21">P39</f>
        <v>44276.760610346566</v>
      </c>
      <c r="R38" s="295">
        <f t="shared" ref="R38" ca="1" si="22">Q39</f>
        <v>60945.847393115473</v>
      </c>
      <c r="S38" s="294">
        <f t="shared" ref="S38" ca="1" si="23">R39</f>
        <v>78567.095083723107</v>
      </c>
    </row>
    <row r="39" spans="1:27" s="257" customFormat="1" ht="18" thickTop="1" thickBot="1">
      <c r="B39" s="319" t="s">
        <v>37</v>
      </c>
      <c r="C39" s="320"/>
      <c r="D39" s="320"/>
      <c r="E39" s="320"/>
      <c r="F39" s="320"/>
      <c r="G39" s="320"/>
      <c r="H39" s="320"/>
      <c r="I39" s="321"/>
      <c r="J39" s="321">
        <f ca="1">J37+J38</f>
        <v>51184.196118910055</v>
      </c>
      <c r="K39" s="321">
        <f ca="1">K37+K38</f>
        <v>51247.35493600944</v>
      </c>
      <c r="L39" s="321">
        <f t="shared" ref="L39:P39" ca="1" si="24">L37+L38</f>
        <v>48961.923516539573</v>
      </c>
      <c r="M39" s="321">
        <f t="shared" ca="1" si="24"/>
        <v>44613.427448394628</v>
      </c>
      <c r="N39" s="321">
        <f t="shared" ca="1" si="24"/>
        <v>32503.55485840085</v>
      </c>
      <c r="O39" s="321">
        <f t="shared" ca="1" si="24"/>
        <v>48847.377163527082</v>
      </c>
      <c r="P39" s="321">
        <f t="shared" ca="1" si="24"/>
        <v>44276.760610346566</v>
      </c>
      <c r="Q39" s="321">
        <f t="shared" ref="Q39:S39" ca="1" si="25">Q37+Q38</f>
        <v>60945.847393115473</v>
      </c>
      <c r="R39" s="321">
        <f t="shared" ca="1" si="25"/>
        <v>78567.095083723107</v>
      </c>
      <c r="S39" s="322">
        <f t="shared" ca="1" si="25"/>
        <v>97057.262191565387</v>
      </c>
      <c r="V39" s="312"/>
    </row>
    <row r="40" spans="1:27" s="257" customFormat="1" ht="17" thickTop="1">
      <c r="B40" s="323" t="s">
        <v>5</v>
      </c>
      <c r="C40" s="323"/>
      <c r="D40" s="323"/>
      <c r="E40" s="323"/>
      <c r="F40" s="323"/>
      <c r="G40" s="323"/>
      <c r="H40" s="323"/>
      <c r="I40" s="324"/>
      <c r="J40" s="325">
        <f t="shared" ref="J40:S40" ca="1" si="26">J39-J72</f>
        <v>0</v>
      </c>
      <c r="K40" s="324">
        <f t="shared" ca="1" si="26"/>
        <v>0</v>
      </c>
      <c r="L40" s="324">
        <f t="shared" ca="1" si="26"/>
        <v>0</v>
      </c>
      <c r="M40" s="324">
        <f t="shared" ca="1" si="26"/>
        <v>0</v>
      </c>
      <c r="N40" s="324">
        <f t="shared" ca="1" si="26"/>
        <v>0</v>
      </c>
      <c r="O40" s="324">
        <f t="shared" ca="1" si="26"/>
        <v>0</v>
      </c>
      <c r="P40" s="324">
        <f t="shared" ca="1" si="26"/>
        <v>0</v>
      </c>
      <c r="Q40" s="324">
        <f t="shared" ca="1" si="26"/>
        <v>0</v>
      </c>
      <c r="R40" s="324">
        <f t="shared" ca="1" si="26"/>
        <v>0</v>
      </c>
      <c r="S40" s="324">
        <f t="shared" ca="1" si="26"/>
        <v>0</v>
      </c>
    </row>
    <row r="41" spans="1:27" s="257" customFormat="1" ht="16">
      <c r="B41" s="323" t="s">
        <v>38</v>
      </c>
      <c r="C41" s="323"/>
      <c r="D41" s="323"/>
      <c r="E41" s="323"/>
      <c r="F41" s="323"/>
      <c r="G41" s="323"/>
      <c r="H41" s="323"/>
      <c r="I41" s="326"/>
      <c r="J41" s="326">
        <f>J65</f>
        <v>12479.224167640697</v>
      </c>
      <c r="K41" s="326">
        <f t="shared" ref="K41:S41" si="27">K65</f>
        <v>15050.405537378008</v>
      </c>
      <c r="L41" s="326">
        <f t="shared" si="27"/>
        <v>16373.082691332722</v>
      </c>
      <c r="M41" s="326">
        <f t="shared" si="27"/>
        <v>18165.386878045927</v>
      </c>
      <c r="N41" s="326">
        <f t="shared" si="27"/>
        <v>20182.797798418134</v>
      </c>
      <c r="O41" s="326">
        <f t="shared" si="27"/>
        <v>22458.481813335398</v>
      </c>
      <c r="P41" s="326">
        <f t="shared" si="27"/>
        <v>24092.913347456109</v>
      </c>
      <c r="Q41" s="326">
        <f t="shared" si="27"/>
        <v>26037.291842617669</v>
      </c>
      <c r="R41" s="326">
        <f t="shared" si="27"/>
        <v>28205.599841992866</v>
      </c>
      <c r="S41" s="326">
        <f t="shared" si="27"/>
        <v>30631.196570092761</v>
      </c>
      <c r="AA41" s="257">
        <v>250</v>
      </c>
    </row>
    <row r="42" spans="1:27" s="257" customFormat="1" ht="17" thickBot="1">
      <c r="B42" s="327" t="s">
        <v>39</v>
      </c>
      <c r="C42" s="327"/>
      <c r="D42" s="327"/>
      <c r="E42" s="327"/>
      <c r="F42" s="327"/>
      <c r="G42" s="327"/>
      <c r="H42" s="327"/>
      <c r="I42" s="328"/>
      <c r="J42" s="328">
        <f ca="1">J39-J41</f>
        <v>38704.971951269355</v>
      </c>
      <c r="K42" s="328">
        <f t="shared" ref="K42:P42" ca="1" si="28">K39-K41</f>
        <v>36196.949398631434</v>
      </c>
      <c r="L42" s="328">
        <f t="shared" ca="1" si="28"/>
        <v>32588.840825206851</v>
      </c>
      <c r="M42" s="328">
        <f t="shared" ca="1" si="28"/>
        <v>26448.040570348701</v>
      </c>
      <c r="N42" s="328">
        <f t="shared" ca="1" si="28"/>
        <v>12320.757059982716</v>
      </c>
      <c r="O42" s="328">
        <f t="shared" ca="1" si="28"/>
        <v>26388.895350191684</v>
      </c>
      <c r="P42" s="328">
        <f t="shared" ca="1" si="28"/>
        <v>20183.847262890456</v>
      </c>
      <c r="Q42" s="328">
        <f t="shared" ref="Q42:S42" ca="1" si="29">Q39-Q41</f>
        <v>34908.555550497804</v>
      </c>
      <c r="R42" s="328">
        <f t="shared" ca="1" si="29"/>
        <v>50361.495241730241</v>
      </c>
      <c r="S42" s="328">
        <f t="shared" ca="1" si="29"/>
        <v>66426.065621472633</v>
      </c>
      <c r="AA42" s="257">
        <v>80</v>
      </c>
    </row>
    <row r="43" spans="1:27" s="257" customFormat="1" ht="17" thickTop="1">
      <c r="B43" s="323"/>
      <c r="C43" s="323"/>
      <c r="D43" s="323"/>
      <c r="E43" s="323"/>
      <c r="F43" s="323"/>
      <c r="G43" s="323"/>
      <c r="H43" s="323"/>
      <c r="I43" s="324"/>
      <c r="J43" s="324"/>
      <c r="K43" s="324"/>
      <c r="L43" s="324"/>
      <c r="M43" s="324"/>
      <c r="N43" s="324"/>
      <c r="O43" s="324"/>
      <c r="P43" s="324"/>
      <c r="Q43" s="324"/>
      <c r="R43" s="324"/>
      <c r="S43" s="324"/>
      <c r="AA43" s="257">
        <f>+AA41/AA42</f>
        <v>3.125</v>
      </c>
    </row>
    <row r="44" spans="1:27" s="257" customFormat="1" ht="16">
      <c r="A44" s="257" t="s">
        <v>158</v>
      </c>
      <c r="B44" s="329" t="s">
        <v>148</v>
      </c>
      <c r="I44" s="330"/>
      <c r="J44" s="330"/>
      <c r="K44" s="330"/>
      <c r="L44" s="330"/>
      <c r="M44" s="330"/>
      <c r="N44" s="330"/>
      <c r="O44" s="330"/>
      <c r="P44" s="330"/>
      <c r="Q44" s="330"/>
      <c r="R44" s="330"/>
      <c r="S44" s="330"/>
    </row>
    <row r="45" spans="1:27" s="257" customFormat="1" ht="16">
      <c r="A45" s="333"/>
      <c r="B45" s="785" t="s">
        <v>7</v>
      </c>
      <c r="C45" s="786"/>
      <c r="D45" s="786"/>
      <c r="E45" s="787"/>
      <c r="F45" s="787"/>
      <c r="G45" s="787"/>
      <c r="H45" s="787"/>
      <c r="I45" s="788"/>
      <c r="J45" s="789">
        <f>J102</f>
        <v>78200</v>
      </c>
      <c r="K45" s="789">
        <f t="shared" ref="K45:O45" si="30">K102</f>
        <v>71400</v>
      </c>
      <c r="L45" s="789">
        <f t="shared" si="30"/>
        <v>62900</v>
      </c>
      <c r="M45" s="789">
        <f t="shared" si="30"/>
        <v>51000</v>
      </c>
      <c r="N45" s="789">
        <f t="shared" si="30"/>
        <v>29750</v>
      </c>
      <c r="O45" s="789">
        <f t="shared" si="30"/>
        <v>29750</v>
      </c>
      <c r="P45" s="789">
        <f ca="1">P89+P102</f>
        <v>29750</v>
      </c>
      <c r="Q45" s="789">
        <f ca="1">Q89+Q102</f>
        <v>29750</v>
      </c>
      <c r="R45" s="789">
        <f ca="1">R89+R102</f>
        <v>29750</v>
      </c>
      <c r="S45" s="790">
        <f ca="1">S89+S102</f>
        <v>29750</v>
      </c>
    </row>
    <row r="46" spans="1:27" s="257" customFormat="1" ht="16">
      <c r="A46" s="333"/>
      <c r="B46" s="334" t="s">
        <v>40</v>
      </c>
      <c r="C46" s="335"/>
      <c r="D46" s="335"/>
      <c r="E46" s="300"/>
      <c r="F46" s="300"/>
      <c r="G46" s="300"/>
      <c r="H46" s="300"/>
      <c r="I46" s="336"/>
      <c r="J46" s="331">
        <f t="shared" ref="J46:S46" ca="1" si="31">J45-J72</f>
        <v>27015.803881089945</v>
      </c>
      <c r="K46" s="331">
        <f t="shared" ca="1" si="31"/>
        <v>20152.645063990567</v>
      </c>
      <c r="L46" s="331">
        <f t="shared" ca="1" si="31"/>
        <v>13938.076483460434</v>
      </c>
      <c r="M46" s="331">
        <f t="shared" ca="1" si="31"/>
        <v>6386.572551605379</v>
      </c>
      <c r="N46" s="331">
        <f t="shared" ca="1" si="31"/>
        <v>-2753.5548584008429</v>
      </c>
      <c r="O46" s="331">
        <f t="shared" ca="1" si="31"/>
        <v>-19097.377163527075</v>
      </c>
      <c r="P46" s="331">
        <f t="shared" ca="1" si="31"/>
        <v>-14526.760610346551</v>
      </c>
      <c r="Q46" s="331">
        <f t="shared" ca="1" si="31"/>
        <v>-31195.847393115466</v>
      </c>
      <c r="R46" s="331">
        <f t="shared" ca="1" si="31"/>
        <v>-48817.095083723092</v>
      </c>
      <c r="S46" s="332">
        <f t="shared" ca="1" si="31"/>
        <v>-67307.262191565387</v>
      </c>
    </row>
    <row r="47" spans="1:27" s="257" customFormat="1" ht="16">
      <c r="A47" s="333"/>
      <c r="B47" s="334" t="s">
        <v>41</v>
      </c>
      <c r="C47" s="335"/>
      <c r="D47" s="335"/>
      <c r="E47" s="335"/>
      <c r="F47" s="335"/>
      <c r="G47" s="335"/>
      <c r="H47" s="335"/>
      <c r="I47" s="337"/>
      <c r="J47" s="337">
        <f t="shared" ref="J47:O47" si="32">IFERROR(J15/(J104),0)</f>
        <v>5.6675240913210025</v>
      </c>
      <c r="K47" s="337">
        <f t="shared" si="32"/>
        <v>6.5326605672249656</v>
      </c>
      <c r="L47" s="337">
        <f t="shared" si="32"/>
        <v>7.8326261225712059</v>
      </c>
      <c r="M47" s="337">
        <f t="shared" si="32"/>
        <v>10.133268197965441</v>
      </c>
      <c r="N47" s="337">
        <f t="shared" si="32"/>
        <v>15.79997334566024</v>
      </c>
      <c r="O47" s="337">
        <f t="shared" si="32"/>
        <v>23.326817977891725</v>
      </c>
      <c r="P47" s="337">
        <f ca="1">IFERROR(P15/(P91+P92+P104),0)</f>
        <v>18.915322555639506</v>
      </c>
      <c r="Q47" s="337">
        <f ca="1">IFERROR(Q15/(Q91+Q92+Q104),0)</f>
        <v>26.598962014643568</v>
      </c>
      <c r="R47" s="337">
        <f ca="1">IFERROR(R15/(R91+R92+R104),0)</f>
        <v>28.375493221119775</v>
      </c>
      <c r="S47" s="338">
        <f ca="1">IFERROR(S15/(S91+S92+S104),0)</f>
        <v>30.275444283842273</v>
      </c>
    </row>
    <row r="48" spans="1:27" s="257" customFormat="1" ht="16">
      <c r="A48" s="333"/>
      <c r="B48" s="334" t="s">
        <v>402</v>
      </c>
      <c r="C48" s="335"/>
      <c r="D48" s="335"/>
      <c r="E48" s="300"/>
      <c r="F48" s="300"/>
      <c r="G48" s="300"/>
      <c r="H48" s="300"/>
      <c r="I48" s="339"/>
      <c r="J48" s="337">
        <f t="shared" ref="J48:S48" si="33">(J45)/J15</f>
        <v>2.9153803741301609</v>
      </c>
      <c r="K48" s="337">
        <f t="shared" si="33"/>
        <v>2.3993258229059924</v>
      </c>
      <c r="L48" s="337">
        <f t="shared" si="33"/>
        <v>1.9076511640634939</v>
      </c>
      <c r="M48" s="337">
        <f t="shared" si="33"/>
        <v>1.3965627043411151</v>
      </c>
      <c r="N48" s="337">
        <f t="shared" si="33"/>
        <v>0.73569419397476143</v>
      </c>
      <c r="O48" s="337">
        <f t="shared" si="33"/>
        <v>0.67510414455106471</v>
      </c>
      <c r="P48" s="337">
        <f t="shared" ca="1" si="33"/>
        <v>0.63291709410190067</v>
      </c>
      <c r="Q48" s="337">
        <f t="shared" ca="1" si="33"/>
        <v>0.59334997207829021</v>
      </c>
      <c r="R48" s="337">
        <f t="shared" ca="1" si="33"/>
        <v>0.55620155201226285</v>
      </c>
      <c r="S48" s="338">
        <f t="shared" ca="1" si="33"/>
        <v>0.521296837817942</v>
      </c>
    </row>
    <row r="49" spans="1:20" s="257" customFormat="1" ht="17" thickBot="1">
      <c r="A49" s="333"/>
      <c r="B49" s="791" t="s">
        <v>43</v>
      </c>
      <c r="C49" s="341"/>
      <c r="D49" s="341"/>
      <c r="E49" s="341"/>
      <c r="F49" s="341"/>
      <c r="G49" s="341"/>
      <c r="H49" s="341"/>
      <c r="I49" s="342"/>
      <c r="J49" s="343">
        <f t="shared" ref="J49:S49" ca="1" si="34">(J46)/J15</f>
        <v>1.0071783174715994</v>
      </c>
      <c r="K49" s="343">
        <f t="shared" ca="1" si="34"/>
        <v>0.67720954764553998</v>
      </c>
      <c r="L49" s="343">
        <f t="shared" ca="1" si="34"/>
        <v>0.42271840744800171</v>
      </c>
      <c r="M49" s="343">
        <f t="shared" ca="1" si="34"/>
        <v>0.174887235963544</v>
      </c>
      <c r="N49" s="343">
        <f t="shared" ca="1" si="34"/>
        <v>-6.8093254524924249E-2</v>
      </c>
      <c r="O49" s="343">
        <f t="shared" ca="1" si="34"/>
        <v>-0.43336868817317598</v>
      </c>
      <c r="P49" s="343">
        <f t="shared" ca="1" si="34"/>
        <v>-0.30904991973830226</v>
      </c>
      <c r="Q49" s="343">
        <f t="shared" ca="1" si="34"/>
        <v>-0.62218672872819036</v>
      </c>
      <c r="R49" s="343">
        <f t="shared" ca="1" si="34"/>
        <v>-0.91267711093435266</v>
      </c>
      <c r="S49" s="344">
        <f t="shared" ca="1" si="34"/>
        <v>-1.179397073702392</v>
      </c>
    </row>
    <row r="50" spans="1:20" s="257" customFormat="1" ht="17" thickTop="1">
      <c r="I50" s="345"/>
      <c r="J50" s="345"/>
      <c r="K50" s="345"/>
      <c r="L50" s="345"/>
      <c r="M50" s="345"/>
      <c r="N50" s="345"/>
      <c r="O50" s="345"/>
      <c r="P50" s="345"/>
      <c r="Q50" s="345"/>
      <c r="R50" s="345"/>
      <c r="S50" s="345"/>
      <c r="T50" s="345"/>
    </row>
    <row r="51" spans="1:20" s="257" customFormat="1" ht="16">
      <c r="A51" s="257" t="s">
        <v>158</v>
      </c>
      <c r="B51" s="329" t="s">
        <v>44</v>
      </c>
      <c r="M51" s="346"/>
      <c r="T51" s="345"/>
    </row>
    <row r="52" spans="1:20" s="257" customFormat="1" ht="16">
      <c r="B52" s="347" t="s">
        <v>7</v>
      </c>
      <c r="C52" s="348"/>
      <c r="D52" s="348"/>
      <c r="E52" s="348"/>
      <c r="F52" s="348"/>
      <c r="G52" s="348"/>
      <c r="H52" s="348"/>
      <c r="I52" s="349"/>
      <c r="J52" s="349">
        <f t="shared" ref="J52:S52" si="35">$F$84+J102</f>
        <v>98200</v>
      </c>
      <c r="K52" s="349">
        <f t="shared" si="35"/>
        <v>91400</v>
      </c>
      <c r="L52" s="349">
        <f t="shared" si="35"/>
        <v>82900</v>
      </c>
      <c r="M52" s="349">
        <f t="shared" si="35"/>
        <v>71000</v>
      </c>
      <c r="N52" s="349">
        <f t="shared" si="35"/>
        <v>49750</v>
      </c>
      <c r="O52" s="349">
        <f t="shared" si="35"/>
        <v>49750</v>
      </c>
      <c r="P52" s="349">
        <f t="shared" si="35"/>
        <v>49750</v>
      </c>
      <c r="Q52" s="349">
        <f t="shared" si="35"/>
        <v>49750</v>
      </c>
      <c r="R52" s="349">
        <f t="shared" si="35"/>
        <v>49750</v>
      </c>
      <c r="S52" s="350">
        <f t="shared" si="35"/>
        <v>49750</v>
      </c>
      <c r="T52" s="345"/>
    </row>
    <row r="53" spans="1:20" s="257" customFormat="1" ht="16">
      <c r="B53" s="351" t="s">
        <v>40</v>
      </c>
      <c r="I53" s="295"/>
      <c r="J53" s="295">
        <f t="shared" ref="J53:S53" ca="1" si="36">J52-J72</f>
        <v>47015.803881089945</v>
      </c>
      <c r="K53" s="295">
        <f t="shared" ca="1" si="36"/>
        <v>40152.645063990567</v>
      </c>
      <c r="L53" s="295">
        <f t="shared" ca="1" si="36"/>
        <v>33938.076483460434</v>
      </c>
      <c r="M53" s="295">
        <f t="shared" ca="1" si="36"/>
        <v>26386.572551605379</v>
      </c>
      <c r="N53" s="295">
        <f t="shared" ca="1" si="36"/>
        <v>17246.445141599157</v>
      </c>
      <c r="O53" s="295">
        <f t="shared" ca="1" si="36"/>
        <v>902.62283647292497</v>
      </c>
      <c r="P53" s="295">
        <f t="shared" ca="1" si="36"/>
        <v>5473.2393896534486</v>
      </c>
      <c r="Q53" s="295">
        <f t="shared" ca="1" si="36"/>
        <v>-11195.847393115466</v>
      </c>
      <c r="R53" s="295">
        <f t="shared" ca="1" si="36"/>
        <v>-28817.095083723092</v>
      </c>
      <c r="S53" s="296">
        <f t="shared" ca="1" si="36"/>
        <v>-47307.262191565387</v>
      </c>
      <c r="T53" s="345"/>
    </row>
    <row r="54" spans="1:20" s="257" customFormat="1" ht="16">
      <c r="B54" s="334" t="s">
        <v>404</v>
      </c>
      <c r="I54" s="295"/>
      <c r="J54" s="337">
        <f ca="1">J28/J68</f>
        <v>1.7284075355653343</v>
      </c>
      <c r="K54" s="337">
        <f t="shared" ref="K54:O54" ca="1" si="37">K28/K68</f>
        <v>0.90318900886264653</v>
      </c>
      <c r="L54" s="337">
        <f t="shared" ca="1" si="37"/>
        <v>0.74662052853069927</v>
      </c>
      <c r="M54" s="337">
        <f t="shared" ca="1" si="37"/>
        <v>0.67093698811772229</v>
      </c>
      <c r="N54" s="337">
        <f t="shared" ca="1" si="37"/>
        <v>0.47865591623183085</v>
      </c>
      <c r="O54" s="337">
        <f t="shared" ca="1" si="37"/>
        <v>5.8516395061455722</v>
      </c>
      <c r="P54" s="295"/>
      <c r="Q54" s="295"/>
      <c r="R54" s="295"/>
      <c r="S54" s="295"/>
      <c r="T54" s="345"/>
    </row>
    <row r="55" spans="1:20" s="257" customFormat="1" ht="16">
      <c r="B55" s="334" t="s">
        <v>41</v>
      </c>
      <c r="I55" s="295"/>
      <c r="J55" s="337">
        <f t="shared" ref="J55:O55" si="38">IFERROR(J15/(J91+J92+J104),0)</f>
        <v>4.5518697426357662</v>
      </c>
      <c r="K55" s="337">
        <f t="shared" si="38"/>
        <v>5.1544621353209648</v>
      </c>
      <c r="L55" s="337">
        <f t="shared" si="38"/>
        <v>6.0351215620270393</v>
      </c>
      <c r="M55" s="337">
        <f t="shared" si="38"/>
        <v>7.4995402712687698</v>
      </c>
      <c r="N55" s="337">
        <f t="shared" si="38"/>
        <v>10.566027723909436</v>
      </c>
      <c r="O55" s="337">
        <f t="shared" si="38"/>
        <v>13.949202710397564</v>
      </c>
      <c r="P55" s="295"/>
      <c r="Q55" s="295"/>
      <c r="R55" s="295"/>
      <c r="S55" s="295"/>
      <c r="T55" s="345"/>
    </row>
    <row r="56" spans="1:20" s="257" customFormat="1" ht="16">
      <c r="B56" s="351" t="s">
        <v>42</v>
      </c>
      <c r="I56" s="353"/>
      <c r="J56" s="345">
        <f t="shared" ref="J56:S56" si="39">J52/J15</f>
        <v>3.6610019531915832</v>
      </c>
      <c r="K56" s="345">
        <f t="shared" si="39"/>
        <v>3.071405885344646</v>
      </c>
      <c r="L56" s="345">
        <f t="shared" si="39"/>
        <v>2.5142175119374186</v>
      </c>
      <c r="M56" s="345">
        <f t="shared" si="39"/>
        <v>1.9442343531023367</v>
      </c>
      <c r="N56" s="345">
        <f t="shared" si="39"/>
        <v>1.2302785260586346</v>
      </c>
      <c r="O56" s="345">
        <f t="shared" si="39"/>
        <v>1.1289556702996797</v>
      </c>
      <c r="P56" s="345">
        <f t="shared" si="39"/>
        <v>1.0584075775317499</v>
      </c>
      <c r="Q56" s="345">
        <f t="shared" si="39"/>
        <v>0.99224070960991384</v>
      </c>
      <c r="R56" s="345">
        <f t="shared" si="39"/>
        <v>0.93011856176840602</v>
      </c>
      <c r="S56" s="352">
        <f t="shared" si="39"/>
        <v>0.8717484934938694</v>
      </c>
      <c r="T56" s="345"/>
    </row>
    <row r="57" spans="1:20" s="257" customFormat="1" ht="17" thickBot="1">
      <c r="B57" s="340" t="s">
        <v>43</v>
      </c>
      <c r="C57" s="341"/>
      <c r="D57" s="341"/>
      <c r="E57" s="341"/>
      <c r="F57" s="341"/>
      <c r="G57" s="341"/>
      <c r="H57" s="341"/>
      <c r="I57" s="342"/>
      <c r="J57" s="354">
        <f t="shared" ref="J57:S57" ca="1" si="40">J53/J15</f>
        <v>1.7527998965330216</v>
      </c>
      <c r="K57" s="354">
        <f t="shared" ca="1" si="40"/>
        <v>1.3492896100841933</v>
      </c>
      <c r="L57" s="354">
        <f t="shared" ca="1" si="40"/>
        <v>1.0292847553219266</v>
      </c>
      <c r="M57" s="354">
        <f t="shared" ca="1" si="40"/>
        <v>0.72255888472476559</v>
      </c>
      <c r="N57" s="354">
        <f t="shared" ca="1" si="40"/>
        <v>0.42649107755894894</v>
      </c>
      <c r="O57" s="354">
        <f t="shared" ca="1" si="40"/>
        <v>2.0482837575438978E-2</v>
      </c>
      <c r="P57" s="354">
        <f t="shared" ca="1" si="40"/>
        <v>0.11644056369154693</v>
      </c>
      <c r="Q57" s="354">
        <f t="shared" ca="1" si="40"/>
        <v>-0.22329599119656671</v>
      </c>
      <c r="R57" s="354">
        <f t="shared" ca="1" si="40"/>
        <v>-0.5387601011782096</v>
      </c>
      <c r="S57" s="355">
        <f t="shared" ca="1" si="40"/>
        <v>-0.8289454180264646</v>
      </c>
      <c r="T57" s="345"/>
    </row>
    <row r="58" spans="1:20" s="257" customFormat="1" ht="17" thickTop="1">
      <c r="I58" s="345"/>
      <c r="J58" s="345"/>
      <c r="K58" s="345"/>
      <c r="L58" s="345"/>
      <c r="M58" s="345"/>
      <c r="N58" s="345"/>
      <c r="O58" s="345"/>
      <c r="P58" s="345"/>
      <c r="Q58" s="345"/>
      <c r="R58" s="345"/>
      <c r="S58" s="345"/>
      <c r="T58" s="345"/>
    </row>
    <row r="59" spans="1:20" s="257" customFormat="1" ht="19">
      <c r="B59" s="356" t="s">
        <v>45</v>
      </c>
      <c r="C59" s="357"/>
      <c r="D59" s="357"/>
      <c r="E59" s="357"/>
      <c r="F59" s="357"/>
      <c r="G59" s="357"/>
      <c r="H59" s="357"/>
      <c r="I59" s="357"/>
      <c r="J59" s="357"/>
      <c r="K59" s="357"/>
      <c r="L59" s="357"/>
      <c r="M59" s="357"/>
      <c r="N59" s="357"/>
      <c r="O59" s="357"/>
      <c r="P59" s="357"/>
      <c r="Q59" s="357"/>
      <c r="R59" s="357"/>
      <c r="S59" s="357"/>
      <c r="T59" s="345"/>
    </row>
    <row r="60" spans="1:20" s="257" customFormat="1" ht="16">
      <c r="I60" s="345"/>
      <c r="J60" s="345"/>
      <c r="K60" s="345"/>
      <c r="L60" s="345"/>
      <c r="M60" s="345"/>
      <c r="N60" s="345"/>
      <c r="O60" s="345"/>
      <c r="P60" s="345"/>
      <c r="Q60" s="345"/>
      <c r="R60" s="345"/>
      <c r="S60" s="345"/>
      <c r="T60" s="345"/>
    </row>
    <row r="61" spans="1:20" s="257" customFormat="1" ht="19">
      <c r="I61" s="268"/>
      <c r="J61" s="268">
        <v>2018</v>
      </c>
      <c r="K61" s="268">
        <v>2019</v>
      </c>
      <c r="L61" s="268">
        <v>2020</v>
      </c>
      <c r="M61" s="268">
        <v>2021</v>
      </c>
      <c r="N61" s="268">
        <v>2022</v>
      </c>
      <c r="O61" s="268">
        <v>2023</v>
      </c>
      <c r="P61" s="268">
        <v>2024</v>
      </c>
      <c r="Q61" s="268">
        <v>2025</v>
      </c>
      <c r="R61" s="268">
        <v>2026</v>
      </c>
      <c r="S61" s="268">
        <v>2027</v>
      </c>
      <c r="T61" s="345"/>
    </row>
    <row r="62" spans="1:20" s="257" customFormat="1" ht="16">
      <c r="B62" s="358"/>
      <c r="C62" s="358"/>
      <c r="D62" s="358"/>
      <c r="E62" s="358"/>
      <c r="F62" s="358"/>
      <c r="G62" s="358"/>
      <c r="H62" s="358"/>
      <c r="I62" s="359"/>
      <c r="J62" s="359"/>
      <c r="K62" s="359"/>
      <c r="L62" s="359"/>
      <c r="M62" s="359"/>
      <c r="N62" s="360"/>
      <c r="O62" s="360"/>
      <c r="P62" s="345"/>
      <c r="Q62" s="345"/>
      <c r="R62" s="345"/>
      <c r="S62" s="345"/>
      <c r="T62" s="345"/>
    </row>
    <row r="63" spans="1:20" s="257" customFormat="1" ht="16">
      <c r="A63" s="361" t="s">
        <v>158</v>
      </c>
      <c r="B63" s="257" t="s">
        <v>46</v>
      </c>
      <c r="I63" s="362"/>
      <c r="J63" s="362">
        <f>BS!AB8</f>
        <v>40789</v>
      </c>
      <c r="K63" s="363">
        <f ca="1">J72</f>
        <v>51184.196118910055</v>
      </c>
      <c r="L63" s="363">
        <f t="shared" ref="L63:P63" ca="1" si="41">K72</f>
        <v>51247.354936009433</v>
      </c>
      <c r="M63" s="363">
        <f t="shared" ca="1" si="41"/>
        <v>48961.923516539566</v>
      </c>
      <c r="N63" s="363">
        <f t="shared" ca="1" si="41"/>
        <v>44613.427448394621</v>
      </c>
      <c r="O63" s="363">
        <f t="shared" ca="1" si="41"/>
        <v>32503.554858400843</v>
      </c>
      <c r="P63" s="364">
        <f t="shared" ca="1" si="41"/>
        <v>48847.377163527075</v>
      </c>
      <c r="Q63" s="364">
        <f t="shared" ref="Q63" ca="1" si="42">P72</f>
        <v>44276.760610346551</v>
      </c>
      <c r="R63" s="364">
        <f t="shared" ref="R63" ca="1" si="43">Q72</f>
        <v>60945.847393115466</v>
      </c>
      <c r="S63" s="365">
        <f t="shared" ref="S63" ca="1" si="44">R72</f>
        <v>78567.095083723092</v>
      </c>
      <c r="T63" s="345"/>
    </row>
    <row r="64" spans="1:20" s="257" customFormat="1" ht="16">
      <c r="A64" s="361"/>
      <c r="B64" s="257" t="s">
        <v>47</v>
      </c>
      <c r="I64" s="363"/>
      <c r="J64" s="363">
        <f t="shared" ref="J64:S64" ca="1" si="45">J28</f>
        <v>21938.331167423676</v>
      </c>
      <c r="K64" s="363">
        <f t="shared" ca="1" si="45"/>
        <v>11356.084428912891</v>
      </c>
      <c r="L64" s="363">
        <f t="shared" ca="1" si="45"/>
        <v>10425.386099873271</v>
      </c>
      <c r="M64" s="363">
        <f t="shared" ca="1" si="45"/>
        <v>11251.20804479338</v>
      </c>
      <c r="N64" s="363">
        <f t="shared" ca="1" si="45"/>
        <v>12003.336381171277</v>
      </c>
      <c r="O64" s="363">
        <f t="shared" ca="1" si="45"/>
        <v>18486.060654852132</v>
      </c>
      <c r="P64" s="363">
        <f t="shared" ca="1" si="45"/>
        <v>16750.331724646065</v>
      </c>
      <c r="Q64" s="363">
        <f t="shared" ca="1" si="45"/>
        <v>17238.804182725635</v>
      </c>
      <c r="R64" s="363">
        <f t="shared" ca="1" si="45"/>
        <v>17762.33590964715</v>
      </c>
      <c r="S64" s="366">
        <f t="shared" ca="1" si="45"/>
        <v>18179.862641901174</v>
      </c>
      <c r="T64" s="345"/>
    </row>
    <row r="65" spans="1:25" s="257" customFormat="1" ht="16">
      <c r="A65" s="361"/>
      <c r="B65" s="257" t="s">
        <v>48</v>
      </c>
      <c r="F65" s="807">
        <v>0.05</v>
      </c>
      <c r="I65" s="363"/>
      <c r="J65" s="363">
        <f t="shared" ref="J65:S65" si="46">$F$65*I11</f>
        <v>12479.224167640697</v>
      </c>
      <c r="K65" s="363">
        <f t="shared" si="46"/>
        <v>15050.405537378008</v>
      </c>
      <c r="L65" s="363">
        <f t="shared" si="46"/>
        <v>16373.082691332722</v>
      </c>
      <c r="M65" s="363">
        <f t="shared" si="46"/>
        <v>18165.386878045927</v>
      </c>
      <c r="N65" s="363">
        <f t="shared" si="46"/>
        <v>20182.797798418134</v>
      </c>
      <c r="O65" s="363">
        <f t="shared" si="46"/>
        <v>22458.481813335398</v>
      </c>
      <c r="P65" s="363">
        <f t="shared" si="46"/>
        <v>24092.913347456109</v>
      </c>
      <c r="Q65" s="363">
        <f t="shared" si="46"/>
        <v>26037.291842617669</v>
      </c>
      <c r="R65" s="363">
        <f t="shared" si="46"/>
        <v>28205.599841992866</v>
      </c>
      <c r="S65" s="366">
        <f t="shared" si="46"/>
        <v>30631.196570092761</v>
      </c>
      <c r="T65" s="345"/>
      <c r="U65" s="363"/>
      <c r="V65" s="363"/>
      <c r="W65" s="363"/>
      <c r="X65" s="363"/>
      <c r="Y65" s="363"/>
    </row>
    <row r="66" spans="1:25" s="257" customFormat="1" ht="16">
      <c r="A66" s="361"/>
      <c r="B66" s="257" t="s">
        <v>49</v>
      </c>
      <c r="F66" s="368"/>
      <c r="I66" s="363"/>
      <c r="J66" s="363">
        <f ca="1">J73</f>
        <v>1149.6649514863757</v>
      </c>
      <c r="K66" s="363">
        <f t="shared" ref="K66:P66" ca="1" si="47">K73</f>
        <v>1280.3943881864936</v>
      </c>
      <c r="L66" s="363">
        <f t="shared" ca="1" si="47"/>
        <v>1252.6159806568626</v>
      </c>
      <c r="M66" s="363">
        <f t="shared" ca="1" si="47"/>
        <v>1169.6918870616773</v>
      </c>
      <c r="N66" s="363">
        <f t="shared" ca="1" si="47"/>
        <v>963.96227883494328</v>
      </c>
      <c r="O66" s="363">
        <f t="shared" ca="1" si="47"/>
        <v>1016.886650274099</v>
      </c>
      <c r="P66" s="363">
        <f t="shared" ca="1" si="47"/>
        <v>1164.0517221734206</v>
      </c>
      <c r="Q66" s="363">
        <f t="shared" ref="Q66:S66" ca="1" si="48">Q73</f>
        <v>1315.2826000432754</v>
      </c>
      <c r="R66" s="363">
        <f t="shared" ca="1" si="48"/>
        <v>1743.9117809604822</v>
      </c>
      <c r="S66" s="366">
        <f t="shared" ca="1" si="48"/>
        <v>2195.3044659411062</v>
      </c>
      <c r="T66" s="345"/>
    </row>
    <row r="67" spans="1:25" s="257" customFormat="1" ht="16">
      <c r="A67" s="361"/>
      <c r="B67" s="369" t="s">
        <v>50</v>
      </c>
      <c r="C67" s="370"/>
      <c r="D67" s="370"/>
      <c r="E67" s="370"/>
      <c r="F67" s="370"/>
      <c r="G67" s="370"/>
      <c r="H67" s="370"/>
      <c r="I67" s="371"/>
      <c r="J67" s="371">
        <f t="shared" ref="J67:S67" ca="1" si="49">J63+J64-J65+J66</f>
        <v>51397.771951269351</v>
      </c>
      <c r="K67" s="371">
        <f t="shared" ca="1" si="49"/>
        <v>48770.269398631426</v>
      </c>
      <c r="L67" s="371">
        <f t="shared" ca="1" si="49"/>
        <v>46552.274325206847</v>
      </c>
      <c r="M67" s="371">
        <f t="shared" ca="1" si="49"/>
        <v>43217.436570348698</v>
      </c>
      <c r="N67" s="371">
        <f t="shared" ca="1" si="49"/>
        <v>37397.928309982708</v>
      </c>
      <c r="O67" s="371">
        <f t="shared" ca="1" si="49"/>
        <v>29548.020350191677</v>
      </c>
      <c r="P67" s="371">
        <f t="shared" ca="1" si="49"/>
        <v>42668.847262890442</v>
      </c>
      <c r="Q67" s="371">
        <f t="shared" ca="1" si="49"/>
        <v>36793.555550497797</v>
      </c>
      <c r="R67" s="371">
        <f t="shared" ca="1" si="49"/>
        <v>52246.495241730227</v>
      </c>
      <c r="S67" s="372">
        <f t="shared" ca="1" si="49"/>
        <v>68311.065621472619</v>
      </c>
      <c r="T67" s="345"/>
    </row>
    <row r="68" spans="1:25" s="257" customFormat="1" ht="16">
      <c r="A68" s="373"/>
      <c r="B68" s="290" t="s">
        <v>51</v>
      </c>
      <c r="C68" s="290"/>
      <c r="D68" s="290"/>
      <c r="E68" s="290"/>
      <c r="F68" s="290"/>
      <c r="G68" s="290"/>
      <c r="H68" s="290"/>
      <c r="I68" s="363"/>
      <c r="J68" s="363">
        <f t="shared" ref="J68:S68" si="50">+J91+J92+J101+J104</f>
        <v>12692.8</v>
      </c>
      <c r="K68" s="363">
        <f t="shared" si="50"/>
        <v>12573.32</v>
      </c>
      <c r="L68" s="363">
        <f t="shared" si="50"/>
        <v>13963.433499999999</v>
      </c>
      <c r="M68" s="363">
        <f t="shared" si="50"/>
        <v>16769.396000000001</v>
      </c>
      <c r="N68" s="363">
        <f t="shared" si="50"/>
        <v>25077.171249999999</v>
      </c>
      <c r="O68" s="363">
        <f t="shared" si="50"/>
        <v>3159.125</v>
      </c>
      <c r="P68" s="363">
        <f t="shared" ca="1" si="50"/>
        <v>2485</v>
      </c>
      <c r="Q68" s="363">
        <f t="shared" ca="1" si="50"/>
        <v>1885.0000000000002</v>
      </c>
      <c r="R68" s="363">
        <f t="shared" ca="1" si="50"/>
        <v>1885.0000000000002</v>
      </c>
      <c r="S68" s="366">
        <f t="shared" ca="1" si="50"/>
        <v>1885.0000000000002</v>
      </c>
      <c r="T68" s="345"/>
    </row>
    <row r="69" spans="1:25" s="257" customFormat="1" ht="16">
      <c r="A69" s="361"/>
      <c r="B69" s="257" t="s">
        <v>52</v>
      </c>
      <c r="I69" s="363"/>
      <c r="J69" s="363">
        <f ca="1">J67-J68</f>
        <v>38704.971951269355</v>
      </c>
      <c r="K69" s="363">
        <f t="shared" ref="K69:P69" ca="1" si="51">K67-K68</f>
        <v>36196.949398631426</v>
      </c>
      <c r="L69" s="363">
        <f t="shared" ca="1" si="51"/>
        <v>32588.840825206848</v>
      </c>
      <c r="M69" s="363">
        <f t="shared" ca="1" si="51"/>
        <v>26448.040570348698</v>
      </c>
      <c r="N69" s="363">
        <f t="shared" ca="1" si="51"/>
        <v>12320.757059982709</v>
      </c>
      <c r="O69" s="363">
        <f t="shared" ca="1" si="51"/>
        <v>26388.895350191677</v>
      </c>
      <c r="P69" s="363">
        <f t="shared" ca="1" si="51"/>
        <v>40183.847262890442</v>
      </c>
      <c r="Q69" s="363">
        <f t="shared" ref="Q69:S69" ca="1" si="52">Q67-Q68</f>
        <v>34908.555550497797</v>
      </c>
      <c r="R69" s="363">
        <f t="shared" ca="1" si="52"/>
        <v>50361.495241730227</v>
      </c>
      <c r="S69" s="366">
        <f t="shared" ca="1" si="52"/>
        <v>66426.065621472619</v>
      </c>
      <c r="T69" s="345"/>
    </row>
    <row r="70" spans="1:25" s="257" customFormat="1" ht="16">
      <c r="A70" s="361"/>
      <c r="B70" s="257" t="str">
        <f>"+ Revolver Net Borrowing"</f>
        <v>+ Revolver Net Borrowing</v>
      </c>
      <c r="I70" s="363"/>
      <c r="J70" s="363">
        <f>J88-J87</f>
        <v>0</v>
      </c>
      <c r="K70" s="363">
        <f t="shared" ref="K70:S70" si="53">K88-K87</f>
        <v>0</v>
      </c>
      <c r="L70" s="363">
        <f t="shared" si="53"/>
        <v>0</v>
      </c>
      <c r="M70" s="363">
        <f t="shared" si="53"/>
        <v>0</v>
      </c>
      <c r="N70" s="363">
        <f t="shared" si="53"/>
        <v>0</v>
      </c>
      <c r="O70" s="363">
        <f t="shared" si="53"/>
        <v>0</v>
      </c>
      <c r="P70" s="363">
        <f t="shared" ca="1" si="53"/>
        <v>-20000</v>
      </c>
      <c r="Q70" s="363">
        <f t="shared" ca="1" si="53"/>
        <v>0</v>
      </c>
      <c r="R70" s="363">
        <f t="shared" ca="1" si="53"/>
        <v>0</v>
      </c>
      <c r="S70" s="366">
        <f t="shared" ca="1" si="53"/>
        <v>0</v>
      </c>
      <c r="T70" s="345"/>
    </row>
    <row r="71" spans="1:25" s="257" customFormat="1" ht="16">
      <c r="A71" s="361"/>
      <c r="B71" s="257" t="str">
        <f>"-Dividends"</f>
        <v>-Dividends</v>
      </c>
      <c r="I71" s="363"/>
      <c r="J71" s="363">
        <v>0</v>
      </c>
      <c r="K71" s="363">
        <v>0</v>
      </c>
      <c r="L71" s="363">
        <v>0</v>
      </c>
      <c r="M71" s="363">
        <v>0</v>
      </c>
      <c r="N71" s="363">
        <v>0</v>
      </c>
      <c r="O71" s="363">
        <v>0</v>
      </c>
      <c r="P71" s="363">
        <v>0</v>
      </c>
      <c r="Q71" s="363">
        <v>0</v>
      </c>
      <c r="R71" s="363">
        <v>0</v>
      </c>
      <c r="S71" s="366">
        <v>0</v>
      </c>
      <c r="T71" s="345"/>
    </row>
    <row r="72" spans="1:25" s="257" customFormat="1" ht="17" thickBot="1">
      <c r="A72" s="361"/>
      <c r="B72" s="374" t="s">
        <v>53</v>
      </c>
      <c r="C72" s="375"/>
      <c r="D72" s="375"/>
      <c r="E72" s="375"/>
      <c r="F72" s="375"/>
      <c r="G72" s="375"/>
      <c r="H72" s="375"/>
      <c r="I72" s="376"/>
      <c r="J72" s="376">
        <f t="shared" ref="J72:S72" ca="1" si="54">J65+J69+J70-J71</f>
        <v>51184.196118910055</v>
      </c>
      <c r="K72" s="376">
        <f t="shared" ca="1" si="54"/>
        <v>51247.354936009433</v>
      </c>
      <c r="L72" s="376">
        <f t="shared" ca="1" si="54"/>
        <v>48961.923516539566</v>
      </c>
      <c r="M72" s="376">
        <f t="shared" ca="1" si="54"/>
        <v>44613.427448394621</v>
      </c>
      <c r="N72" s="376">
        <f t="shared" ca="1" si="54"/>
        <v>32503.554858400843</v>
      </c>
      <c r="O72" s="376">
        <f t="shared" ca="1" si="54"/>
        <v>48847.377163527075</v>
      </c>
      <c r="P72" s="376">
        <f t="shared" ca="1" si="54"/>
        <v>44276.760610346551</v>
      </c>
      <c r="Q72" s="376">
        <f t="shared" ca="1" si="54"/>
        <v>60945.847393115466</v>
      </c>
      <c r="R72" s="376">
        <f t="shared" ca="1" si="54"/>
        <v>78567.095083723092</v>
      </c>
      <c r="S72" s="377">
        <f t="shared" ca="1" si="54"/>
        <v>97057.262191565387</v>
      </c>
      <c r="T72" s="345"/>
    </row>
    <row r="73" spans="1:25" s="257" customFormat="1" ht="17" thickTop="1">
      <c r="B73" s="257" t="s">
        <v>54</v>
      </c>
      <c r="I73" s="378"/>
      <c r="J73" s="378">
        <f ca="1">IF(AVERAGE(J63,J72)&gt;0,AVERAGE(J63,J72)*J77,0)</f>
        <v>1149.6649514863757</v>
      </c>
      <c r="K73" s="378">
        <f t="shared" ref="K73:S73" ca="1" si="55">IF(AVERAGE(K63,K72)&gt;0,AVERAGE(K63,K72)*K77,0)</f>
        <v>1280.3943881864936</v>
      </c>
      <c r="L73" s="378">
        <f t="shared" ca="1" si="55"/>
        <v>1252.6159806568626</v>
      </c>
      <c r="M73" s="378">
        <f t="shared" ca="1" si="55"/>
        <v>1169.6918870616773</v>
      </c>
      <c r="N73" s="378">
        <f t="shared" ca="1" si="55"/>
        <v>963.96227883494328</v>
      </c>
      <c r="O73" s="378">
        <f t="shared" ca="1" si="55"/>
        <v>1016.886650274099</v>
      </c>
      <c r="P73" s="378">
        <f t="shared" ca="1" si="55"/>
        <v>1164.0517221734206</v>
      </c>
      <c r="Q73" s="378">
        <f t="shared" ca="1" si="55"/>
        <v>1315.2826000432754</v>
      </c>
      <c r="R73" s="378">
        <f t="shared" ca="1" si="55"/>
        <v>1743.9117809604822</v>
      </c>
      <c r="S73" s="378">
        <f t="shared" ca="1" si="55"/>
        <v>2195.3044659411062</v>
      </c>
      <c r="T73" s="345"/>
    </row>
    <row r="74" spans="1:25" s="257" customFormat="1" ht="16">
      <c r="I74" s="379"/>
      <c r="J74" s="379"/>
      <c r="K74" s="379"/>
      <c r="L74" s="379"/>
      <c r="M74" s="379"/>
      <c r="N74" s="379"/>
      <c r="O74" s="379"/>
      <c r="P74" s="379"/>
      <c r="Q74" s="379"/>
      <c r="R74" s="379"/>
      <c r="S74" s="379"/>
      <c r="T74" s="345"/>
    </row>
    <row r="75" spans="1:25" s="257" customFormat="1" ht="16">
      <c r="A75" s="257" t="s">
        <v>158</v>
      </c>
      <c r="B75" s="329" t="s">
        <v>55</v>
      </c>
      <c r="T75" s="345"/>
    </row>
    <row r="76" spans="1:25" s="257" customFormat="1" ht="16">
      <c r="B76" s="314" t="s">
        <v>401</v>
      </c>
      <c r="C76" s="315"/>
      <c r="D76" s="315"/>
      <c r="E76" s="315"/>
      <c r="F76" s="315"/>
      <c r="G76" s="315"/>
      <c r="H76" s="315"/>
      <c r="I76" s="315"/>
      <c r="J76" s="380">
        <v>2.3E-2</v>
      </c>
      <c r="K76" s="380">
        <v>2.5899999999999999E-2</v>
      </c>
      <c r="L76" s="380">
        <v>2.7689999999999999E-2</v>
      </c>
      <c r="M76" s="380">
        <v>2.828E-2</v>
      </c>
      <c r="N76" s="380">
        <v>2.8389999999999999E-2</v>
      </c>
      <c r="O76" s="380">
        <v>2.8500000000000001E-2</v>
      </c>
      <c r="P76" s="380">
        <v>2.5000000000000001E-2</v>
      </c>
      <c r="Q76" s="380">
        <v>2.5000000000000001E-2</v>
      </c>
      <c r="R76" s="380">
        <v>2.5000000000000001E-2</v>
      </c>
      <c r="S76" s="381">
        <v>2.5000000000000001E-2</v>
      </c>
      <c r="T76" s="345"/>
    </row>
    <row r="77" spans="1:25" s="257" customFormat="1" ht="16">
      <c r="B77" s="318" t="s">
        <v>54</v>
      </c>
      <c r="J77" s="382">
        <v>2.5000000000000001E-2</v>
      </c>
      <c r="K77" s="382">
        <v>2.5000000000000001E-2</v>
      </c>
      <c r="L77" s="382">
        <v>2.5000000000000001E-2</v>
      </c>
      <c r="M77" s="382">
        <v>2.5000000000000001E-2</v>
      </c>
      <c r="N77" s="382">
        <v>2.5000000000000001E-2</v>
      </c>
      <c r="O77" s="382">
        <v>2.5000000000000001E-2</v>
      </c>
      <c r="P77" s="382">
        <v>2.5000000000000001E-2</v>
      </c>
      <c r="Q77" s="382">
        <v>2.5000000000000001E-2</v>
      </c>
      <c r="R77" s="382">
        <v>2.5000000000000001E-2</v>
      </c>
      <c r="S77" s="383">
        <v>2.5000000000000001E-2</v>
      </c>
      <c r="T77" s="345"/>
    </row>
    <row r="78" spans="1:25" s="257" customFormat="1" ht="16">
      <c r="B78" s="318" t="s">
        <v>144</v>
      </c>
      <c r="J78" s="382">
        <v>3.5000000000000003E-2</v>
      </c>
      <c r="K78" s="382">
        <f>J78</f>
        <v>3.5000000000000003E-2</v>
      </c>
      <c r="L78" s="382">
        <f t="shared" ref="L78:S78" si="56">K78</f>
        <v>3.5000000000000003E-2</v>
      </c>
      <c r="M78" s="382">
        <f t="shared" si="56"/>
        <v>3.5000000000000003E-2</v>
      </c>
      <c r="N78" s="382">
        <f t="shared" si="56"/>
        <v>3.5000000000000003E-2</v>
      </c>
      <c r="O78" s="382">
        <f t="shared" si="56"/>
        <v>3.5000000000000003E-2</v>
      </c>
      <c r="P78" s="382">
        <f t="shared" si="56"/>
        <v>3.5000000000000003E-2</v>
      </c>
      <c r="Q78" s="382">
        <f t="shared" si="56"/>
        <v>3.5000000000000003E-2</v>
      </c>
      <c r="R78" s="382">
        <f t="shared" si="56"/>
        <v>3.5000000000000003E-2</v>
      </c>
      <c r="S78" s="383">
        <f t="shared" si="56"/>
        <v>3.5000000000000003E-2</v>
      </c>
      <c r="T78" s="345"/>
    </row>
    <row r="79" spans="1:25" s="257" customFormat="1" ht="16">
      <c r="B79" s="384" t="s">
        <v>146</v>
      </c>
      <c r="C79" s="358"/>
      <c r="D79" s="358"/>
      <c r="E79" s="358"/>
      <c r="F79" s="358"/>
      <c r="G79" s="358"/>
      <c r="H79" s="358"/>
      <c r="I79" s="358"/>
      <c r="J79" s="783">
        <v>3.5000000000000003E-2</v>
      </c>
      <c r="K79" s="783">
        <f>J79</f>
        <v>3.5000000000000003E-2</v>
      </c>
      <c r="L79" s="783">
        <f t="shared" ref="L79:S79" si="57">K79</f>
        <v>3.5000000000000003E-2</v>
      </c>
      <c r="M79" s="783">
        <f t="shared" si="57"/>
        <v>3.5000000000000003E-2</v>
      </c>
      <c r="N79" s="783">
        <f t="shared" si="57"/>
        <v>3.5000000000000003E-2</v>
      </c>
      <c r="O79" s="783">
        <f t="shared" si="57"/>
        <v>3.5000000000000003E-2</v>
      </c>
      <c r="P79" s="783">
        <f t="shared" si="57"/>
        <v>3.5000000000000003E-2</v>
      </c>
      <c r="Q79" s="783">
        <f t="shared" si="57"/>
        <v>3.5000000000000003E-2</v>
      </c>
      <c r="R79" s="783">
        <f t="shared" si="57"/>
        <v>3.5000000000000003E-2</v>
      </c>
      <c r="S79" s="784">
        <f t="shared" si="57"/>
        <v>3.5000000000000003E-2</v>
      </c>
      <c r="T79" s="345"/>
    </row>
    <row r="80" spans="1:25" s="257" customFormat="1" ht="16">
      <c r="I80" s="385"/>
      <c r="J80" s="385"/>
      <c r="K80" s="385"/>
      <c r="L80" s="385"/>
      <c r="M80" s="385"/>
      <c r="N80" s="385"/>
      <c r="O80" s="385"/>
      <c r="P80" s="385"/>
      <c r="Q80" s="385"/>
      <c r="R80" s="385"/>
      <c r="S80" s="385"/>
      <c r="T80" s="345"/>
      <c r="U80" s="386"/>
      <c r="V80" s="387"/>
      <c r="W80" s="388"/>
    </row>
    <row r="81" spans="1:20" s="257" customFormat="1" ht="16">
      <c r="A81" s="257" t="s">
        <v>158</v>
      </c>
      <c r="B81" s="329" t="s">
        <v>145</v>
      </c>
      <c r="I81" s="275"/>
      <c r="J81" s="275"/>
      <c r="K81" s="275"/>
      <c r="L81" s="275"/>
      <c r="M81" s="275"/>
      <c r="N81" s="275"/>
      <c r="O81" s="275"/>
      <c r="P81" s="275"/>
      <c r="Q81" s="275"/>
      <c r="R81" s="275"/>
      <c r="S81" s="275"/>
      <c r="T81" s="345"/>
    </row>
    <row r="82" spans="1:20" s="257" customFormat="1" ht="16">
      <c r="B82" s="314" t="s">
        <v>56</v>
      </c>
      <c r="C82" s="315"/>
      <c r="D82" s="315"/>
      <c r="E82" s="315"/>
      <c r="F82" s="389">
        <v>0.01</v>
      </c>
      <c r="G82" s="315"/>
      <c r="H82" s="315"/>
      <c r="I82" s="315"/>
      <c r="J82" s="316">
        <f>F82*F84</f>
        <v>200</v>
      </c>
      <c r="K82" s="390"/>
      <c r="L82" s="390"/>
      <c r="M82" s="390"/>
      <c r="N82" s="390"/>
      <c r="O82" s="391"/>
      <c r="P82" s="390"/>
      <c r="Q82" s="390"/>
      <c r="R82" s="390"/>
      <c r="S82" s="391"/>
      <c r="T82" s="345"/>
    </row>
    <row r="83" spans="1:20" s="257" customFormat="1" ht="16">
      <c r="B83" s="318" t="s">
        <v>160</v>
      </c>
      <c r="F83" s="382"/>
      <c r="J83" s="295"/>
      <c r="K83" s="392"/>
      <c r="L83" s="393"/>
      <c r="M83" s="393"/>
      <c r="N83" s="393"/>
      <c r="O83" s="394"/>
      <c r="P83" s="393"/>
      <c r="Q83" s="393"/>
      <c r="R83" s="393"/>
      <c r="S83" s="394"/>
      <c r="T83" s="345"/>
    </row>
    <row r="84" spans="1:20" s="257" customFormat="1" ht="16">
      <c r="B84" s="318" t="s">
        <v>57</v>
      </c>
      <c r="F84" s="395">
        <v>20000</v>
      </c>
      <c r="I84" s="295"/>
      <c r="J84" s="393"/>
      <c r="K84" s="393"/>
      <c r="L84" s="393"/>
      <c r="M84" s="393"/>
      <c r="N84" s="393"/>
      <c r="O84" s="394"/>
      <c r="P84" s="393"/>
      <c r="Q84" s="393"/>
      <c r="R84" s="393"/>
      <c r="S84" s="394"/>
      <c r="T84" s="345"/>
    </row>
    <row r="85" spans="1:20" s="257" customFormat="1" ht="16">
      <c r="B85" s="318"/>
      <c r="I85" s="295"/>
      <c r="J85" s="295"/>
      <c r="K85" s="295"/>
      <c r="L85" s="295"/>
      <c r="M85" s="295"/>
      <c r="N85" s="295"/>
      <c r="O85" s="294"/>
      <c r="P85" s="295"/>
      <c r="Q85" s="295"/>
      <c r="R85" s="295"/>
      <c r="S85" s="294"/>
      <c r="T85" s="345"/>
    </row>
    <row r="86" spans="1:20" s="257" customFormat="1" ht="16">
      <c r="B86" s="318" t="s">
        <v>58</v>
      </c>
      <c r="J86" s="396">
        <v>20000</v>
      </c>
      <c r="K86" s="295">
        <f>J89</f>
        <v>20000</v>
      </c>
      <c r="L86" s="295">
        <f t="shared" ref="L86:P86" si="58">K89</f>
        <v>20000</v>
      </c>
      <c r="M86" s="295">
        <f t="shared" si="58"/>
        <v>20000</v>
      </c>
      <c r="N86" s="295">
        <f t="shared" si="58"/>
        <v>20000</v>
      </c>
      <c r="O86" s="294">
        <f t="shared" si="58"/>
        <v>20000</v>
      </c>
      <c r="P86" s="295">
        <f t="shared" si="58"/>
        <v>20000</v>
      </c>
      <c r="Q86" s="295">
        <f t="shared" ref="Q86" ca="1" si="59">P89</f>
        <v>0</v>
      </c>
      <c r="R86" s="295">
        <f t="shared" ref="R86" ca="1" si="60">Q89</f>
        <v>0</v>
      </c>
      <c r="S86" s="294">
        <f t="shared" ref="S86" ca="1" si="61">R89</f>
        <v>0</v>
      </c>
      <c r="T86" s="345"/>
    </row>
    <row r="87" spans="1:20" s="257" customFormat="1" ht="16">
      <c r="B87" s="318" t="s">
        <v>6</v>
      </c>
      <c r="H87" s="295"/>
      <c r="I87" s="295"/>
      <c r="J87" s="295">
        <v>0</v>
      </c>
      <c r="K87" s="295">
        <v>0</v>
      </c>
      <c r="L87" s="295">
        <v>0</v>
      </c>
      <c r="M87" s="295">
        <v>0</v>
      </c>
      <c r="N87" s="295">
        <v>0</v>
      </c>
      <c r="O87" s="294">
        <v>0</v>
      </c>
      <c r="P87" s="295">
        <f t="shared" ref="P87:S87" ca="1" si="62">IFERROR(IF(P69&gt;0,MIN(P69,P86),0),0)</f>
        <v>20000</v>
      </c>
      <c r="Q87" s="295">
        <f t="shared" ca="1" si="62"/>
        <v>0</v>
      </c>
      <c r="R87" s="295">
        <f t="shared" ca="1" si="62"/>
        <v>0</v>
      </c>
      <c r="S87" s="366">
        <f t="shared" ca="1" si="62"/>
        <v>0</v>
      </c>
      <c r="T87" s="345"/>
    </row>
    <row r="88" spans="1:20" s="257" customFormat="1" ht="16">
      <c r="B88" s="318" t="s">
        <v>161</v>
      </c>
      <c r="H88" s="295"/>
      <c r="I88" s="295"/>
      <c r="J88" s="295">
        <f t="shared" ref="J88:S88" si="63">IF(SUM(J86)&lt;$F$84,MIN(IF(J69&lt;0,-J69,0),$F$84-I89),0)</f>
        <v>0</v>
      </c>
      <c r="K88" s="295">
        <f t="shared" si="63"/>
        <v>0</v>
      </c>
      <c r="L88" s="295">
        <f t="shared" si="63"/>
        <v>0</v>
      </c>
      <c r="M88" s="295">
        <f t="shared" si="63"/>
        <v>0</v>
      </c>
      <c r="N88" s="295">
        <f t="shared" si="63"/>
        <v>0</v>
      </c>
      <c r="O88" s="294">
        <f t="shared" si="63"/>
        <v>0</v>
      </c>
      <c r="P88" s="295">
        <f t="shared" si="63"/>
        <v>0</v>
      </c>
      <c r="Q88" s="295">
        <f t="shared" ca="1" si="63"/>
        <v>0</v>
      </c>
      <c r="R88" s="295">
        <f t="shared" ca="1" si="63"/>
        <v>0</v>
      </c>
      <c r="S88" s="366">
        <f t="shared" ca="1" si="63"/>
        <v>0</v>
      </c>
      <c r="T88" s="345"/>
    </row>
    <row r="89" spans="1:20" s="257" customFormat="1" ht="16">
      <c r="B89" s="397" t="s">
        <v>59</v>
      </c>
      <c r="C89" s="370"/>
      <c r="D89" s="370"/>
      <c r="E89" s="370"/>
      <c r="F89" s="370"/>
      <c r="G89" s="370"/>
      <c r="H89" s="398"/>
      <c r="I89" s="399"/>
      <c r="J89" s="399">
        <f>J86-J87+J88</f>
        <v>20000</v>
      </c>
      <c r="K89" s="399">
        <f t="shared" ref="K89:S89" si="64">K86-K87+K88</f>
        <v>20000</v>
      </c>
      <c r="L89" s="399">
        <f t="shared" si="64"/>
        <v>20000</v>
      </c>
      <c r="M89" s="399">
        <f t="shared" si="64"/>
        <v>20000</v>
      </c>
      <c r="N89" s="399">
        <f t="shared" si="64"/>
        <v>20000</v>
      </c>
      <c r="O89" s="400">
        <f t="shared" si="64"/>
        <v>20000</v>
      </c>
      <c r="P89" s="399">
        <f t="shared" ca="1" si="64"/>
        <v>0</v>
      </c>
      <c r="Q89" s="399">
        <f t="shared" ca="1" si="64"/>
        <v>0</v>
      </c>
      <c r="R89" s="399">
        <f t="shared" ca="1" si="64"/>
        <v>0</v>
      </c>
      <c r="S89" s="400">
        <f t="shared" ca="1" si="64"/>
        <v>0</v>
      </c>
      <c r="T89" s="345"/>
    </row>
    <row r="90" spans="1:20" s="257" customFormat="1" ht="16">
      <c r="B90" s="401"/>
      <c r="O90" s="333"/>
      <c r="S90" s="333"/>
      <c r="T90" s="345"/>
    </row>
    <row r="91" spans="1:20" s="257" customFormat="1" ht="16">
      <c r="B91" s="318" t="s">
        <v>60</v>
      </c>
      <c r="F91" s="402">
        <v>5.0000000000000001E-3</v>
      </c>
      <c r="H91" s="403"/>
      <c r="I91" s="404"/>
      <c r="J91" s="404">
        <f>$F$91*AVERAGE($F$84-J89)</f>
        <v>0</v>
      </c>
      <c r="K91" s="404">
        <f t="shared" ref="K91:S91" si="65">$F$91*AVERAGE($F$84-K89)</f>
        <v>0</v>
      </c>
      <c r="L91" s="404">
        <f t="shared" si="65"/>
        <v>0</v>
      </c>
      <c r="M91" s="404">
        <f t="shared" si="65"/>
        <v>0</v>
      </c>
      <c r="N91" s="404">
        <f t="shared" si="65"/>
        <v>0</v>
      </c>
      <c r="O91" s="405">
        <f t="shared" si="65"/>
        <v>0</v>
      </c>
      <c r="P91" s="404">
        <f t="shared" ca="1" si="65"/>
        <v>100</v>
      </c>
      <c r="Q91" s="404">
        <f t="shared" ca="1" si="65"/>
        <v>100</v>
      </c>
      <c r="R91" s="404">
        <f t="shared" ca="1" si="65"/>
        <v>100</v>
      </c>
      <c r="S91" s="405">
        <f t="shared" ca="1" si="65"/>
        <v>100</v>
      </c>
      <c r="T91" s="345"/>
    </row>
    <row r="92" spans="1:20" s="257" customFormat="1" ht="16">
      <c r="B92" s="318" t="s">
        <v>61</v>
      </c>
      <c r="I92" s="406"/>
      <c r="J92" s="295">
        <f t="shared" ref="J92:S92" si="66">AVERAGE(J86,J89)*(J76+J78)</f>
        <v>1160</v>
      </c>
      <c r="K92" s="295">
        <f t="shared" si="66"/>
        <v>1218</v>
      </c>
      <c r="L92" s="295">
        <f t="shared" si="66"/>
        <v>1253.8</v>
      </c>
      <c r="M92" s="407">
        <f t="shared" si="66"/>
        <v>1265.6000000000001</v>
      </c>
      <c r="N92" s="407">
        <f t="shared" si="66"/>
        <v>1267.8</v>
      </c>
      <c r="O92" s="408">
        <f t="shared" si="66"/>
        <v>1270</v>
      </c>
      <c r="P92" s="407">
        <f t="shared" ca="1" si="66"/>
        <v>600</v>
      </c>
      <c r="Q92" s="407">
        <f t="shared" ca="1" si="66"/>
        <v>0</v>
      </c>
      <c r="R92" s="407">
        <f t="shared" ca="1" si="66"/>
        <v>0</v>
      </c>
      <c r="S92" s="408">
        <f t="shared" ca="1" si="66"/>
        <v>0</v>
      </c>
      <c r="T92" s="345"/>
    </row>
    <row r="93" spans="1:20" s="257" customFormat="1" ht="16">
      <c r="B93" s="384"/>
      <c r="C93" s="358"/>
      <c r="D93" s="358"/>
      <c r="E93" s="358"/>
      <c r="F93" s="358"/>
      <c r="G93" s="358"/>
      <c r="H93" s="358"/>
      <c r="I93" s="409"/>
      <c r="J93" s="410"/>
      <c r="K93" s="410"/>
      <c r="L93" s="410"/>
      <c r="M93" s="411"/>
      <c r="N93" s="411"/>
      <c r="O93" s="412"/>
      <c r="P93" s="407"/>
      <c r="Q93" s="407"/>
      <c r="R93" s="407"/>
      <c r="S93" s="408"/>
      <c r="T93" s="345"/>
    </row>
    <row r="94" spans="1:20" s="257" customFormat="1" ht="14.25" customHeight="1">
      <c r="I94" s="406"/>
      <c r="J94" s="295"/>
      <c r="K94" s="295"/>
      <c r="L94" s="295"/>
      <c r="M94" s="295"/>
      <c r="N94" s="295"/>
      <c r="O94" s="295"/>
      <c r="P94" s="295"/>
      <c r="Q94" s="295"/>
      <c r="R94" s="295"/>
      <c r="S94" s="295"/>
      <c r="T94" s="345"/>
    </row>
    <row r="95" spans="1:20" s="257" customFormat="1" ht="14.25" customHeight="1">
      <c r="A95" s="257" t="s">
        <v>158</v>
      </c>
      <c r="B95" s="329" t="s">
        <v>147</v>
      </c>
      <c r="I95" s="275"/>
      <c r="J95" s="413"/>
      <c r="K95" s="413"/>
      <c r="L95" s="413"/>
      <c r="M95" s="413"/>
      <c r="N95" s="413"/>
      <c r="O95" s="413"/>
      <c r="P95" s="413"/>
      <c r="Q95" s="413"/>
      <c r="R95" s="413"/>
      <c r="S95" s="413"/>
      <c r="T95" s="345"/>
    </row>
    <row r="96" spans="1:20" s="257" customFormat="1" ht="14.25" customHeight="1">
      <c r="B96" s="314" t="s">
        <v>56</v>
      </c>
      <c r="C96" s="315"/>
      <c r="D96" s="315"/>
      <c r="E96" s="315"/>
      <c r="F96" s="389">
        <v>2.5000000000000001E-2</v>
      </c>
      <c r="G96" s="315"/>
      <c r="H96" s="315"/>
      <c r="I96" s="315"/>
      <c r="J96" s="316">
        <f>F96*J100</f>
        <v>2125</v>
      </c>
      <c r="K96" s="390"/>
      <c r="L96" s="390"/>
      <c r="M96" s="390"/>
      <c r="N96" s="390"/>
      <c r="O96" s="391"/>
      <c r="P96" s="390"/>
      <c r="Q96" s="390"/>
      <c r="R96" s="390"/>
      <c r="S96" s="391"/>
      <c r="T96" s="345"/>
    </row>
    <row r="97" spans="2:35" s="257" customFormat="1" ht="14.25" customHeight="1">
      <c r="B97" s="318"/>
      <c r="F97" s="368"/>
      <c r="I97" s="295"/>
      <c r="J97" s="393"/>
      <c r="K97" s="393"/>
      <c r="L97" s="393"/>
      <c r="M97" s="393"/>
      <c r="N97" s="393"/>
      <c r="O97" s="394"/>
      <c r="P97" s="393"/>
      <c r="Q97" s="393"/>
      <c r="R97" s="393"/>
      <c r="S97" s="394"/>
      <c r="T97" s="345"/>
    </row>
    <row r="98" spans="2:35" s="257" customFormat="1" ht="14.25" customHeight="1">
      <c r="B98" s="318" t="s">
        <v>62</v>
      </c>
      <c r="I98" s="368"/>
      <c r="J98" s="367">
        <v>0.08</v>
      </c>
      <c r="K98" s="367">
        <v>0.08</v>
      </c>
      <c r="L98" s="367">
        <v>0.1</v>
      </c>
      <c r="M98" s="367">
        <v>0.14000000000000001</v>
      </c>
      <c r="N98" s="367">
        <v>0.25</v>
      </c>
      <c r="O98" s="414">
        <v>0</v>
      </c>
      <c r="P98" s="367">
        <v>0</v>
      </c>
      <c r="Q98" s="367">
        <v>0</v>
      </c>
      <c r="R98" s="367">
        <v>0</v>
      </c>
      <c r="S98" s="414">
        <v>0</v>
      </c>
      <c r="T98" s="345"/>
      <c r="AE98" s="368"/>
      <c r="AF98" s="368"/>
      <c r="AG98" s="368"/>
      <c r="AH98" s="368"/>
      <c r="AI98" s="368"/>
    </row>
    <row r="99" spans="2:35" s="257" customFormat="1" ht="14.25" customHeight="1">
      <c r="B99" s="318"/>
      <c r="G99" s="415"/>
      <c r="H99" s="416"/>
      <c r="I99" s="417"/>
      <c r="J99" s="417"/>
      <c r="K99" s="417"/>
      <c r="L99" s="417"/>
      <c r="M99" s="417"/>
      <c r="N99" s="417"/>
      <c r="O99" s="418"/>
      <c r="P99" s="417"/>
      <c r="Q99" s="417"/>
      <c r="R99" s="417"/>
      <c r="S99" s="418"/>
      <c r="T99" s="345"/>
      <c r="AE99" s="368"/>
      <c r="AF99" s="368"/>
      <c r="AG99" s="368"/>
      <c r="AH99" s="368"/>
      <c r="AI99" s="368"/>
    </row>
    <row r="100" spans="2:35" s="257" customFormat="1" ht="14.25" customHeight="1">
      <c r="B100" s="318" t="s">
        <v>58</v>
      </c>
      <c r="H100" s="416"/>
      <c r="I100" s="419"/>
      <c r="J100" s="396">
        <v>85000</v>
      </c>
      <c r="K100" s="295">
        <f>J102</f>
        <v>78200</v>
      </c>
      <c r="L100" s="295">
        <f t="shared" ref="L100:P100" si="67">K102</f>
        <v>71400</v>
      </c>
      <c r="M100" s="295">
        <f t="shared" si="67"/>
        <v>62900</v>
      </c>
      <c r="N100" s="295">
        <f t="shared" si="67"/>
        <v>51000</v>
      </c>
      <c r="O100" s="294">
        <f t="shared" si="67"/>
        <v>29750</v>
      </c>
      <c r="P100" s="295">
        <f t="shared" si="67"/>
        <v>29750</v>
      </c>
      <c r="Q100" s="295">
        <f t="shared" ref="Q100" si="68">P102</f>
        <v>29750</v>
      </c>
      <c r="R100" s="295">
        <f t="shared" ref="R100" si="69">Q102</f>
        <v>29750</v>
      </c>
      <c r="S100" s="294">
        <f t="shared" ref="S100" si="70">R102</f>
        <v>29750</v>
      </c>
      <c r="T100" s="345"/>
    </row>
    <row r="101" spans="2:35" s="257" customFormat="1" ht="14.25" customHeight="1">
      <c r="B101" s="318" t="s">
        <v>6</v>
      </c>
      <c r="H101" s="420"/>
      <c r="I101" s="295"/>
      <c r="J101" s="295">
        <f>J98*$J$100</f>
        <v>6800</v>
      </c>
      <c r="K101" s="295">
        <f t="shared" ref="K101:S101" si="71">K98*$J$100</f>
        <v>6800</v>
      </c>
      <c r="L101" s="295">
        <f t="shared" si="71"/>
        <v>8500</v>
      </c>
      <c r="M101" s="295">
        <f t="shared" si="71"/>
        <v>11900.000000000002</v>
      </c>
      <c r="N101" s="295">
        <f t="shared" si="71"/>
        <v>21250</v>
      </c>
      <c r="O101" s="294">
        <f t="shared" si="71"/>
        <v>0</v>
      </c>
      <c r="P101" s="295">
        <f t="shared" si="71"/>
        <v>0</v>
      </c>
      <c r="Q101" s="295">
        <f t="shared" si="71"/>
        <v>0</v>
      </c>
      <c r="R101" s="295">
        <f t="shared" si="71"/>
        <v>0</v>
      </c>
      <c r="S101" s="366">
        <f t="shared" si="71"/>
        <v>0</v>
      </c>
      <c r="T101" s="345"/>
    </row>
    <row r="102" spans="2:35" s="257" customFormat="1" ht="14.25" customHeight="1">
      <c r="B102" s="397" t="s">
        <v>59</v>
      </c>
      <c r="C102" s="370"/>
      <c r="D102" s="370"/>
      <c r="E102" s="370"/>
      <c r="F102" s="370"/>
      <c r="G102" s="370"/>
      <c r="H102" s="370"/>
      <c r="I102" s="399"/>
      <c r="J102" s="399">
        <f>J100-J101</f>
        <v>78200</v>
      </c>
      <c r="K102" s="399">
        <f t="shared" ref="K102:S102" si="72">K100-K101</f>
        <v>71400</v>
      </c>
      <c r="L102" s="399">
        <f t="shared" si="72"/>
        <v>62900</v>
      </c>
      <c r="M102" s="399">
        <f t="shared" si="72"/>
        <v>51000</v>
      </c>
      <c r="N102" s="399">
        <f t="shared" si="72"/>
        <v>29750</v>
      </c>
      <c r="O102" s="400">
        <f t="shared" si="72"/>
        <v>29750</v>
      </c>
      <c r="P102" s="399">
        <f t="shared" si="72"/>
        <v>29750</v>
      </c>
      <c r="Q102" s="399">
        <f t="shared" si="72"/>
        <v>29750</v>
      </c>
      <c r="R102" s="399">
        <f t="shared" si="72"/>
        <v>29750</v>
      </c>
      <c r="S102" s="400">
        <f t="shared" si="72"/>
        <v>29750</v>
      </c>
      <c r="T102" s="345"/>
    </row>
    <row r="103" spans="2:35" s="257" customFormat="1" ht="14.25" customHeight="1">
      <c r="B103" s="401"/>
      <c r="O103" s="333"/>
      <c r="S103" s="333"/>
      <c r="T103" s="345"/>
    </row>
    <row r="104" spans="2:35" s="257" customFormat="1" ht="14.25" customHeight="1">
      <c r="B104" s="318" t="s">
        <v>61</v>
      </c>
      <c r="F104" s="379">
        <f>SUM(J104:S104)</f>
        <v>28690.045750000001</v>
      </c>
      <c r="H104" s="421"/>
      <c r="I104" s="406"/>
      <c r="J104" s="295">
        <f t="shared" ref="J104:S104" si="73">AVERAGE(J100,J102)*(J76+J79)</f>
        <v>4732.8</v>
      </c>
      <c r="K104" s="295">
        <f t="shared" si="73"/>
        <v>4555.3200000000006</v>
      </c>
      <c r="L104" s="295">
        <f t="shared" si="73"/>
        <v>4209.6334999999999</v>
      </c>
      <c r="M104" s="295">
        <f t="shared" si="73"/>
        <v>3603.7960000000003</v>
      </c>
      <c r="N104" s="295">
        <f t="shared" si="73"/>
        <v>2559.3712500000001</v>
      </c>
      <c r="O104" s="294">
        <f t="shared" si="73"/>
        <v>1889.125</v>
      </c>
      <c r="P104" s="295">
        <f t="shared" si="73"/>
        <v>1785.0000000000002</v>
      </c>
      <c r="Q104" s="295">
        <f t="shared" si="73"/>
        <v>1785.0000000000002</v>
      </c>
      <c r="R104" s="295">
        <f t="shared" si="73"/>
        <v>1785.0000000000002</v>
      </c>
      <c r="S104" s="294">
        <f t="shared" si="73"/>
        <v>1785.0000000000002</v>
      </c>
      <c r="T104" s="345"/>
    </row>
    <row r="105" spans="2:35" s="257" customFormat="1" ht="16">
      <c r="B105" s="384"/>
      <c r="C105" s="358"/>
      <c r="D105" s="358"/>
      <c r="E105" s="358"/>
      <c r="F105" s="358"/>
      <c r="G105" s="358"/>
      <c r="H105" s="358"/>
      <c r="I105" s="409"/>
      <c r="J105" s="410"/>
      <c r="K105" s="410"/>
      <c r="L105" s="410"/>
      <c r="M105" s="411"/>
      <c r="N105" s="411"/>
      <c r="O105" s="412"/>
      <c r="P105" s="411"/>
      <c r="Q105" s="411"/>
      <c r="R105" s="411"/>
      <c r="S105" s="412"/>
      <c r="T105" s="345"/>
    </row>
    <row r="106" spans="2:35" s="257" customFormat="1" ht="14.25" customHeight="1">
      <c r="B106" s="422"/>
      <c r="I106" s="275"/>
      <c r="J106" s="275"/>
      <c r="K106" s="275"/>
      <c r="L106" s="275"/>
      <c r="M106" s="275"/>
      <c r="N106" s="275"/>
      <c r="O106" s="275"/>
      <c r="P106" s="275"/>
      <c r="Q106" s="275"/>
      <c r="R106" s="275"/>
      <c r="S106" s="275"/>
      <c r="T106" s="345"/>
      <c r="AE106" s="423"/>
      <c r="AF106" s="423"/>
      <c r="AG106" s="423"/>
      <c r="AH106" s="423"/>
      <c r="AI106" s="423"/>
    </row>
    <row r="107" spans="2:35" s="257" customFormat="1" ht="14.25" customHeight="1">
      <c r="B107" s="422"/>
      <c r="I107" s="275"/>
      <c r="J107" s="275"/>
      <c r="K107" s="275"/>
      <c r="L107" s="275"/>
      <c r="M107" s="275"/>
      <c r="N107" s="275"/>
      <c r="O107" s="275"/>
      <c r="P107" s="275"/>
      <c r="Q107" s="275"/>
      <c r="R107" s="275"/>
      <c r="S107" s="275"/>
      <c r="T107" s="345"/>
      <c r="AE107" s="423"/>
      <c r="AF107" s="423"/>
      <c r="AG107" s="423"/>
      <c r="AH107" s="423"/>
      <c r="AI107" s="423"/>
    </row>
    <row r="108" spans="2:35" s="257" customFormat="1" ht="14.25" customHeight="1">
      <c r="B108" s="422"/>
      <c r="I108" s="275"/>
      <c r="J108" s="275"/>
      <c r="K108" s="275"/>
      <c r="L108" s="275"/>
      <c r="M108" s="275"/>
      <c r="N108" s="275"/>
      <c r="O108" s="275"/>
      <c r="P108" s="275"/>
      <c r="Q108" s="275"/>
      <c r="R108" s="275"/>
      <c r="S108" s="275"/>
      <c r="T108" s="345"/>
      <c r="AE108" s="423"/>
      <c r="AF108" s="423"/>
      <c r="AG108" s="423"/>
      <c r="AH108" s="423"/>
      <c r="AI108" s="423"/>
    </row>
    <row r="109" spans="2:35" s="257" customFormat="1" ht="16">
      <c r="B109" s="257" t="s">
        <v>63</v>
      </c>
      <c r="H109" s="424"/>
      <c r="I109" s="406"/>
      <c r="J109" s="406">
        <f t="shared" ref="J109:S109" ca="1" si="74">+J104+J92+J91-J73</f>
        <v>4743.1350485136245</v>
      </c>
      <c r="K109" s="406">
        <f t="shared" ca="1" si="74"/>
        <v>4492.9256118135072</v>
      </c>
      <c r="L109" s="406">
        <f t="shared" ca="1" si="74"/>
        <v>4210.817519343138</v>
      </c>
      <c r="M109" s="406">
        <f t="shared" ca="1" si="74"/>
        <v>3699.7041129383233</v>
      </c>
      <c r="N109" s="406">
        <f t="shared" ca="1" si="74"/>
        <v>2863.2089711650569</v>
      </c>
      <c r="O109" s="406">
        <f t="shared" ca="1" si="74"/>
        <v>2142.2383497259011</v>
      </c>
      <c r="P109" s="406">
        <f t="shared" ca="1" si="74"/>
        <v>1320.9482778265794</v>
      </c>
      <c r="Q109" s="406">
        <f t="shared" ca="1" si="74"/>
        <v>569.71739995672488</v>
      </c>
      <c r="R109" s="406">
        <f t="shared" ca="1" si="74"/>
        <v>141.08821903951798</v>
      </c>
      <c r="S109" s="406">
        <f t="shared" ca="1" si="74"/>
        <v>-310.30446594110595</v>
      </c>
    </row>
    <row r="110" spans="2:35" s="257" customFormat="1" ht="16">
      <c r="I110" s="406"/>
      <c r="J110" s="295"/>
      <c r="K110" s="295"/>
      <c r="L110" s="295"/>
      <c r="M110" s="295"/>
      <c r="N110" s="295"/>
      <c r="O110" s="295"/>
      <c r="P110" s="295"/>
      <c r="Q110" s="295"/>
      <c r="R110" s="295"/>
      <c r="S110" s="295"/>
    </row>
    <row r="111" spans="2:35" s="257" customFormat="1" ht="16"/>
    <row r="112" spans="2:35" s="257" customFormat="1" ht="16"/>
    <row r="113" s="257" customFormat="1" ht="16"/>
  </sheetData>
  <mergeCells count="1">
    <mergeCell ref="X9:AK9"/>
  </mergeCells>
  <pageMargins left="0.7" right="0.7" top="0.75" bottom="0.75" header="0.3" footer="0.3"/>
  <pageSetup paperSize="9" scale="39" orientation="portrait" verticalDpi="598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AL352"/>
  <sheetViews>
    <sheetView showGridLines="0" zoomScale="115" zoomScaleNormal="115" zoomScalePageLayoutView="150" workbookViewId="0">
      <pane xSplit="11" ySplit="5" topLeftCell="S180" activePane="bottomRight" state="frozen"/>
      <selection activeCell="S18" sqref="S18"/>
      <selection pane="topRight" activeCell="S18" sqref="S18"/>
      <selection pane="bottomLeft" activeCell="S18" sqref="S18"/>
      <selection pane="bottomRight" activeCell="AC24" sqref="AC24"/>
    </sheetView>
  </sheetViews>
  <sheetFormatPr baseColWidth="10" defaultColWidth="13.3984375" defaultRowHeight="13"/>
  <cols>
    <col min="1" max="1" width="1.3984375" style="441" customWidth="1"/>
    <col min="2" max="2" width="2.796875" style="441" customWidth="1"/>
    <col min="3" max="3" width="31.59765625" style="441" customWidth="1"/>
    <col min="4" max="4" width="1.3984375" style="441" customWidth="1"/>
    <col min="5" max="6" width="9.3984375" style="441" hidden="1" customWidth="1"/>
    <col min="7" max="10" width="9.796875" style="441" hidden="1" customWidth="1"/>
    <col min="11" max="11" width="9.3984375" style="441" hidden="1" customWidth="1"/>
    <col min="12" max="12" width="11" style="441" hidden="1" customWidth="1"/>
    <col min="13" max="13" width="10.19921875" style="441" hidden="1" customWidth="1"/>
    <col min="14" max="14" width="10.3984375" style="441" hidden="1" customWidth="1"/>
    <col min="15" max="16" width="11" style="441" hidden="1" customWidth="1"/>
    <col min="17" max="17" width="13" style="441" hidden="1" customWidth="1"/>
    <col min="18" max="18" width="10.3984375" style="441" hidden="1" customWidth="1"/>
    <col min="19" max="19" width="11" style="441" customWidth="1"/>
    <col min="20" max="20" width="9.796875" style="441" hidden="1" customWidth="1"/>
    <col min="21" max="21" width="10.19921875" style="441" hidden="1" customWidth="1"/>
    <col min="22" max="22" width="9.796875" style="441" hidden="1" customWidth="1"/>
    <col min="23" max="23" width="9.796875" style="441" customWidth="1"/>
    <col min="24" max="24" width="10.3984375" style="441" customWidth="1"/>
    <col min="25" max="25" width="9.796875" style="441" customWidth="1"/>
    <col min="26" max="26" width="9.3984375" style="441" customWidth="1"/>
    <col min="27" max="27" width="9.796875" style="441" customWidth="1"/>
    <col min="28" max="38" width="9.3984375" style="441" bestFit="1" customWidth="1"/>
    <col min="39" max="16384" width="13.3984375" style="441"/>
  </cols>
  <sheetData>
    <row r="2" spans="1:38" ht="18">
      <c r="A2" s="436"/>
      <c r="B2" s="436"/>
      <c r="C2" s="437" t="s">
        <v>405</v>
      </c>
      <c r="D2" s="438"/>
      <c r="E2" s="439"/>
      <c r="F2" s="439"/>
      <c r="G2" s="439"/>
      <c r="H2" s="439"/>
      <c r="I2" s="440"/>
      <c r="J2" s="440"/>
      <c r="K2" s="440"/>
      <c r="L2" s="440"/>
      <c r="M2" s="440"/>
      <c r="N2" s="440"/>
      <c r="O2" s="440"/>
      <c r="P2" s="440"/>
      <c r="Q2" s="440"/>
      <c r="R2" s="440"/>
      <c r="S2" s="440"/>
      <c r="T2" s="440"/>
      <c r="U2" s="440"/>
      <c r="V2" s="440"/>
      <c r="W2" s="440"/>
      <c r="X2" s="440"/>
      <c r="Y2" s="440"/>
      <c r="Z2" s="440"/>
      <c r="AA2" s="440"/>
      <c r="AB2" s="440"/>
      <c r="AC2" s="440"/>
      <c r="AD2" s="440"/>
      <c r="AE2" s="440"/>
      <c r="AF2" s="440"/>
      <c r="AG2" s="440"/>
      <c r="AH2" s="440"/>
      <c r="AI2" s="440"/>
      <c r="AJ2" s="440"/>
      <c r="AK2" s="440"/>
      <c r="AL2" s="440"/>
    </row>
    <row r="3" spans="1:38" ht="18">
      <c r="A3" s="436"/>
      <c r="B3" s="436"/>
      <c r="C3" s="442" t="s">
        <v>168</v>
      </c>
      <c r="D3" s="438"/>
      <c r="E3" s="439"/>
      <c r="F3" s="439"/>
      <c r="G3" s="439"/>
      <c r="H3" s="439"/>
      <c r="I3" s="440"/>
      <c r="J3" s="440"/>
      <c r="K3" s="440"/>
      <c r="L3" s="440"/>
      <c r="M3" s="440"/>
      <c r="N3" s="440"/>
      <c r="O3" s="440"/>
      <c r="P3" s="440"/>
      <c r="Q3" s="440"/>
      <c r="R3" s="436"/>
      <c r="S3" s="440"/>
      <c r="T3" s="443"/>
      <c r="U3" s="443"/>
      <c r="V3" s="443"/>
      <c r="W3" s="443"/>
      <c r="X3" s="444"/>
      <c r="Y3" s="444"/>
      <c r="Z3" s="444"/>
      <c r="AA3" s="445"/>
      <c r="AC3" s="809" t="s">
        <v>169</v>
      </c>
      <c r="AD3" s="809"/>
      <c r="AE3" s="809"/>
      <c r="AF3" s="809"/>
      <c r="AG3" s="809"/>
      <c r="AH3" s="809"/>
      <c r="AI3" s="809"/>
      <c r="AJ3" s="809"/>
      <c r="AK3" s="809"/>
      <c r="AL3" s="809"/>
    </row>
    <row r="4" spans="1:38">
      <c r="A4" s="446"/>
      <c r="B4" s="446"/>
      <c r="C4" s="447"/>
      <c r="D4" s="439"/>
      <c r="E4" s="439"/>
      <c r="F4" s="439"/>
      <c r="G4" s="439"/>
      <c r="H4" s="439"/>
      <c r="I4" s="439"/>
      <c r="J4" s="439"/>
      <c r="K4" s="439"/>
      <c r="L4" s="439"/>
      <c r="M4" s="439"/>
      <c r="N4" s="439"/>
      <c r="O4" s="439"/>
      <c r="P4" s="439"/>
      <c r="Q4" s="439"/>
      <c r="R4" s="439"/>
      <c r="S4" s="439"/>
      <c r="T4" s="439"/>
      <c r="U4" s="439"/>
      <c r="V4" s="439"/>
      <c r="W4" s="439"/>
      <c r="X4" s="439"/>
      <c r="Y4" s="439"/>
      <c r="Z4" s="439"/>
      <c r="AA4" s="439"/>
      <c r="AB4" s="439"/>
      <c r="AC4" s="439"/>
      <c r="AD4" s="439"/>
      <c r="AE4" s="439"/>
      <c r="AF4" s="439"/>
      <c r="AG4" s="439"/>
      <c r="AH4" s="439"/>
      <c r="AI4" s="439"/>
      <c r="AJ4" s="439"/>
      <c r="AK4" s="439"/>
      <c r="AL4" s="439"/>
    </row>
    <row r="5" spans="1:38" s="448" customFormat="1" ht="24.75" customHeight="1">
      <c r="C5" s="449"/>
      <c r="D5" s="450"/>
      <c r="E5" s="451" t="s">
        <v>170</v>
      </c>
      <c r="F5" s="451" t="s">
        <v>171</v>
      </c>
      <c r="G5" s="452" t="s">
        <v>172</v>
      </c>
      <c r="H5" s="453" t="s">
        <v>173</v>
      </c>
      <c r="I5" s="453" t="s">
        <v>174</v>
      </c>
      <c r="J5" s="453" t="s">
        <v>175</v>
      </c>
      <c r="K5" s="454" t="s">
        <v>176</v>
      </c>
      <c r="L5" s="455" t="s">
        <v>177</v>
      </c>
      <c r="M5" s="451" t="s">
        <v>178</v>
      </c>
      <c r="N5" s="451" t="s">
        <v>179</v>
      </c>
      <c r="O5" s="455" t="s">
        <v>180</v>
      </c>
      <c r="P5" s="451" t="s">
        <v>181</v>
      </c>
      <c r="Q5" s="452" t="s">
        <v>182</v>
      </c>
      <c r="R5" s="456" t="s">
        <v>183</v>
      </c>
      <c r="S5" s="455" t="s">
        <v>184</v>
      </c>
      <c r="T5" s="455" t="s">
        <v>185</v>
      </c>
      <c r="U5" s="455" t="s">
        <v>186</v>
      </c>
      <c r="V5" s="455" t="s">
        <v>187</v>
      </c>
      <c r="W5" s="455" t="s">
        <v>188</v>
      </c>
      <c r="X5" s="455" t="s">
        <v>189</v>
      </c>
      <c r="Y5" s="455" t="s">
        <v>190</v>
      </c>
      <c r="Z5" s="455" t="s">
        <v>191</v>
      </c>
      <c r="AA5" s="455" t="s">
        <v>192</v>
      </c>
      <c r="AB5" s="455" t="s">
        <v>193</v>
      </c>
      <c r="AC5" s="455" t="s">
        <v>194</v>
      </c>
      <c r="AD5" s="455" t="s">
        <v>195</v>
      </c>
      <c r="AE5" s="455" t="s">
        <v>196</v>
      </c>
      <c r="AF5" s="455" t="s">
        <v>197</v>
      </c>
      <c r="AG5" s="455" t="s">
        <v>198</v>
      </c>
      <c r="AH5" s="455" t="s">
        <v>199</v>
      </c>
      <c r="AI5" s="455" t="s">
        <v>200</v>
      </c>
      <c r="AJ5" s="455" t="s">
        <v>201</v>
      </c>
      <c r="AK5" s="455" t="s">
        <v>202</v>
      </c>
      <c r="AL5" s="455" t="s">
        <v>203</v>
      </c>
    </row>
    <row r="6" spans="1:38">
      <c r="A6" s="446"/>
      <c r="B6" s="446"/>
      <c r="C6" s="457"/>
      <c r="D6" s="446"/>
      <c r="E6" s="446"/>
      <c r="F6" s="446"/>
      <c r="G6" s="446"/>
      <c r="H6" s="446"/>
      <c r="I6" s="446"/>
      <c r="J6" s="458"/>
      <c r="K6" s="459"/>
      <c r="L6" s="459"/>
      <c r="M6" s="459"/>
      <c r="N6" s="459"/>
      <c r="O6" s="459"/>
      <c r="P6" s="459"/>
      <c r="Q6" s="459"/>
      <c r="R6" s="458"/>
      <c r="S6" s="459"/>
      <c r="T6" s="458"/>
      <c r="U6" s="458"/>
      <c r="V6" s="458"/>
      <c r="W6" s="458"/>
      <c r="X6" s="458"/>
      <c r="Y6" s="458"/>
      <c r="Z6" s="458"/>
      <c r="AA6" s="458"/>
      <c r="AB6" s="458"/>
      <c r="AC6" s="458"/>
      <c r="AD6" s="458"/>
      <c r="AE6" s="458"/>
      <c r="AF6" s="458"/>
      <c r="AG6" s="458"/>
      <c r="AH6" s="458"/>
      <c r="AI6" s="458"/>
      <c r="AJ6" s="458"/>
      <c r="AK6" s="458"/>
      <c r="AL6" s="458"/>
    </row>
    <row r="7" spans="1:38">
      <c r="A7" s="446"/>
      <c r="B7" s="446"/>
      <c r="C7" s="460" t="s">
        <v>204</v>
      </c>
      <c r="D7" s="461"/>
      <c r="E7" s="462">
        <f t="shared" ref="E7:AH7" si="0">E130-E131</f>
        <v>116447</v>
      </c>
      <c r="F7" s="462">
        <f t="shared" si="0"/>
        <v>148575</v>
      </c>
      <c r="G7" s="462">
        <f t="shared" si="0"/>
        <v>195990.85969465555</v>
      </c>
      <c r="H7" s="462">
        <f t="shared" si="0"/>
        <v>234728.01230099553</v>
      </c>
      <c r="I7" s="462">
        <f t="shared" si="0"/>
        <v>282364</v>
      </c>
      <c r="J7" s="462">
        <f t="shared" si="0"/>
        <v>240071.18062579859</v>
      </c>
      <c r="K7" s="462">
        <f t="shared" si="0"/>
        <v>187527.31561784848</v>
      </c>
      <c r="L7" s="462">
        <f t="shared" si="0"/>
        <v>267735.89287708752</v>
      </c>
      <c r="M7" s="462">
        <f t="shared" si="0"/>
        <v>252990.01074026083</v>
      </c>
      <c r="N7" s="462">
        <f t="shared" si="0"/>
        <v>60453.738936277296</v>
      </c>
      <c r="O7" s="462">
        <f t="shared" si="0"/>
        <v>290159.12190877093</v>
      </c>
      <c r="P7" s="462">
        <f t="shared" si="0"/>
        <v>145089.97358653203</v>
      </c>
      <c r="Q7" s="462">
        <f t="shared" si="0"/>
        <v>231009.88285780721</v>
      </c>
      <c r="R7" s="462">
        <f t="shared" si="0"/>
        <v>313512.58196645032</v>
      </c>
      <c r="S7" s="462">
        <f t="shared" si="0"/>
        <v>330626.55001519318</v>
      </c>
      <c r="T7" s="462">
        <v>153145</v>
      </c>
      <c r="U7" s="462">
        <v>331433.5</v>
      </c>
      <c r="V7" s="462">
        <f>V130-V131</f>
        <v>364534.2566615385</v>
      </c>
      <c r="W7" s="462">
        <f>W130-W131</f>
        <v>321505.97614112933</v>
      </c>
      <c r="X7" s="463">
        <f t="shared" si="0"/>
        <v>293460</v>
      </c>
      <c r="Y7" s="463">
        <f t="shared" si="0"/>
        <v>318801</v>
      </c>
      <c r="Z7" s="463">
        <f>Z130-Z131</f>
        <v>252827</v>
      </c>
      <c r="AA7" s="462">
        <f t="shared" si="0"/>
        <v>313636</v>
      </c>
      <c r="AB7" s="463">
        <f t="shared" si="0"/>
        <v>249584.48335281393</v>
      </c>
      <c r="AC7" s="462">
        <f t="shared" si="0"/>
        <v>301008.11074756016</v>
      </c>
      <c r="AD7" s="462">
        <f t="shared" si="0"/>
        <v>327461.65382665442</v>
      </c>
      <c r="AE7" s="462">
        <f t="shared" si="0"/>
        <v>363307.73756091855</v>
      </c>
      <c r="AF7" s="462">
        <f t="shared" si="0"/>
        <v>403655.95596836263</v>
      </c>
      <c r="AG7" s="462">
        <f t="shared" si="0"/>
        <v>449169.63626670779</v>
      </c>
      <c r="AH7" s="462">
        <f t="shared" si="0"/>
        <v>481858.26694912201</v>
      </c>
      <c r="AI7" s="462">
        <f>AI130-AI131</f>
        <v>520745.83685235318</v>
      </c>
      <c r="AJ7" s="462">
        <f>AJ130-AJ131</f>
        <v>564111.99683985708</v>
      </c>
      <c r="AK7" s="462">
        <f>AK130-AK131</f>
        <v>612623.93140185485</v>
      </c>
      <c r="AL7" s="462">
        <f>AL130-AL131</f>
        <v>667062.55017382139</v>
      </c>
    </row>
    <row r="8" spans="1:38">
      <c r="A8" s="446"/>
      <c r="B8" s="761"/>
      <c r="C8" s="762" t="s">
        <v>395</v>
      </c>
      <c r="D8" s="763"/>
      <c r="E8" s="764"/>
      <c r="F8" s="764"/>
      <c r="G8" s="765"/>
      <c r="H8" s="765"/>
      <c r="I8" s="765"/>
      <c r="J8" s="765"/>
      <c r="K8" s="765"/>
      <c r="L8" s="765"/>
      <c r="M8" s="765"/>
      <c r="N8" s="765"/>
      <c r="O8" s="765"/>
      <c r="P8" s="765"/>
      <c r="Q8" s="765"/>
      <c r="R8" s="765"/>
      <c r="S8" s="765"/>
      <c r="T8" s="765"/>
      <c r="U8" s="765"/>
      <c r="V8" s="765"/>
      <c r="W8" s="765">
        <f>+W7/S7-1</f>
        <v>-2.7585727382282932E-2</v>
      </c>
      <c r="X8" s="765">
        <f>+X7/W7-1</f>
        <v>-8.7233140975327195E-2</v>
      </c>
      <c r="Y8" s="765">
        <f t="shared" ref="Y8:AA8" si="1">+Y7/U7-1</f>
        <v>-3.8114734931743444E-2</v>
      </c>
      <c r="Z8" s="765">
        <f>+Z7/X7-1</f>
        <v>-0.13846180058611057</v>
      </c>
      <c r="AA8" s="765">
        <f t="shared" si="1"/>
        <v>-2.447847544107451E-2</v>
      </c>
      <c r="AB8" s="765">
        <f>+AB7/Z7-1</f>
        <v>-1.2825041024835504E-2</v>
      </c>
      <c r="AC8" s="806">
        <f>+AC7/AB7-1</f>
        <v>0.20603695672079714</v>
      </c>
      <c r="AD8" s="765">
        <f t="shared" ref="AD8:AL8" si="2">+AD7/AC7-1</f>
        <v>8.7883157079708951E-2</v>
      </c>
      <c r="AE8" s="765">
        <f t="shared" si="2"/>
        <v>0.10946650795711088</v>
      </c>
      <c r="AF8" s="765">
        <f t="shared" si="2"/>
        <v>0.11105796611523755</v>
      </c>
      <c r="AG8" s="765">
        <f t="shared" si="2"/>
        <v>0.11275364484380956</v>
      </c>
      <c r="AH8" s="765">
        <f t="shared" si="2"/>
        <v>7.2775691059856928E-2</v>
      </c>
      <c r="AI8" s="765">
        <f t="shared" si="2"/>
        <v>8.0703336583695551E-2</v>
      </c>
      <c r="AJ8" s="765">
        <f t="shared" si="2"/>
        <v>8.3277017152226351E-2</v>
      </c>
      <c r="AK8" s="765">
        <f t="shared" si="2"/>
        <v>8.5996991437446102E-2</v>
      </c>
      <c r="AL8" s="765">
        <f t="shared" si="2"/>
        <v>8.8861397639814266E-2</v>
      </c>
    </row>
    <row r="9" spans="1:38">
      <c r="A9" s="446"/>
      <c r="B9" s="446"/>
      <c r="C9" s="464" t="s">
        <v>149</v>
      </c>
      <c r="D9" s="465"/>
      <c r="E9" s="466">
        <f t="shared" ref="E9:S9" si="3">E255+E256</f>
        <v>7692.8185705903597</v>
      </c>
      <c r="F9" s="466">
        <f t="shared" si="3"/>
        <v>11953.4792632724</v>
      </c>
      <c r="G9" s="466">
        <f t="shared" si="3"/>
        <v>14791.955096100457</v>
      </c>
      <c r="H9" s="466">
        <f t="shared" si="3"/>
        <v>30074.775756404528</v>
      </c>
      <c r="I9" s="466">
        <f t="shared" si="3"/>
        <v>48253.233599771811</v>
      </c>
      <c r="J9" s="466">
        <f t="shared" si="3"/>
        <v>19738.595674268465</v>
      </c>
      <c r="K9" s="466">
        <f t="shared" si="3"/>
        <v>10098.619084277858</v>
      </c>
      <c r="L9" s="466">
        <f t="shared" si="3"/>
        <v>18644.586882427833</v>
      </c>
      <c r="M9" s="466">
        <f t="shared" si="3"/>
        <v>13620.404847809372</v>
      </c>
      <c r="N9" s="466">
        <f t="shared" si="3"/>
        <v>1345.5955373706292</v>
      </c>
      <c r="O9" s="466">
        <f t="shared" si="3"/>
        <v>18141.543070231095</v>
      </c>
      <c r="P9" s="466">
        <f t="shared" si="3"/>
        <v>9173.9317375680384</v>
      </c>
      <c r="Q9" s="466">
        <f t="shared" si="3"/>
        <v>12093.458031531285</v>
      </c>
      <c r="R9" s="466">
        <f t="shared" si="3"/>
        <v>22880.426827417788</v>
      </c>
      <c r="S9" s="466">
        <f t="shared" si="3"/>
        <v>25382.462327623936</v>
      </c>
      <c r="T9" s="466">
        <v>3317</v>
      </c>
      <c r="U9" s="466">
        <v>17507.45</v>
      </c>
      <c r="V9" s="466">
        <f>V255+V256</f>
        <v>28206.776409515485</v>
      </c>
      <c r="W9" s="466">
        <f>(W255+W256)</f>
        <v>27563.040355679459</v>
      </c>
      <c r="X9" s="466">
        <f>(X255+X256)</f>
        <v>22268</v>
      </c>
      <c r="Y9" s="466">
        <f>(Y255+Y256)</f>
        <v>21738</v>
      </c>
      <c r="Z9" s="466">
        <f t="shared" ref="Z9:AH9" si="4">(Z255+Z256)*Z37</f>
        <v>18195.080656500781</v>
      </c>
      <c r="AA9" s="466">
        <f t="shared" si="4"/>
        <v>30564</v>
      </c>
      <c r="AB9" s="466">
        <f t="shared" si="4"/>
        <v>17985.668254353252</v>
      </c>
      <c r="AC9" s="466">
        <f t="shared" si="4"/>
        <v>17955.258019404042</v>
      </c>
      <c r="AD9" s="466">
        <f t="shared" si="4"/>
        <v>20280.359335091234</v>
      </c>
      <c r="AE9" s="466">
        <f t="shared" si="4"/>
        <v>22884.485318550851</v>
      </c>
      <c r="AF9" s="466">
        <f t="shared" si="4"/>
        <v>25820.231398755055</v>
      </c>
      <c r="AG9" s="466">
        <f t="shared" si="4"/>
        <v>29129.997531649115</v>
      </c>
      <c r="AH9" s="466">
        <f t="shared" si="4"/>
        <v>32250.941679151369</v>
      </c>
      <c r="AI9" s="466">
        <f>(AI255+AI256)*AI37</f>
        <v>34603.627832815429</v>
      </c>
      <c r="AJ9" s="466">
        <f>(AJ255+AJ256)*AJ37</f>
        <v>37153.479295039011</v>
      </c>
      <c r="AK9" s="466">
        <f>(AK255+AK256)*AK37</f>
        <v>39917.625234631261</v>
      </c>
      <c r="AL9" s="466">
        <f>(AL255+AL256)*AL37</f>
        <v>42914.417603247784</v>
      </c>
    </row>
    <row r="10" spans="1:38" s="467" customFormat="1" ht="11">
      <c r="C10" s="468" t="s">
        <v>205</v>
      </c>
      <c r="D10" s="469"/>
      <c r="E10" s="470">
        <f t="shared" ref="E10:AH10" si="5">E9/E7</f>
        <v>6.6062831765441449E-2</v>
      </c>
      <c r="F10" s="470">
        <f t="shared" si="5"/>
        <v>8.045417643124618E-2</v>
      </c>
      <c r="G10" s="470">
        <f t="shared" si="5"/>
        <v>7.5472678262372139E-2</v>
      </c>
      <c r="H10" s="470">
        <f t="shared" si="5"/>
        <v>0.12812606157052597</v>
      </c>
      <c r="I10" s="470">
        <f t="shared" si="5"/>
        <v>0.17089017580063964</v>
      </c>
      <c r="J10" s="470">
        <f t="shared" si="5"/>
        <v>8.2219763416897657E-2</v>
      </c>
      <c r="K10" s="470">
        <f t="shared" si="5"/>
        <v>5.3851456525177768E-2</v>
      </c>
      <c r="L10" s="470">
        <f t="shared" si="5"/>
        <v>6.9637980481710049E-2</v>
      </c>
      <c r="M10" s="470">
        <f t="shared" si="5"/>
        <v>5.3837717971375307E-2</v>
      </c>
      <c r="N10" s="470">
        <f t="shared" si="5"/>
        <v>2.2258268240265278E-2</v>
      </c>
      <c r="O10" s="470">
        <f t="shared" si="5"/>
        <v>6.2522739078094483E-2</v>
      </c>
      <c r="P10" s="470">
        <f t="shared" si="5"/>
        <v>6.3229260511903557E-2</v>
      </c>
      <c r="Q10" s="470">
        <f t="shared" si="5"/>
        <v>5.2350392467733223E-2</v>
      </c>
      <c r="R10" s="470">
        <f t="shared" si="5"/>
        <v>7.2980888626237889E-2</v>
      </c>
      <c r="S10" s="470">
        <f t="shared" si="5"/>
        <v>7.6770792685758427E-2</v>
      </c>
      <c r="T10" s="470">
        <f t="shared" si="5"/>
        <v>2.165921185804303E-2</v>
      </c>
      <c r="U10" s="470">
        <f t="shared" si="5"/>
        <v>5.282341706556519E-2</v>
      </c>
      <c r="V10" s="470">
        <f t="shared" si="5"/>
        <v>7.7377573970242294E-2</v>
      </c>
      <c r="W10" s="470">
        <f t="shared" si="5"/>
        <v>8.5731035816206086E-2</v>
      </c>
      <c r="X10" s="470">
        <f t="shared" si="5"/>
        <v>7.5880869624480332E-2</v>
      </c>
      <c r="Y10" s="470">
        <f t="shared" si="5"/>
        <v>6.818673718087459E-2</v>
      </c>
      <c r="Z10" s="470">
        <f t="shared" si="5"/>
        <v>7.19665251594995E-2</v>
      </c>
      <c r="AA10" s="470">
        <f t="shared" si="5"/>
        <v>9.7450547768751034E-2</v>
      </c>
      <c r="AB10" s="470">
        <f t="shared" si="5"/>
        <v>7.2062445600548877E-2</v>
      </c>
      <c r="AC10" s="470">
        <f t="shared" si="5"/>
        <v>5.9650412657691415E-2</v>
      </c>
      <c r="AD10" s="470">
        <f t="shared" si="5"/>
        <v>6.1932012796304003E-2</v>
      </c>
      <c r="AE10" s="470">
        <f t="shared" si="5"/>
        <v>6.2989259387060639E-2</v>
      </c>
      <c r="AF10" s="470">
        <f t="shared" si="5"/>
        <v>6.3965936875161014E-2</v>
      </c>
      <c r="AG10" s="470">
        <f t="shared" si="5"/>
        <v>6.4852998020445696E-2</v>
      </c>
      <c r="AH10" s="470">
        <f t="shared" si="5"/>
        <v>6.6930348385112692E-2</v>
      </c>
      <c r="AI10" s="470">
        <f>AI9/AI7</f>
        <v>6.6450128611640888E-2</v>
      </c>
      <c r="AJ10" s="470">
        <f>AJ9/AJ7</f>
        <v>6.5861884702278939E-2</v>
      </c>
      <c r="AK10" s="470">
        <f>AK9/AK7</f>
        <v>6.5158449072155206E-2</v>
      </c>
      <c r="AL10" s="470">
        <f>AL9/AL7</f>
        <v>6.4333423592832881E-2</v>
      </c>
    </row>
    <row r="11" spans="1:38">
      <c r="A11" s="446"/>
      <c r="B11" s="446"/>
      <c r="C11" s="464"/>
      <c r="D11" s="465"/>
      <c r="E11" s="471"/>
      <c r="F11" s="471"/>
      <c r="G11" s="471"/>
      <c r="H11" s="471"/>
      <c r="I11" s="471"/>
      <c r="J11" s="471"/>
      <c r="K11" s="471"/>
      <c r="L11" s="472"/>
      <c r="M11" s="471"/>
      <c r="N11" s="471"/>
      <c r="O11" s="472"/>
      <c r="P11" s="472"/>
      <c r="Q11" s="472"/>
      <c r="R11" s="472"/>
      <c r="S11" s="472"/>
      <c r="T11" s="472"/>
      <c r="U11" s="472"/>
      <c r="V11" s="472"/>
      <c r="W11" s="472"/>
      <c r="X11" s="472"/>
      <c r="Y11" s="472"/>
      <c r="Z11" s="472"/>
      <c r="AA11" s="472"/>
      <c r="AB11" s="472"/>
      <c r="AC11" s="472"/>
      <c r="AD11" s="472"/>
      <c r="AE11" s="472"/>
      <c r="AF11" s="472"/>
      <c r="AG11" s="472"/>
      <c r="AH11" s="472"/>
      <c r="AI11" s="472"/>
      <c r="AJ11" s="472"/>
      <c r="AK11" s="472"/>
      <c r="AL11" s="472"/>
    </row>
    <row r="12" spans="1:38">
      <c r="A12" s="446"/>
      <c r="B12" s="446"/>
      <c r="C12" s="457" t="s">
        <v>155</v>
      </c>
      <c r="D12" s="446"/>
      <c r="E12" s="462">
        <v>2194.5638088302571</v>
      </c>
      <c r="F12" s="462">
        <v>2493</v>
      </c>
      <c r="G12" s="473">
        <v>2535.3380409563201</v>
      </c>
      <c r="H12" s="462">
        <v>2877.8523286507389</v>
      </c>
      <c r="I12" s="462">
        <f>+BS!I105</f>
        <v>2143.8440000000001</v>
      </c>
      <c r="J12" s="462">
        <f>+BS!J105</f>
        <v>1849.3679999999999</v>
      </c>
      <c r="K12" s="462">
        <f>+BS!K105</f>
        <v>2577.5160000000001</v>
      </c>
      <c r="L12" s="462">
        <v>3478</v>
      </c>
      <c r="M12" s="462">
        <f>+BS!M105</f>
        <v>3587.4760000000001</v>
      </c>
      <c r="N12" s="462">
        <v>1037.0464468820926</v>
      </c>
      <c r="O12" s="462">
        <f>+BS!O105</f>
        <v>4592</v>
      </c>
      <c r="P12" s="462">
        <f>+BS!P105</f>
        <v>1965</v>
      </c>
      <c r="Q12" s="462">
        <v>3478</v>
      </c>
      <c r="R12" s="462">
        <f>+BS!X105</f>
        <v>6098.9800000000005</v>
      </c>
      <c r="S12" s="462">
        <v>5003.2317892697401</v>
      </c>
      <c r="T12" s="462">
        <v>3138</v>
      </c>
      <c r="U12" s="462">
        <v>5684</v>
      </c>
      <c r="V12" s="462">
        <f>+BS!V105</f>
        <v>7942.4800000000005</v>
      </c>
      <c r="W12" s="462">
        <f>+BS!W105</f>
        <v>6886.27</v>
      </c>
      <c r="X12" s="462">
        <v>6099</v>
      </c>
      <c r="Y12" s="462">
        <v>9651</v>
      </c>
      <c r="Z12" s="462">
        <f>+BS!Z105</f>
        <v>7998.6860000000006</v>
      </c>
      <c r="AA12" s="462">
        <f>+BS!AA105</f>
        <v>7535.5543099999995</v>
      </c>
      <c r="AB12" s="462">
        <f>+BS!AB105</f>
        <v>7116.5700000000006</v>
      </c>
      <c r="AC12" s="462">
        <f>+BS!AC105</f>
        <v>7739.84</v>
      </c>
      <c r="AD12" s="462">
        <f>+BS!AD105</f>
        <v>6923.1</v>
      </c>
      <c r="AE12" s="462">
        <f>+BS!AE105</f>
        <v>5647.3550000000005</v>
      </c>
      <c r="AF12" s="462">
        <f>+BS!AF105</f>
        <v>4371.4787499999993</v>
      </c>
      <c r="AG12" s="462">
        <f>+BS!AG105</f>
        <v>3095.4646875000003</v>
      </c>
      <c r="AH12" s="462">
        <f>+BS!AH105</f>
        <v>2553.5459218750002</v>
      </c>
      <c r="AI12" s="462">
        <f>+BS!AI105</f>
        <v>2011.47521796875</v>
      </c>
      <c r="AJ12" s="462">
        <f>+BS!AJ105</f>
        <v>1469.2449788671877</v>
      </c>
      <c r="AK12" s="462">
        <f>+BS!AK105</f>
        <v>926.84722781054688</v>
      </c>
      <c r="AL12" s="462">
        <f>+BS!AL105</f>
        <v>367.8735892010742</v>
      </c>
    </row>
    <row r="13" spans="1:38">
      <c r="A13" s="446"/>
      <c r="B13" s="446"/>
      <c r="C13" s="457" t="s">
        <v>206</v>
      </c>
      <c r="D13" s="446"/>
      <c r="E13" s="462">
        <v>1728</v>
      </c>
      <c r="F13" s="462">
        <v>1831</v>
      </c>
      <c r="G13" s="462">
        <v>738</v>
      </c>
      <c r="H13" s="473">
        <v>-1341</v>
      </c>
      <c r="I13" s="473">
        <f>-2205.93959593968+1</f>
        <v>-2204.9395959396802</v>
      </c>
      <c r="J13" s="473">
        <v>-1162</v>
      </c>
      <c r="K13" s="473">
        <v>-853</v>
      </c>
      <c r="L13" s="473">
        <v>-649</v>
      </c>
      <c r="M13" s="473">
        <v>466</v>
      </c>
      <c r="N13" s="473">
        <v>197.20184147872376</v>
      </c>
      <c r="O13" s="473">
        <v>-585</v>
      </c>
      <c r="P13" s="473">
        <v>468</v>
      </c>
      <c r="Q13" s="462">
        <v>568</v>
      </c>
      <c r="R13" s="462">
        <v>669</v>
      </c>
      <c r="S13" s="473">
        <v>197</v>
      </c>
      <c r="T13" s="473">
        <v>-573</v>
      </c>
      <c r="U13" s="462">
        <v>335</v>
      </c>
      <c r="V13" s="462">
        <f>+S13*1.05</f>
        <v>206.85000000000002</v>
      </c>
      <c r="W13" s="462">
        <v>1204</v>
      </c>
      <c r="X13" s="473">
        <v>-22849</v>
      </c>
      <c r="Y13" s="473">
        <v>-1405</v>
      </c>
      <c r="Z13" s="473">
        <v>1195</v>
      </c>
      <c r="AA13" s="473">
        <v>33</v>
      </c>
      <c r="AB13" s="473">
        <v>2038</v>
      </c>
      <c r="AC13" s="473">
        <v>210</v>
      </c>
      <c r="AD13" s="473">
        <f t="shared" ref="Y13:AL16" si="6">+AC13*1.05</f>
        <v>220.5</v>
      </c>
      <c r="AE13" s="473">
        <f t="shared" si="6"/>
        <v>231.52500000000001</v>
      </c>
      <c r="AF13" s="473">
        <f t="shared" si="6"/>
        <v>243.10125000000002</v>
      </c>
      <c r="AG13" s="473">
        <f t="shared" si="6"/>
        <v>255.25631250000004</v>
      </c>
      <c r="AH13" s="473">
        <f t="shared" si="6"/>
        <v>268.01912812500007</v>
      </c>
      <c r="AI13" s="473">
        <f t="shared" si="6"/>
        <v>281.4200845312501</v>
      </c>
      <c r="AJ13" s="473">
        <f t="shared" si="6"/>
        <v>295.49108875781263</v>
      </c>
      <c r="AK13" s="473">
        <f t="shared" si="6"/>
        <v>310.26564319570326</v>
      </c>
      <c r="AL13" s="473">
        <f t="shared" si="6"/>
        <v>325.77892535548841</v>
      </c>
    </row>
    <row r="14" spans="1:38" s="782" customFormat="1">
      <c r="A14" s="761"/>
      <c r="B14" s="761"/>
      <c r="C14" s="777" t="s">
        <v>400</v>
      </c>
      <c r="D14" s="761"/>
      <c r="E14" s="764"/>
      <c r="F14" s="764"/>
      <c r="G14" s="764"/>
      <c r="H14" s="780"/>
      <c r="I14" s="780"/>
      <c r="J14" s="780"/>
      <c r="K14" s="780"/>
      <c r="L14" s="780"/>
      <c r="M14" s="780"/>
      <c r="N14" s="780"/>
      <c r="O14" s="780"/>
      <c r="P14" s="780"/>
      <c r="Q14" s="764"/>
      <c r="R14" s="764"/>
      <c r="S14" s="780"/>
      <c r="T14" s="780"/>
      <c r="U14" s="764"/>
      <c r="V14" s="764"/>
      <c r="W14" s="764"/>
      <c r="X14" s="780"/>
      <c r="Y14" s="780"/>
      <c r="Z14" s="780"/>
      <c r="AA14" s="780"/>
      <c r="AB14" s="780"/>
      <c r="AC14" s="781">
        <f>(AC13+AC15)/AC7</f>
        <v>1.0132617331889359E-3</v>
      </c>
      <c r="AD14" s="781">
        <f t="shared" ref="AD14:AL14" si="7">(AD13+AD15)/AD7</f>
        <v>9.7797710436510542E-4</v>
      </c>
      <c r="AE14" s="781">
        <f t="shared" si="7"/>
        <v>9.2555832214725781E-4</v>
      </c>
      <c r="AF14" s="781">
        <f t="shared" si="7"/>
        <v>8.7469445149887266E-4</v>
      </c>
      <c r="AG14" s="781">
        <f t="shared" si="7"/>
        <v>8.2536613412102615E-4</v>
      </c>
      <c r="AH14" s="781">
        <f t="shared" si="7"/>
        <v>8.0784310089174324E-4</v>
      </c>
      <c r="AI14" s="781">
        <f t="shared" si="7"/>
        <v>7.8489186367996242E-4</v>
      </c>
      <c r="AJ14" s="781">
        <f t="shared" si="7"/>
        <v>7.6078089335864646E-4</v>
      </c>
      <c r="AK14" s="781">
        <f t="shared" si="7"/>
        <v>7.3556367496860722E-4</v>
      </c>
      <c r="AL14" s="781">
        <f t="shared" si="7"/>
        <v>7.0931145175239408E-4</v>
      </c>
    </row>
    <row r="15" spans="1:38">
      <c r="A15" s="446"/>
      <c r="B15" s="446"/>
      <c r="C15" s="457" t="s">
        <v>207</v>
      </c>
      <c r="D15" s="446"/>
      <c r="E15" s="474">
        <v>326</v>
      </c>
      <c r="F15" s="475">
        <v>-1100</v>
      </c>
      <c r="G15" s="474">
        <v>660</v>
      </c>
      <c r="H15" s="475">
        <v>2590</v>
      </c>
      <c r="I15" s="475">
        <f>-319.185673674487+1</f>
        <v>-318.18567367448702</v>
      </c>
      <c r="J15" s="475">
        <v>-55</v>
      </c>
      <c r="K15" s="475">
        <v>256</v>
      </c>
      <c r="L15" s="475">
        <v>136</v>
      </c>
      <c r="M15" s="475">
        <v>-692</v>
      </c>
      <c r="N15" s="475">
        <v>-430.70191998608902</v>
      </c>
      <c r="O15" s="475">
        <v>33</v>
      </c>
      <c r="P15" s="475">
        <v>-1418</v>
      </c>
      <c r="Q15" s="475">
        <v>-1491</v>
      </c>
      <c r="R15" s="475">
        <v>-1250</v>
      </c>
      <c r="S15" s="475">
        <v>-954</v>
      </c>
      <c r="T15" s="475">
        <v>-64</v>
      </c>
      <c r="U15" s="475">
        <v>-464</v>
      </c>
      <c r="V15" s="475">
        <v>33</v>
      </c>
      <c r="W15" s="475">
        <v>6875</v>
      </c>
      <c r="X15" s="475">
        <v>6786</v>
      </c>
      <c r="Y15" s="475">
        <v>99</v>
      </c>
      <c r="Z15" s="475">
        <v>7229</v>
      </c>
      <c r="AA15" s="475">
        <v>-566</v>
      </c>
      <c r="AB15" s="475">
        <v>-175</v>
      </c>
      <c r="AC15" s="475">
        <v>95</v>
      </c>
      <c r="AD15" s="475">
        <f t="shared" si="6"/>
        <v>99.75</v>
      </c>
      <c r="AE15" s="475">
        <f t="shared" si="6"/>
        <v>104.73750000000001</v>
      </c>
      <c r="AF15" s="475">
        <f t="shared" si="6"/>
        <v>109.97437500000002</v>
      </c>
      <c r="AG15" s="475">
        <f t="shared" si="6"/>
        <v>115.47309375000003</v>
      </c>
      <c r="AH15" s="475">
        <f t="shared" si="6"/>
        <v>121.24674843750005</v>
      </c>
      <c r="AI15" s="475">
        <f t="shared" si="6"/>
        <v>127.30908585937506</v>
      </c>
      <c r="AJ15" s="475">
        <f t="shared" si="6"/>
        <v>133.67454015234381</v>
      </c>
      <c r="AK15" s="475">
        <f t="shared" si="6"/>
        <v>140.358267159961</v>
      </c>
      <c r="AL15" s="475">
        <f t="shared" si="6"/>
        <v>147.37618051795906</v>
      </c>
    </row>
    <row r="16" spans="1:38" hidden="1">
      <c r="A16" s="446"/>
      <c r="B16" s="446"/>
      <c r="C16" s="457" t="s">
        <v>208</v>
      </c>
      <c r="D16" s="446"/>
      <c r="E16" s="473">
        <v>-287</v>
      </c>
      <c r="F16" s="473">
        <v>-501</v>
      </c>
      <c r="G16" s="473">
        <v>-310</v>
      </c>
      <c r="H16" s="473">
        <v>0</v>
      </c>
      <c r="I16" s="473">
        <v>0</v>
      </c>
      <c r="J16" s="473">
        <v>0</v>
      </c>
      <c r="K16" s="473">
        <v>0</v>
      </c>
      <c r="L16" s="473">
        <v>0</v>
      </c>
      <c r="M16" s="473">
        <v>0</v>
      </c>
      <c r="N16" s="473">
        <v>0</v>
      </c>
      <c r="O16" s="473">
        <v>0</v>
      </c>
      <c r="P16" s="473">
        <v>0</v>
      </c>
      <c r="Q16" s="473">
        <f t="shared" ref="Q16:W16" si="8">+N16*1.05</f>
        <v>0</v>
      </c>
      <c r="R16" s="473">
        <f t="shared" si="8"/>
        <v>0</v>
      </c>
      <c r="S16" s="473">
        <f t="shared" si="8"/>
        <v>0</v>
      </c>
      <c r="T16" s="473">
        <f t="shared" si="8"/>
        <v>0</v>
      </c>
      <c r="U16" s="473">
        <f t="shared" si="8"/>
        <v>0</v>
      </c>
      <c r="V16" s="473">
        <f t="shared" si="8"/>
        <v>0</v>
      </c>
      <c r="W16" s="473">
        <f t="shared" si="8"/>
        <v>0</v>
      </c>
      <c r="X16" s="473">
        <f>+U16*1.05</f>
        <v>0</v>
      </c>
      <c r="Y16" s="473">
        <f t="shared" si="6"/>
        <v>0</v>
      </c>
      <c r="Z16" s="473">
        <f t="shared" si="6"/>
        <v>0</v>
      </c>
      <c r="AA16" s="473">
        <f t="shared" si="6"/>
        <v>0</v>
      </c>
      <c r="AB16" s="473">
        <f>+AA16*1.05</f>
        <v>0</v>
      </c>
      <c r="AC16" s="473">
        <f t="shared" si="6"/>
        <v>0</v>
      </c>
      <c r="AD16" s="473">
        <f t="shared" si="6"/>
        <v>0</v>
      </c>
      <c r="AE16" s="473">
        <f t="shared" si="6"/>
        <v>0</v>
      </c>
      <c r="AF16" s="473">
        <f t="shared" si="6"/>
        <v>0</v>
      </c>
      <c r="AG16" s="473">
        <f t="shared" si="6"/>
        <v>0</v>
      </c>
      <c r="AH16" s="473">
        <f t="shared" si="6"/>
        <v>0</v>
      </c>
      <c r="AI16" s="473">
        <f t="shared" si="6"/>
        <v>0</v>
      </c>
      <c r="AJ16" s="473">
        <f t="shared" si="6"/>
        <v>0</v>
      </c>
      <c r="AK16" s="473">
        <f t="shared" si="6"/>
        <v>0</v>
      </c>
      <c r="AL16" s="473">
        <f t="shared" si="6"/>
        <v>0</v>
      </c>
    </row>
    <row r="17" spans="1:38" hidden="1">
      <c r="A17" s="446"/>
      <c r="B17" s="446"/>
      <c r="C17" s="476" t="s">
        <v>209</v>
      </c>
      <c r="D17" s="477"/>
      <c r="E17" s="475">
        <v>-3100</v>
      </c>
      <c r="F17" s="475">
        <v>6</v>
      </c>
      <c r="G17" s="474">
        <v>5</v>
      </c>
      <c r="H17" s="474">
        <v>5</v>
      </c>
      <c r="I17" s="474">
        <v>3</v>
      </c>
      <c r="J17" s="474">
        <v>2</v>
      </c>
      <c r="K17" s="474">
        <v>4</v>
      </c>
      <c r="L17" s="474">
        <v>4</v>
      </c>
      <c r="M17" s="474">
        <v>0</v>
      </c>
      <c r="N17" s="474">
        <v>0</v>
      </c>
      <c r="O17" s="474">
        <v>0</v>
      </c>
      <c r="P17" s="474">
        <v>0</v>
      </c>
      <c r="Q17" s="474">
        <v>0</v>
      </c>
      <c r="R17" s="474">
        <v>0</v>
      </c>
      <c r="S17" s="474">
        <v>0</v>
      </c>
      <c r="T17" s="474">
        <v>0</v>
      </c>
      <c r="U17" s="474">
        <v>0</v>
      </c>
      <c r="V17" s="474">
        <v>0</v>
      </c>
      <c r="W17" s="474">
        <v>0</v>
      </c>
      <c r="X17" s="474">
        <v>0</v>
      </c>
      <c r="Y17" s="474">
        <v>0</v>
      </c>
      <c r="Z17" s="474">
        <v>0</v>
      </c>
      <c r="AA17" s="474">
        <v>0</v>
      </c>
      <c r="AB17" s="474">
        <v>0</v>
      </c>
      <c r="AC17" s="474">
        <v>0</v>
      </c>
      <c r="AD17" s="474">
        <v>0</v>
      </c>
      <c r="AE17" s="474">
        <v>0</v>
      </c>
      <c r="AF17" s="474">
        <v>0</v>
      </c>
      <c r="AG17" s="474">
        <v>0</v>
      </c>
      <c r="AH17" s="474">
        <v>0</v>
      </c>
      <c r="AI17" s="474">
        <v>0</v>
      </c>
      <c r="AJ17" s="474">
        <v>0</v>
      </c>
      <c r="AK17" s="474">
        <v>0</v>
      </c>
      <c r="AL17" s="474">
        <v>0</v>
      </c>
    </row>
    <row r="18" spans="1:38">
      <c r="C18" s="464" t="s">
        <v>210</v>
      </c>
      <c r="D18" s="446"/>
      <c r="E18" s="478">
        <f t="shared" ref="E18:AL18" si="9">+E9-SUM(E12:E17)</f>
        <v>6831.2547617601031</v>
      </c>
      <c r="F18" s="478">
        <f t="shared" si="9"/>
        <v>9224.4792632724002</v>
      </c>
      <c r="G18" s="478">
        <f t="shared" si="9"/>
        <v>11163.617055144137</v>
      </c>
      <c r="H18" s="478">
        <f t="shared" si="9"/>
        <v>25942.923427753791</v>
      </c>
      <c r="I18" s="478">
        <f t="shared" si="9"/>
        <v>48629.514869385981</v>
      </c>
      <c r="J18" s="478">
        <f t="shared" si="9"/>
        <v>19104.227674268466</v>
      </c>
      <c r="K18" s="478">
        <f t="shared" si="9"/>
        <v>8114.1030842778582</v>
      </c>
      <c r="L18" s="478">
        <f t="shared" si="9"/>
        <v>15675.586882427833</v>
      </c>
      <c r="M18" s="478">
        <f t="shared" si="9"/>
        <v>10258.928847809371</v>
      </c>
      <c r="N18" s="478">
        <f t="shared" si="9"/>
        <v>542.04916899590194</v>
      </c>
      <c r="O18" s="478">
        <f t="shared" si="9"/>
        <v>14101.543070231095</v>
      </c>
      <c r="P18" s="478">
        <f t="shared" si="9"/>
        <v>8158.9317375680384</v>
      </c>
      <c r="Q18" s="478">
        <f t="shared" si="9"/>
        <v>9538.4580315312851</v>
      </c>
      <c r="R18" s="478">
        <f t="shared" si="9"/>
        <v>17362.446827417789</v>
      </c>
      <c r="S18" s="478">
        <f t="shared" si="9"/>
        <v>21136.230538354197</v>
      </c>
      <c r="T18" s="478">
        <f t="shared" si="9"/>
        <v>816</v>
      </c>
      <c r="U18" s="478">
        <f t="shared" si="9"/>
        <v>11952.45</v>
      </c>
      <c r="V18" s="478">
        <f t="shared" si="9"/>
        <v>20024.446409515484</v>
      </c>
      <c r="W18" s="478">
        <f t="shared" si="9"/>
        <v>12597.770355679459</v>
      </c>
      <c r="X18" s="478">
        <f t="shared" si="9"/>
        <v>32232</v>
      </c>
      <c r="Y18" s="478">
        <f t="shared" si="9"/>
        <v>13393</v>
      </c>
      <c r="Z18" s="478">
        <f t="shared" si="9"/>
        <v>1772.3946565007791</v>
      </c>
      <c r="AA18" s="478">
        <f t="shared" si="9"/>
        <v>23561.44569</v>
      </c>
      <c r="AB18" s="478">
        <f t="shared" si="9"/>
        <v>9006.0982543532518</v>
      </c>
      <c r="AC18" s="478">
        <f t="shared" si="9"/>
        <v>9910.4170061423083</v>
      </c>
      <c r="AD18" s="478">
        <f t="shared" si="9"/>
        <v>13037.008357114129</v>
      </c>
      <c r="AE18" s="478">
        <f t="shared" si="9"/>
        <v>16900.86689299253</v>
      </c>
      <c r="AF18" s="478">
        <f t="shared" si="9"/>
        <v>21095.676149060604</v>
      </c>
      <c r="AG18" s="478">
        <f t="shared" si="9"/>
        <v>25663.802612532982</v>
      </c>
      <c r="AH18" s="478">
        <f t="shared" si="9"/>
        <v>29308.129072870768</v>
      </c>
      <c r="AI18" s="478">
        <f t="shared" si="9"/>
        <v>32183.422659564192</v>
      </c>
      <c r="AJ18" s="478">
        <f t="shared" si="9"/>
        <v>35255.067926480777</v>
      </c>
      <c r="AK18" s="478">
        <f t="shared" si="9"/>
        <v>38540.153360901379</v>
      </c>
      <c r="AL18" s="478">
        <f t="shared" si="9"/>
        <v>42073.388198861809</v>
      </c>
    </row>
    <row r="19" spans="1:38" s="481" customFormat="1" ht="11">
      <c r="C19" s="479"/>
      <c r="D19" s="480"/>
      <c r="E19" s="470">
        <f t="shared" ref="E19:AH19" si="10">E18/E$7</f>
        <v>5.8664068303692696E-2</v>
      </c>
      <c r="F19" s="470">
        <f t="shared" si="10"/>
        <v>6.208634873479657E-2</v>
      </c>
      <c r="G19" s="470">
        <f t="shared" si="10"/>
        <v>5.6959886152530392E-2</v>
      </c>
      <c r="H19" s="470">
        <f t="shared" si="10"/>
        <v>0.11052333794096446</v>
      </c>
      <c r="I19" s="470">
        <f t="shared" si="10"/>
        <v>0.17222278643660657</v>
      </c>
      <c r="J19" s="470">
        <f t="shared" si="10"/>
        <v>7.9577347120421013E-2</v>
      </c>
      <c r="K19" s="470">
        <f t="shared" si="10"/>
        <v>4.3268912891672479E-2</v>
      </c>
      <c r="L19" s="470">
        <f t="shared" si="10"/>
        <v>5.8548694065551375E-2</v>
      </c>
      <c r="M19" s="470">
        <f t="shared" si="10"/>
        <v>4.0550726954757053E-2</v>
      </c>
      <c r="N19" s="470">
        <f t="shared" si="10"/>
        <v>8.9663464747360248E-3</v>
      </c>
      <c r="O19" s="470">
        <f t="shared" si="10"/>
        <v>4.8599344309653542E-2</v>
      </c>
      <c r="P19" s="470">
        <f t="shared" si="10"/>
        <v>5.6233601370821333E-2</v>
      </c>
      <c r="Q19" s="470">
        <f t="shared" si="10"/>
        <v>4.129025959206456E-2</v>
      </c>
      <c r="R19" s="470">
        <f t="shared" si="10"/>
        <v>5.5380382881334511E-2</v>
      </c>
      <c r="S19" s="470">
        <f t="shared" si="10"/>
        <v>6.3927807786104685E-2</v>
      </c>
      <c r="T19" s="470">
        <f t="shared" si="10"/>
        <v>5.3282836527473966E-3</v>
      </c>
      <c r="U19" s="470">
        <f t="shared" si="10"/>
        <v>3.6062890444086074E-2</v>
      </c>
      <c r="V19" s="470">
        <f t="shared" si="10"/>
        <v>5.4931590223927053E-2</v>
      </c>
      <c r="W19" s="470">
        <f t="shared" si="10"/>
        <v>3.9183627336835253E-2</v>
      </c>
      <c r="X19" s="470">
        <f t="shared" si="10"/>
        <v>0.10983438969535882</v>
      </c>
      <c r="Y19" s="470">
        <f t="shared" si="10"/>
        <v>4.201053321664612E-2</v>
      </c>
      <c r="Z19" s="470">
        <f t="shared" si="10"/>
        <v>7.0103060847962403E-3</v>
      </c>
      <c r="AA19" s="470">
        <f t="shared" si="10"/>
        <v>7.5123537125840148E-2</v>
      </c>
      <c r="AB19" s="470">
        <f t="shared" si="10"/>
        <v>3.6084367639242158E-2</v>
      </c>
      <c r="AC19" s="470">
        <f t="shared" si="10"/>
        <v>3.292408626973397E-2</v>
      </c>
      <c r="AD19" s="470">
        <f t="shared" si="10"/>
        <v>3.9812320632862309E-2</v>
      </c>
      <c r="AE19" s="470">
        <f t="shared" si="10"/>
        <v>4.651942456953214E-2</v>
      </c>
      <c r="AF19" s="470">
        <f t="shared" si="10"/>
        <v>5.2261525779924378E-2</v>
      </c>
      <c r="AG19" s="470">
        <f t="shared" si="10"/>
        <v>5.7136103022988709E-2</v>
      </c>
      <c r="AH19" s="470">
        <f t="shared" si="10"/>
        <v>6.0823132201165135E-2</v>
      </c>
      <c r="AI19" s="470">
        <f>AI18/AI$7</f>
        <v>6.1802553917851374E-2</v>
      </c>
      <c r="AJ19" s="470">
        <f>AJ18/AJ$7</f>
        <v>6.2496575367974601E-2</v>
      </c>
      <c r="AK19" s="470">
        <f>AK18/AK$7</f>
        <v>6.2909970351159361E-2</v>
      </c>
      <c r="AL19" s="470">
        <f>AL18/AL$7</f>
        <v>6.3072628178419604E-2</v>
      </c>
    </row>
    <row r="20" spans="1:38" ht="8.25" customHeight="1">
      <c r="C20" s="482"/>
      <c r="D20" s="483"/>
      <c r="E20" s="471"/>
      <c r="F20" s="471"/>
      <c r="G20" s="471"/>
      <c r="H20" s="471"/>
      <c r="I20" s="471"/>
      <c r="J20" s="471"/>
      <c r="K20" s="471"/>
      <c r="L20" s="471"/>
      <c r="M20" s="471"/>
      <c r="N20" s="471"/>
      <c r="O20" s="471"/>
      <c r="P20" s="471"/>
      <c r="Q20" s="471"/>
      <c r="R20" s="471"/>
      <c r="S20" s="471"/>
      <c r="T20" s="471"/>
      <c r="U20" s="471"/>
      <c r="V20" s="471"/>
      <c r="W20" s="471"/>
      <c r="X20" s="471"/>
      <c r="Y20" s="471"/>
      <c r="Z20" s="471"/>
      <c r="AA20" s="471"/>
      <c r="AB20" s="471"/>
      <c r="AC20" s="471"/>
      <c r="AD20" s="471"/>
      <c r="AE20" s="471"/>
      <c r="AF20" s="471"/>
      <c r="AG20" s="471"/>
      <c r="AH20" s="471"/>
      <c r="AI20" s="471"/>
      <c r="AJ20" s="471"/>
      <c r="AK20" s="471"/>
      <c r="AL20" s="471"/>
    </row>
    <row r="21" spans="1:38">
      <c r="C21" s="457" t="s">
        <v>211</v>
      </c>
      <c r="D21" s="446"/>
      <c r="E21" s="474">
        <v>2354</v>
      </c>
      <c r="F21" s="474">
        <v>3343</v>
      </c>
      <c r="G21" s="474">
        <v>4008</v>
      </c>
      <c r="H21" s="474">
        <v>8358</v>
      </c>
      <c r="I21" s="474">
        <v>13055.800226508345</v>
      </c>
      <c r="J21" s="474">
        <v>10473</v>
      </c>
      <c r="K21" s="474">
        <v>2332</v>
      </c>
      <c r="L21" s="474">
        <v>6169</v>
      </c>
      <c r="M21" s="474">
        <v>2930</v>
      </c>
      <c r="N21" s="474">
        <v>127.28362560651473</v>
      </c>
      <c r="O21" s="474">
        <v>4648</v>
      </c>
      <c r="P21" s="474">
        <v>2366</v>
      </c>
      <c r="Q21" s="474">
        <v>2766</v>
      </c>
      <c r="R21" s="474">
        <f>+R18*0.3</f>
        <v>5208.7340482253367</v>
      </c>
      <c r="S21" s="474">
        <v>8820</v>
      </c>
      <c r="T21" s="474">
        <v>261</v>
      </c>
      <c r="U21" s="474">
        <v>3627</v>
      </c>
      <c r="V21" s="474">
        <f>+V18*0.3</f>
        <v>6007.3339228546447</v>
      </c>
      <c r="W21" s="474">
        <v>4031</v>
      </c>
      <c r="X21" s="474">
        <f>5796+3837</f>
        <v>9633</v>
      </c>
      <c r="Y21" s="474">
        <v>4059</v>
      </c>
      <c r="Z21" s="484">
        <f>2321-1644</f>
        <v>677</v>
      </c>
      <c r="AA21" s="474">
        <f>1158+4774</f>
        <v>5932</v>
      </c>
      <c r="AB21" s="474">
        <v>2679</v>
      </c>
      <c r="AC21" s="474">
        <f t="shared" ref="AC21:AH21" si="11">+AC18*0.335</f>
        <v>3319.9896970576733</v>
      </c>
      <c r="AD21" s="474">
        <f t="shared" si="11"/>
        <v>4367.3977996332333</v>
      </c>
      <c r="AE21" s="474">
        <f t="shared" si="11"/>
        <v>5661.7904091524979</v>
      </c>
      <c r="AF21" s="474">
        <f t="shared" si="11"/>
        <v>7067.0515099353024</v>
      </c>
      <c r="AG21" s="474">
        <f t="shared" si="11"/>
        <v>8597.3738751985493</v>
      </c>
      <c r="AH21" s="474">
        <f t="shared" si="11"/>
        <v>9818.2232394117073</v>
      </c>
      <c r="AI21" s="474">
        <f>+AI18*0.335</f>
        <v>10781.446590954005</v>
      </c>
      <c r="AJ21" s="474">
        <f>+AJ18*0.335</f>
        <v>11810.44775537106</v>
      </c>
      <c r="AK21" s="474">
        <f>+AK18*0.335</f>
        <v>12910.951375901963</v>
      </c>
      <c r="AL21" s="474">
        <f>+AL18*0.335</f>
        <v>14094.585046618708</v>
      </c>
    </row>
    <row r="22" spans="1:38" s="465" customFormat="1" ht="12">
      <c r="C22" s="464" t="s">
        <v>212</v>
      </c>
      <c r="E22" s="478">
        <f t="shared" ref="E22:AH22" si="12">E18-E21</f>
        <v>4477.2547617601031</v>
      </c>
      <c r="F22" s="478">
        <f t="shared" si="12"/>
        <v>5881.4792632724002</v>
      </c>
      <c r="G22" s="478">
        <f t="shared" si="12"/>
        <v>7155.6170551441373</v>
      </c>
      <c r="H22" s="478">
        <f t="shared" si="12"/>
        <v>17584.923427753791</v>
      </c>
      <c r="I22" s="478">
        <f t="shared" si="12"/>
        <v>35573.714642877632</v>
      </c>
      <c r="J22" s="478">
        <f t="shared" si="12"/>
        <v>8631.2276742684662</v>
      </c>
      <c r="K22" s="478">
        <f t="shared" si="12"/>
        <v>5782.1030842778582</v>
      </c>
      <c r="L22" s="478">
        <f t="shared" si="12"/>
        <v>9506.5868824278332</v>
      </c>
      <c r="M22" s="478">
        <f t="shared" si="12"/>
        <v>7328.9288478093713</v>
      </c>
      <c r="N22" s="478">
        <f t="shared" si="12"/>
        <v>414.76554338938718</v>
      </c>
      <c r="O22" s="478">
        <f t="shared" si="12"/>
        <v>9453.543070231095</v>
      </c>
      <c r="P22" s="478">
        <f t="shared" si="12"/>
        <v>5792.9317375680384</v>
      </c>
      <c r="Q22" s="478">
        <f t="shared" si="12"/>
        <v>6772.4580315312851</v>
      </c>
      <c r="R22" s="478">
        <f t="shared" si="12"/>
        <v>12153.712779192452</v>
      </c>
      <c r="S22" s="478">
        <f t="shared" si="12"/>
        <v>12316.230538354197</v>
      </c>
      <c r="T22" s="478">
        <f t="shared" si="12"/>
        <v>555</v>
      </c>
      <c r="U22" s="478">
        <f t="shared" si="12"/>
        <v>8325.4500000000007</v>
      </c>
      <c r="V22" s="478">
        <f t="shared" si="12"/>
        <v>14017.112486660839</v>
      </c>
      <c r="W22" s="478">
        <f t="shared" si="12"/>
        <v>8566.7703556794586</v>
      </c>
      <c r="X22" s="478">
        <f t="shared" si="12"/>
        <v>22599</v>
      </c>
      <c r="Y22" s="478">
        <f t="shared" si="12"/>
        <v>9334</v>
      </c>
      <c r="Z22" s="478">
        <f t="shared" si="12"/>
        <v>1095.3946565007791</v>
      </c>
      <c r="AA22" s="478">
        <f t="shared" si="12"/>
        <v>17629.44569</v>
      </c>
      <c r="AB22" s="478">
        <f t="shared" si="12"/>
        <v>6327.0982543532518</v>
      </c>
      <c r="AC22" s="478">
        <f t="shared" si="12"/>
        <v>6590.4273090846345</v>
      </c>
      <c r="AD22" s="478">
        <f t="shared" si="12"/>
        <v>8669.6105574808971</v>
      </c>
      <c r="AE22" s="478">
        <f t="shared" si="12"/>
        <v>11239.076483840032</v>
      </c>
      <c r="AF22" s="478">
        <f t="shared" si="12"/>
        <v>14028.624639125301</v>
      </c>
      <c r="AG22" s="478">
        <f t="shared" si="12"/>
        <v>17066.428737334434</v>
      </c>
      <c r="AH22" s="478">
        <f t="shared" si="12"/>
        <v>19489.905833459059</v>
      </c>
      <c r="AI22" s="478">
        <f>AI18-AI21</f>
        <v>21401.976068610187</v>
      </c>
      <c r="AJ22" s="478">
        <f>AJ18-AJ21</f>
        <v>23444.620171109716</v>
      </c>
      <c r="AK22" s="478">
        <f>AK18-AK21</f>
        <v>25629.201984999418</v>
      </c>
      <c r="AL22" s="478">
        <f>AL18-AL21</f>
        <v>27978.803152243101</v>
      </c>
    </row>
    <row r="23" spans="1:38" s="467" customFormat="1" ht="11">
      <c r="C23" s="468"/>
      <c r="E23" s="470">
        <f t="shared" ref="E23:AH23" si="13">E22/E$7</f>
        <v>3.8448863103043469E-2</v>
      </c>
      <c r="F23" s="470">
        <f t="shared" si="13"/>
        <v>3.9585928071831734E-2</v>
      </c>
      <c r="G23" s="470">
        <f t="shared" si="13"/>
        <v>3.6509952894192357E-2</v>
      </c>
      <c r="H23" s="470">
        <f t="shared" si="13"/>
        <v>7.491616895389698E-2</v>
      </c>
      <c r="I23" s="470">
        <f t="shared" si="13"/>
        <v>0.1259853049357483</v>
      </c>
      <c r="J23" s="470">
        <f t="shared" si="13"/>
        <v>3.595278555205695E-2</v>
      </c>
      <c r="K23" s="470">
        <f t="shared" si="13"/>
        <v>3.083339120611573E-2</v>
      </c>
      <c r="L23" s="470">
        <f t="shared" si="13"/>
        <v>3.5507330676773051E-2</v>
      </c>
      <c r="M23" s="470">
        <f t="shared" si="13"/>
        <v>2.8969242012222444E-2</v>
      </c>
      <c r="N23" s="470">
        <f t="shared" si="13"/>
        <v>6.860874954758062E-3</v>
      </c>
      <c r="O23" s="470">
        <f t="shared" si="13"/>
        <v>3.258054755625911E-2</v>
      </c>
      <c r="P23" s="470">
        <f t="shared" si="13"/>
        <v>3.9926478683333134E-2</v>
      </c>
      <c r="Q23" s="470">
        <f t="shared" si="13"/>
        <v>2.9316745880088233E-2</v>
      </c>
      <c r="R23" s="470">
        <f t="shared" si="13"/>
        <v>3.8766268016934162E-2</v>
      </c>
      <c r="S23" s="470">
        <f t="shared" si="13"/>
        <v>3.7251184267531552E-2</v>
      </c>
      <c r="T23" s="470">
        <f t="shared" si="13"/>
        <v>3.6240164549936334E-3</v>
      </c>
      <c r="U23" s="470">
        <f t="shared" si="13"/>
        <v>2.5119518696812487E-2</v>
      </c>
      <c r="V23" s="470">
        <f t="shared" si="13"/>
        <v>3.8452113156748936E-2</v>
      </c>
      <c r="W23" s="470">
        <f t="shared" si="13"/>
        <v>2.6645757750764051E-2</v>
      </c>
      <c r="X23" s="470">
        <f t="shared" si="13"/>
        <v>7.7008791658147613E-2</v>
      </c>
      <c r="Y23" s="470">
        <f t="shared" si="13"/>
        <v>2.9278452702469565E-2</v>
      </c>
      <c r="Z23" s="470">
        <f t="shared" si="13"/>
        <v>4.3325857463830169E-3</v>
      </c>
      <c r="AA23" s="470">
        <f t="shared" si="13"/>
        <v>5.6209892008570447E-2</v>
      </c>
      <c r="AB23" s="470">
        <f t="shared" si="13"/>
        <v>2.5350527281815163E-2</v>
      </c>
      <c r="AC23" s="470">
        <f t="shared" si="13"/>
        <v>2.189451736937309E-2</v>
      </c>
      <c r="AD23" s="470">
        <f t="shared" si="13"/>
        <v>2.6475193220853441E-2</v>
      </c>
      <c r="AE23" s="470">
        <f t="shared" si="13"/>
        <v>3.0935417338738874E-2</v>
      </c>
      <c r="AF23" s="470">
        <f t="shared" si="13"/>
        <v>3.4753914643649714E-2</v>
      </c>
      <c r="AG23" s="470">
        <f t="shared" si="13"/>
        <v>3.7995508510287497E-2</v>
      </c>
      <c r="AH23" s="470">
        <f t="shared" si="13"/>
        <v>4.044738291377481E-2</v>
      </c>
      <c r="AI23" s="470">
        <f>AI22/AI$7</f>
        <v>4.1098698355371159E-2</v>
      </c>
      <c r="AJ23" s="470">
        <f>AJ22/AJ$7</f>
        <v>4.1560222619703109E-2</v>
      </c>
      <c r="AK23" s="470">
        <f>AK22/AK$7</f>
        <v>4.1835130283520983E-2</v>
      </c>
      <c r="AL23" s="470">
        <f>AL22/AL$7</f>
        <v>4.1943297738649035E-2</v>
      </c>
    </row>
    <row r="24" spans="1:38" s="467" customFormat="1" ht="11">
      <c r="C24" s="766" t="s">
        <v>397</v>
      </c>
      <c r="D24" s="769"/>
      <c r="E24" s="770"/>
      <c r="F24" s="770"/>
      <c r="G24" s="770"/>
      <c r="H24" s="770"/>
      <c r="I24" s="770"/>
      <c r="J24" s="770"/>
      <c r="K24" s="770"/>
      <c r="L24" s="770"/>
      <c r="M24" s="770"/>
      <c r="N24" s="770"/>
      <c r="O24" s="770"/>
      <c r="P24" s="770"/>
      <c r="Q24" s="770"/>
      <c r="R24" s="770"/>
      <c r="S24" s="770">
        <f t="shared" ref="S24:AB24" si="14">S21/S18</f>
        <v>0.41729295032030728</v>
      </c>
      <c r="T24" s="770">
        <f t="shared" si="14"/>
        <v>0.31985294117647056</v>
      </c>
      <c r="U24" s="770">
        <f t="shared" si="14"/>
        <v>0.30345243025488494</v>
      </c>
      <c r="V24" s="770">
        <f t="shared" si="14"/>
        <v>0.3</v>
      </c>
      <c r="W24" s="770">
        <f t="shared" si="14"/>
        <v>0.31997725678359445</v>
      </c>
      <c r="X24" s="770">
        <f t="shared" si="14"/>
        <v>0.29886448250186148</v>
      </c>
      <c r="Y24" s="770">
        <f t="shared" si="14"/>
        <v>0.30306876726648246</v>
      </c>
      <c r="Z24" s="770">
        <f t="shared" si="14"/>
        <v>0.38196910463304729</v>
      </c>
      <c r="AA24" s="770">
        <f t="shared" si="14"/>
        <v>0.25176723355806951</v>
      </c>
      <c r="AB24" s="770">
        <f t="shared" si="14"/>
        <v>0.29746510912259472</v>
      </c>
      <c r="AC24" s="770">
        <f>AC21/AC18</f>
        <v>0.33500000000000002</v>
      </c>
      <c r="AD24" s="770">
        <f t="shared" ref="AD24:AL24" si="15">AD21/AD18</f>
        <v>0.33499999999999996</v>
      </c>
      <c r="AE24" s="770">
        <f t="shared" si="15"/>
        <v>0.33500000000000002</v>
      </c>
      <c r="AF24" s="770">
        <f t="shared" si="15"/>
        <v>0.33500000000000002</v>
      </c>
      <c r="AG24" s="770">
        <f t="shared" si="15"/>
        <v>0.33500000000000002</v>
      </c>
      <c r="AH24" s="770">
        <f t="shared" si="15"/>
        <v>0.33500000000000002</v>
      </c>
      <c r="AI24" s="770">
        <f t="shared" si="15"/>
        <v>0.33500000000000002</v>
      </c>
      <c r="AJ24" s="770">
        <f t="shared" si="15"/>
        <v>0.33500000000000002</v>
      </c>
      <c r="AK24" s="770">
        <f t="shared" si="15"/>
        <v>0.33500000000000002</v>
      </c>
      <c r="AL24" s="770">
        <f t="shared" si="15"/>
        <v>0.33500000000000002</v>
      </c>
    </row>
    <row r="25" spans="1:38" ht="6" customHeight="1">
      <c r="C25" s="457"/>
      <c r="D25" s="446"/>
      <c r="E25" s="471"/>
      <c r="F25" s="471"/>
      <c r="G25" s="471"/>
      <c r="H25" s="471"/>
      <c r="I25" s="471"/>
      <c r="J25" s="471"/>
      <c r="K25" s="471"/>
      <c r="L25" s="471"/>
      <c r="M25" s="471"/>
      <c r="N25" s="471"/>
      <c r="O25" s="471"/>
      <c r="P25" s="471"/>
      <c r="Q25" s="471"/>
      <c r="R25" s="471"/>
      <c r="S25" s="471"/>
      <c r="T25" s="471"/>
      <c r="U25" s="471"/>
      <c r="V25" s="471"/>
      <c r="W25" s="471"/>
      <c r="X25" s="471"/>
      <c r="Y25" s="471"/>
      <c r="Z25" s="471"/>
      <c r="AA25" s="471"/>
      <c r="AB25" s="471"/>
      <c r="AC25" s="471"/>
      <c r="AD25" s="471"/>
      <c r="AE25" s="471"/>
      <c r="AF25" s="471"/>
      <c r="AG25" s="471"/>
      <c r="AH25" s="471"/>
      <c r="AI25" s="471"/>
      <c r="AJ25" s="471"/>
      <c r="AK25" s="471"/>
      <c r="AL25" s="471"/>
    </row>
    <row r="26" spans="1:38">
      <c r="C26" s="457" t="s">
        <v>213</v>
      </c>
      <c r="D26" s="446"/>
      <c r="E26" s="474">
        <v>228</v>
      </c>
      <c r="F26" s="474">
        <v>276</v>
      </c>
      <c r="G26" s="475">
        <v>-90</v>
      </c>
      <c r="H26" s="475">
        <v>-121</v>
      </c>
      <c r="I26" s="475">
        <v>843.13355748014942</v>
      </c>
      <c r="J26" s="475">
        <v>390</v>
      </c>
      <c r="K26" s="475">
        <v>378</v>
      </c>
      <c r="L26" s="475">
        <v>449</v>
      </c>
      <c r="M26" s="475">
        <v>474</v>
      </c>
      <c r="N26" s="475">
        <v>131.58594357736166</v>
      </c>
      <c r="O26" s="475">
        <v>905</v>
      </c>
      <c r="P26" s="475">
        <v>172</v>
      </c>
      <c r="Q26" s="474">
        <v>231</v>
      </c>
      <c r="R26" s="474">
        <v>350</v>
      </c>
      <c r="S26" s="475">
        <v>402</v>
      </c>
      <c r="T26" s="474">
        <v>244</v>
      </c>
      <c r="U26" s="474">
        <v>262</v>
      </c>
      <c r="V26" s="474">
        <f>360*$AE$28</f>
        <v>10.302759709348708</v>
      </c>
      <c r="W26" s="474">
        <v>558.45000000000005</v>
      </c>
      <c r="X26" s="474">
        <v>786</v>
      </c>
      <c r="Y26" s="474">
        <v>1146</v>
      </c>
      <c r="Z26" s="474">
        <v>729</v>
      </c>
      <c r="AA26" s="474">
        <v>261</v>
      </c>
      <c r="AB26" s="474">
        <v>1225</v>
      </c>
      <c r="AC26" s="474">
        <f t="shared" ref="AC26:AH26" si="16">(AC242*8.602%)+(AC233*35%)</f>
        <v>636.48665552706302</v>
      </c>
      <c r="AD26" s="474">
        <f t="shared" si="16"/>
        <v>731.5049293047889</v>
      </c>
      <c r="AE26" s="474">
        <f t="shared" si="16"/>
        <v>841.65337095873792</v>
      </c>
      <c r="AF26" s="474">
        <f t="shared" si="16"/>
        <v>969.4931956386356</v>
      </c>
      <c r="AG26" s="474">
        <f t="shared" si="16"/>
        <v>1118.0420833130906</v>
      </c>
      <c r="AH26" s="474">
        <f t="shared" si="16"/>
        <v>1290.8587783480448</v>
      </c>
      <c r="AI26" s="474">
        <f>(AI242*8.602%)+(AI233*35%)</f>
        <v>1492.1438057946698</v>
      </c>
      <c r="AJ26" s="474">
        <f>(AJ242*8.602%)+(AJ233*35%)</f>
        <v>1726.8594313438612</v>
      </c>
      <c r="AK26" s="474">
        <f>(AK242*8.602%)+(AK233*35%)</f>
        <v>2000.8726057297222</v>
      </c>
      <c r="AL26" s="474">
        <f>(AL242*8.602%)+(AL233*35%)</f>
        <v>2321.1253695668056</v>
      </c>
    </row>
    <row r="27" spans="1:38" ht="14" thickBot="1">
      <c r="C27" s="464" t="s">
        <v>156</v>
      </c>
      <c r="D27" s="446"/>
      <c r="E27" s="485">
        <f t="shared" ref="E27:AH27" si="17">E22-E26</f>
        <v>4249.2547617601031</v>
      </c>
      <c r="F27" s="485">
        <f t="shared" si="17"/>
        <v>5605.4792632724002</v>
      </c>
      <c r="G27" s="485">
        <f t="shared" si="17"/>
        <v>7245.6170551441373</v>
      </c>
      <c r="H27" s="485">
        <f t="shared" si="17"/>
        <v>17705.923427753791</v>
      </c>
      <c r="I27" s="485">
        <f t="shared" si="17"/>
        <v>34730.581085397484</v>
      </c>
      <c r="J27" s="485">
        <f t="shared" si="17"/>
        <v>8241.2276742684662</v>
      </c>
      <c r="K27" s="485">
        <f t="shared" si="17"/>
        <v>5404.1030842778582</v>
      </c>
      <c r="L27" s="485">
        <f t="shared" si="17"/>
        <v>9057.5868824278332</v>
      </c>
      <c r="M27" s="485">
        <f t="shared" si="17"/>
        <v>6854.9288478093713</v>
      </c>
      <c r="N27" s="485">
        <f t="shared" si="17"/>
        <v>283.17959981202551</v>
      </c>
      <c r="O27" s="485">
        <f t="shared" si="17"/>
        <v>8548.543070231095</v>
      </c>
      <c r="P27" s="485">
        <f t="shared" si="17"/>
        <v>5620.9317375680384</v>
      </c>
      <c r="Q27" s="485">
        <f t="shared" si="17"/>
        <v>6541.4580315312851</v>
      </c>
      <c r="R27" s="485">
        <f t="shared" si="17"/>
        <v>11803.712779192452</v>
      </c>
      <c r="S27" s="485">
        <f t="shared" si="17"/>
        <v>11914.230538354197</v>
      </c>
      <c r="T27" s="485">
        <f t="shared" si="17"/>
        <v>311</v>
      </c>
      <c r="U27" s="485">
        <f t="shared" si="17"/>
        <v>8063.4500000000007</v>
      </c>
      <c r="V27" s="485">
        <f>(V22-V26)*$AE$28</f>
        <v>400.85776364263717</v>
      </c>
      <c r="W27" s="485">
        <f>(W22-W26)</f>
        <v>8008.3203556794588</v>
      </c>
      <c r="X27" s="485">
        <f>(X22-X26)</f>
        <v>21813</v>
      </c>
      <c r="Y27" s="485">
        <f>(Y22-Y26)</f>
        <v>8188</v>
      </c>
      <c r="Z27" s="485">
        <f t="shared" si="17"/>
        <v>366.39465650077909</v>
      </c>
      <c r="AA27" s="485">
        <f t="shared" si="17"/>
        <v>17368.44569</v>
      </c>
      <c r="AB27" s="485">
        <f t="shared" si="17"/>
        <v>5102.0982543532518</v>
      </c>
      <c r="AC27" s="485">
        <f t="shared" si="17"/>
        <v>5953.9406535575717</v>
      </c>
      <c r="AD27" s="485">
        <f t="shared" si="17"/>
        <v>7938.1056281761084</v>
      </c>
      <c r="AE27" s="485">
        <f t="shared" si="17"/>
        <v>10397.423112881293</v>
      </c>
      <c r="AF27" s="485">
        <f t="shared" si="17"/>
        <v>13059.131443486665</v>
      </c>
      <c r="AG27" s="485">
        <f t="shared" si="17"/>
        <v>15948.386654021344</v>
      </c>
      <c r="AH27" s="485">
        <f t="shared" si="17"/>
        <v>18199.047055111016</v>
      </c>
      <c r="AI27" s="485">
        <f>AI22-AI26</f>
        <v>19909.832262815518</v>
      </c>
      <c r="AJ27" s="485">
        <f>AJ22-AJ26</f>
        <v>21717.760739765854</v>
      </c>
      <c r="AK27" s="485">
        <f>AK22-AK26</f>
        <v>23628.329379269697</v>
      </c>
      <c r="AL27" s="485">
        <f>AL22-AL26</f>
        <v>25657.677782676295</v>
      </c>
    </row>
    <row r="28" spans="1:38" s="467" customFormat="1" ht="12" thickTop="1">
      <c r="C28" s="468" t="s">
        <v>214</v>
      </c>
      <c r="E28" s="470">
        <f t="shared" ref="E28:AH28" si="18">E27/E$7</f>
        <v>3.6490890806633945E-2</v>
      </c>
      <c r="F28" s="470">
        <f t="shared" si="18"/>
        <v>3.772828041913108E-2</v>
      </c>
      <c r="G28" s="470">
        <f t="shared" si="18"/>
        <v>3.6969157982328686E-2</v>
      </c>
      <c r="H28" s="470">
        <f t="shared" si="18"/>
        <v>7.5431659196471185E-2</v>
      </c>
      <c r="I28" s="470">
        <f t="shared" si="18"/>
        <v>0.12299932387059782</v>
      </c>
      <c r="J28" s="470">
        <f t="shared" si="18"/>
        <v>3.4328267361312947E-2</v>
      </c>
      <c r="K28" s="470">
        <f t="shared" si="18"/>
        <v>2.8817684860858245E-2</v>
      </c>
      <c r="L28" s="470">
        <f t="shared" si="18"/>
        <v>3.3830304876552357E-2</v>
      </c>
      <c r="M28" s="470">
        <f t="shared" si="18"/>
        <v>2.7095650250187835E-2</v>
      </c>
      <c r="N28" s="470">
        <f t="shared" si="18"/>
        <v>4.684236323422737E-3</v>
      </c>
      <c r="O28" s="470">
        <f t="shared" si="18"/>
        <v>2.9461569272734588E-2</v>
      </c>
      <c r="P28" s="470">
        <f t="shared" si="18"/>
        <v>3.8741007380607873E-2</v>
      </c>
      <c r="Q28" s="470">
        <f t="shared" si="18"/>
        <v>2.8316788661192163E-2</v>
      </c>
      <c r="R28" s="470">
        <f t="shared" si="18"/>
        <v>3.7649885389466106E-2</v>
      </c>
      <c r="S28" s="470">
        <f t="shared" si="18"/>
        <v>3.6035310950698625E-2</v>
      </c>
      <c r="T28" s="470">
        <f t="shared" si="18"/>
        <v>2.0307551666721079E-3</v>
      </c>
      <c r="U28" s="470">
        <f t="shared" si="18"/>
        <v>2.4329013210794927E-2</v>
      </c>
      <c r="V28" s="470">
        <f t="shared" si="18"/>
        <v>1.099643603632084E-3</v>
      </c>
      <c r="W28" s="470">
        <f t="shared" si="18"/>
        <v>2.4908776041426054E-2</v>
      </c>
      <c r="X28" s="470">
        <f t="shared" si="18"/>
        <v>7.4330402780617463E-2</v>
      </c>
      <c r="Y28" s="470">
        <f t="shared" si="18"/>
        <v>2.5683733739856524E-2</v>
      </c>
      <c r="Z28" s="470">
        <f t="shared" si="18"/>
        <v>1.4491911722275671E-3</v>
      </c>
      <c r="AA28" s="470">
        <f t="shared" si="18"/>
        <v>5.5377717130686531E-2</v>
      </c>
      <c r="AB28" s="470">
        <f t="shared" si="18"/>
        <v>2.0442369596914801E-2</v>
      </c>
      <c r="AC28" s="470">
        <f t="shared" si="18"/>
        <v>1.9780000740746921E-2</v>
      </c>
      <c r="AD28" s="470">
        <f t="shared" si="18"/>
        <v>2.4241328825567576E-2</v>
      </c>
      <c r="AE28" s="470">
        <f t="shared" si="18"/>
        <v>2.8618776970413075E-2</v>
      </c>
      <c r="AF28" s="470">
        <f t="shared" si="18"/>
        <v>3.2352133668282108E-2</v>
      </c>
      <c r="AG28" s="470">
        <f t="shared" si="18"/>
        <v>3.5506377471498353E-2</v>
      </c>
      <c r="AH28" s="470">
        <f t="shared" si="18"/>
        <v>3.7768464927120569E-2</v>
      </c>
      <c r="AI28" s="470">
        <f>AI27/AI$7</f>
        <v>3.8233300880829782E-2</v>
      </c>
      <c r="AJ28" s="470">
        <f>AJ27/AJ$7</f>
        <v>3.8499022997965419E-2</v>
      </c>
      <c r="AK28" s="470">
        <f>AK27/AK$7</f>
        <v>3.8569060345392439E-2</v>
      </c>
      <c r="AL28" s="470">
        <f>AL27/AL$7</f>
        <v>3.8463675971601892E-2</v>
      </c>
    </row>
    <row r="29" spans="1:38">
      <c r="C29" s="457"/>
      <c r="D29" s="446"/>
      <c r="E29" s="448"/>
      <c r="F29" s="448"/>
      <c r="G29" s="448"/>
      <c r="H29" s="448"/>
      <c r="I29" s="446"/>
      <c r="J29" s="446"/>
      <c r="K29" s="448"/>
      <c r="L29" s="448"/>
      <c r="M29" s="448"/>
      <c r="N29" s="448"/>
      <c r="O29" s="448"/>
      <c r="P29" s="448"/>
      <c r="Q29" s="446"/>
      <c r="R29" s="446"/>
      <c r="S29" s="448"/>
      <c r="T29" s="446"/>
      <c r="U29" s="446"/>
      <c r="V29" s="446"/>
      <c r="W29" s="446"/>
      <c r="X29" s="486"/>
      <c r="Y29" s="486"/>
      <c r="Z29" s="486"/>
      <c r="AA29" s="486"/>
      <c r="AB29" s="486"/>
      <c r="AC29" s="486"/>
      <c r="AD29" s="486"/>
      <c r="AE29" s="486"/>
      <c r="AF29" s="486"/>
      <c r="AG29" s="486"/>
      <c r="AH29" s="486"/>
      <c r="AI29" s="486"/>
      <c r="AJ29" s="486"/>
      <c r="AK29" s="486"/>
      <c r="AL29" s="486"/>
    </row>
    <row r="30" spans="1:38">
      <c r="C30" s="457" t="s">
        <v>215</v>
      </c>
      <c r="D30" s="446"/>
      <c r="E30" s="462">
        <v>3991</v>
      </c>
      <c r="F30" s="462">
        <v>4249</v>
      </c>
      <c r="G30" s="462">
        <v>4338</v>
      </c>
      <c r="H30" s="462">
        <v>3799</v>
      </c>
      <c r="I30" s="462">
        <v>5031</v>
      </c>
      <c r="J30" s="462">
        <v>5605</v>
      </c>
      <c r="K30" s="462">
        <v>4825</v>
      </c>
      <c r="L30" s="474">
        <v>6532</v>
      </c>
      <c r="M30" s="474">
        <v>6286</v>
      </c>
      <c r="N30" s="474">
        <v>1507.1595472826807</v>
      </c>
      <c r="O30" s="474">
        <v>6860</v>
      </c>
      <c r="P30" s="474">
        <v>3552</v>
      </c>
      <c r="Q30" s="474">
        <v>5611</v>
      </c>
      <c r="R30" s="474">
        <f>+R290+R291</f>
        <v>7269.1212594871804</v>
      </c>
      <c r="S30" s="474">
        <v>7684</v>
      </c>
      <c r="T30" s="474">
        <v>3602</v>
      </c>
      <c r="U30" s="474">
        <v>8237</v>
      </c>
      <c r="V30" s="474">
        <f>+V290+V291</f>
        <v>8250.3329230769232</v>
      </c>
      <c r="W30" s="474">
        <f>+W290+W291</f>
        <v>7562.9731895011155</v>
      </c>
      <c r="X30" s="474">
        <f>+X290+X291</f>
        <v>9739.5173132739565</v>
      </c>
      <c r="Y30" s="474">
        <v>8254</v>
      </c>
      <c r="Z30" s="474">
        <f>+BS!Z84</f>
        <v>8320</v>
      </c>
      <c r="AA30" s="474">
        <f>+BS!AA84</f>
        <v>8333</v>
      </c>
      <c r="AB30" s="474">
        <f>+BS!AB84</f>
        <v>8258</v>
      </c>
      <c r="AC30" s="474">
        <f>+BS!AC84</f>
        <v>8868</v>
      </c>
      <c r="AD30" s="474">
        <f>+BS!AD84</f>
        <v>9478</v>
      </c>
      <c r="AE30" s="474">
        <f>+BS!AE84</f>
        <v>10088</v>
      </c>
      <c r="AF30" s="474">
        <f>+BS!AF84</f>
        <v>10698</v>
      </c>
      <c r="AG30" s="474">
        <f>+BS!AG84</f>
        <v>11308</v>
      </c>
      <c r="AH30" s="474">
        <f>+BS!AH84</f>
        <v>11816.333333333334</v>
      </c>
      <c r="AI30" s="474">
        <f>+BS!AI84</f>
        <v>12400.948717948719</v>
      </c>
      <c r="AJ30" s="474">
        <f>+BS!AJ84</f>
        <v>12985.564102564103</v>
      </c>
      <c r="AK30" s="474">
        <f>+BS!AK84</f>
        <v>13570.179487179488</v>
      </c>
      <c r="AL30" s="474">
        <f>+BS!AL84</f>
        <v>14154.794871794873</v>
      </c>
    </row>
    <row r="31" spans="1:38" ht="14" thickBot="1">
      <c r="C31" s="777" t="s">
        <v>163</v>
      </c>
      <c r="D31" s="761"/>
      <c r="E31" s="764"/>
      <c r="F31" s="764"/>
      <c r="G31" s="764"/>
      <c r="H31" s="764"/>
      <c r="I31" s="764"/>
      <c r="J31" s="764"/>
      <c r="K31" s="764"/>
      <c r="L31" s="764"/>
      <c r="M31" s="764"/>
      <c r="N31" s="764"/>
      <c r="O31" s="764"/>
      <c r="P31" s="764"/>
      <c r="Q31" s="764"/>
      <c r="R31" s="764"/>
      <c r="S31" s="764"/>
      <c r="T31" s="764"/>
      <c r="U31" s="764"/>
      <c r="V31" s="764"/>
      <c r="W31" s="764"/>
      <c r="X31" s="778">
        <f t="shared" ref="X31:AL31" si="19">X30/X7</f>
        <v>3.3188568504307084E-2</v>
      </c>
      <c r="Y31" s="778">
        <f t="shared" si="19"/>
        <v>2.589075943927403E-2</v>
      </c>
      <c r="Z31" s="778">
        <f t="shared" si="19"/>
        <v>3.2907877718756307E-2</v>
      </c>
      <c r="AA31" s="778">
        <f t="shared" si="19"/>
        <v>2.656901631190297E-2</v>
      </c>
      <c r="AB31" s="778">
        <f t="shared" si="19"/>
        <v>3.3086992785230356E-2</v>
      </c>
      <c r="AC31" s="778">
        <f t="shared" si="19"/>
        <v>2.9461000163670439E-2</v>
      </c>
      <c r="AD31" s="778">
        <f t="shared" si="19"/>
        <v>2.8943846979461257E-2</v>
      </c>
      <c r="AE31" s="778">
        <f t="shared" si="19"/>
        <v>2.7767093725353065E-2</v>
      </c>
      <c r="AF31" s="778">
        <f t="shared" si="19"/>
        <v>2.6502767621341572E-2</v>
      </c>
      <c r="AG31" s="778">
        <f t="shared" si="19"/>
        <v>2.5175343760960592E-2</v>
      </c>
      <c r="AH31" s="778">
        <f t="shared" si="19"/>
        <v>2.4522425252031601E-2</v>
      </c>
      <c r="AI31" s="778">
        <f t="shared" si="19"/>
        <v>2.3813822099675766E-2</v>
      </c>
      <c r="AJ31" s="778">
        <f t="shared" si="19"/>
        <v>2.3019478712221944E-2</v>
      </c>
      <c r="AK31" s="778">
        <f t="shared" si="19"/>
        <v>2.2150913132183921E-2</v>
      </c>
      <c r="AL31" s="778">
        <f t="shared" si="19"/>
        <v>2.1219591578190762E-2</v>
      </c>
    </row>
    <row r="32" spans="1:38" ht="14" thickBot="1">
      <c r="C32" s="464" t="s">
        <v>1</v>
      </c>
      <c r="D32" s="465"/>
      <c r="E32" s="487">
        <f>+E9+E30</f>
        <v>11683.81857059036</v>
      </c>
      <c r="F32" s="487">
        <f>+F9+F30</f>
        <v>16202.4792632724</v>
      </c>
      <c r="G32" s="487">
        <f t="shared" ref="G32:U32" si="20">G9+G30</f>
        <v>19129.955096100457</v>
      </c>
      <c r="H32" s="487">
        <f t="shared" si="20"/>
        <v>33873.775756404531</v>
      </c>
      <c r="I32" s="488">
        <f t="shared" si="20"/>
        <v>53284.233599771811</v>
      </c>
      <c r="J32" s="488">
        <f t="shared" si="20"/>
        <v>25343.595674268465</v>
      </c>
      <c r="K32" s="489">
        <f t="shared" si="20"/>
        <v>14923.619084277858</v>
      </c>
      <c r="L32" s="490">
        <f t="shared" si="20"/>
        <v>25176.586882427833</v>
      </c>
      <c r="M32" s="490">
        <f t="shared" si="20"/>
        <v>19906.404847809372</v>
      </c>
      <c r="N32" s="490">
        <f t="shared" si="20"/>
        <v>2852.75508465331</v>
      </c>
      <c r="O32" s="490">
        <f t="shared" si="20"/>
        <v>25001.543070231095</v>
      </c>
      <c r="P32" s="490">
        <f t="shared" si="20"/>
        <v>12725.931737568038</v>
      </c>
      <c r="Q32" s="490">
        <f t="shared" si="20"/>
        <v>17704.458031531285</v>
      </c>
      <c r="R32" s="490">
        <f t="shared" si="20"/>
        <v>30149.548086904968</v>
      </c>
      <c r="S32" s="490">
        <f t="shared" si="20"/>
        <v>33066.462327623936</v>
      </c>
      <c r="T32" s="490">
        <f t="shared" si="20"/>
        <v>6919</v>
      </c>
      <c r="U32" s="490">
        <f t="shared" si="20"/>
        <v>25744.45</v>
      </c>
      <c r="V32" s="490">
        <f>V9*$AE$28+V30</f>
        <v>9057.5763661951551</v>
      </c>
      <c r="W32" s="490">
        <f t="shared" ref="W32:AL32" si="21">W9+W30</f>
        <v>35126.013545180576</v>
      </c>
      <c r="X32" s="490">
        <f t="shared" si="21"/>
        <v>32007.517313273958</v>
      </c>
      <c r="Y32" s="490">
        <f t="shared" si="21"/>
        <v>29992</v>
      </c>
      <c r="Z32" s="490">
        <f t="shared" si="21"/>
        <v>26515.080656500781</v>
      </c>
      <c r="AA32" s="490">
        <f t="shared" si="21"/>
        <v>38897</v>
      </c>
      <c r="AB32" s="490">
        <f t="shared" si="21"/>
        <v>26243.668254353252</v>
      </c>
      <c r="AC32" s="490">
        <f t="shared" si="21"/>
        <v>26823.258019404042</v>
      </c>
      <c r="AD32" s="490">
        <f t="shared" si="21"/>
        <v>29758.359335091234</v>
      </c>
      <c r="AE32" s="490">
        <f t="shared" si="21"/>
        <v>32972.485318550855</v>
      </c>
      <c r="AF32" s="490">
        <f t="shared" si="21"/>
        <v>36518.231398755059</v>
      </c>
      <c r="AG32" s="490">
        <f t="shared" si="21"/>
        <v>40437.997531649118</v>
      </c>
      <c r="AH32" s="490">
        <f t="shared" si="21"/>
        <v>44067.275012484701</v>
      </c>
      <c r="AI32" s="490">
        <f t="shared" si="21"/>
        <v>47004.576550764148</v>
      </c>
      <c r="AJ32" s="490">
        <f t="shared" si="21"/>
        <v>50139.043397603113</v>
      </c>
      <c r="AK32" s="490">
        <f t="shared" si="21"/>
        <v>53487.804721810753</v>
      </c>
      <c r="AL32" s="490">
        <f t="shared" si="21"/>
        <v>57069.212475042659</v>
      </c>
    </row>
    <row r="33" spans="2:38" ht="4.5" customHeight="1">
      <c r="C33" s="457"/>
      <c r="D33" s="446"/>
      <c r="E33" s="446"/>
      <c r="F33" s="446"/>
      <c r="G33" s="446"/>
      <c r="H33" s="446"/>
      <c r="I33" s="446"/>
      <c r="J33" s="446"/>
      <c r="K33" s="448"/>
      <c r="L33" s="448"/>
      <c r="M33" s="448"/>
      <c r="N33" s="448"/>
      <c r="O33" s="448"/>
      <c r="P33" s="448"/>
      <c r="Q33" s="446"/>
      <c r="R33" s="446"/>
      <c r="S33" s="448"/>
      <c r="T33" s="446"/>
      <c r="U33" s="446"/>
      <c r="V33" s="446"/>
      <c r="W33" s="446"/>
      <c r="X33" s="446"/>
      <c r="Y33" s="446"/>
      <c r="Z33" s="446"/>
      <c r="AA33" s="446"/>
      <c r="AB33" s="446"/>
      <c r="AC33" s="446"/>
      <c r="AD33" s="446"/>
      <c r="AE33" s="446"/>
      <c r="AF33" s="446"/>
      <c r="AG33" s="446"/>
      <c r="AH33" s="446"/>
      <c r="AI33" s="446"/>
      <c r="AJ33" s="446"/>
      <c r="AK33" s="446"/>
      <c r="AL33" s="446"/>
    </row>
    <row r="34" spans="2:38">
      <c r="C34" s="766" t="s">
        <v>396</v>
      </c>
      <c r="D34" s="761"/>
      <c r="E34" s="767">
        <f t="shared" ref="E34:AH34" si="22">E32/E$7</f>
        <v>0.10033593455039941</v>
      </c>
      <c r="F34" s="767">
        <f t="shared" si="22"/>
        <v>0.10905252743242402</v>
      </c>
      <c r="G34" s="767">
        <f t="shared" si="22"/>
        <v>9.7606363510543387E-2</v>
      </c>
      <c r="H34" s="768">
        <f t="shared" si="22"/>
        <v>0.1443107510873804</v>
      </c>
      <c r="I34" s="768">
        <f t="shared" si="22"/>
        <v>0.18870760295140956</v>
      </c>
      <c r="J34" s="768">
        <f t="shared" si="22"/>
        <v>0.10556700561976987</v>
      </c>
      <c r="K34" s="768">
        <f t="shared" si="22"/>
        <v>7.9581041487789828E-2</v>
      </c>
      <c r="L34" s="768">
        <f t="shared" si="22"/>
        <v>9.4035157602069916E-2</v>
      </c>
      <c r="M34" s="768">
        <f t="shared" si="22"/>
        <v>7.8684548807133853E-2</v>
      </c>
      <c r="N34" s="768">
        <f t="shared" si="22"/>
        <v>4.7189059516406826E-2</v>
      </c>
      <c r="O34" s="768">
        <f t="shared" si="22"/>
        <v>8.6164939105694713E-2</v>
      </c>
      <c r="P34" s="768">
        <f t="shared" si="22"/>
        <v>8.7710621368183389E-2</v>
      </c>
      <c r="Q34" s="768">
        <f t="shared" si="22"/>
        <v>7.6639396602910081E-2</v>
      </c>
      <c r="R34" s="768">
        <f t="shared" si="22"/>
        <v>9.6166947743524175E-2</v>
      </c>
      <c r="S34" s="768">
        <f t="shared" si="22"/>
        <v>0.10001151548810719</v>
      </c>
      <c r="T34" s="768">
        <f t="shared" si="22"/>
        <v>4.5179405138920631E-2</v>
      </c>
      <c r="U34" s="768">
        <f t="shared" si="22"/>
        <v>7.7676064730933955E-2</v>
      </c>
      <c r="V34" s="768">
        <f t="shared" si="22"/>
        <v>2.4846982692781332E-2</v>
      </c>
      <c r="W34" s="768">
        <f t="shared" si="22"/>
        <v>0.10925462091492055</v>
      </c>
      <c r="X34" s="768">
        <f t="shared" si="22"/>
        <v>0.10906943812878743</v>
      </c>
      <c r="Y34" s="768">
        <f t="shared" si="22"/>
        <v>9.4077496620148623E-2</v>
      </c>
      <c r="Z34" s="768">
        <f t="shared" si="22"/>
        <v>0.10487440287825581</v>
      </c>
      <c r="AA34" s="767">
        <f t="shared" si="22"/>
        <v>0.12401956408065401</v>
      </c>
      <c r="AB34" s="767">
        <f t="shared" si="22"/>
        <v>0.10514943838577924</v>
      </c>
      <c r="AC34" s="767">
        <f t="shared" si="22"/>
        <v>8.9111412821361854E-2</v>
      </c>
      <c r="AD34" s="767">
        <f t="shared" si="22"/>
        <v>9.0875859775765261E-2</v>
      </c>
      <c r="AE34" s="767">
        <f t="shared" si="22"/>
        <v>9.0756353112413715E-2</v>
      </c>
      <c r="AF34" s="767">
        <f t="shared" si="22"/>
        <v>9.0468704496502586E-2</v>
      </c>
      <c r="AG34" s="767">
        <f t="shared" si="22"/>
        <v>9.0028341781406299E-2</v>
      </c>
      <c r="AH34" s="767">
        <f t="shared" si="22"/>
        <v>9.1452773637144283E-2</v>
      </c>
      <c r="AI34" s="767">
        <f>AI32/AI$7</f>
        <v>9.0263950711316654E-2</v>
      </c>
      <c r="AJ34" s="767">
        <f>AJ32/AJ$7</f>
        <v>8.8881363414500883E-2</v>
      </c>
      <c r="AK34" s="767">
        <f>AK32/AK$7</f>
        <v>8.730936220433913E-2</v>
      </c>
      <c r="AL34" s="767">
        <f>AL32/AL$7</f>
        <v>8.5553015171023636E-2</v>
      </c>
    </row>
    <row r="35" spans="2:38">
      <c r="C35" s="476"/>
      <c r="D35" s="448"/>
      <c r="E35" s="491"/>
      <c r="F35" s="491"/>
      <c r="G35" s="491"/>
      <c r="H35" s="491"/>
      <c r="I35" s="491"/>
      <c r="J35" s="492"/>
      <c r="K35" s="493"/>
      <c r="L35" s="493"/>
      <c r="M35" s="493"/>
      <c r="N35" s="493"/>
      <c r="O35" s="493"/>
      <c r="P35" s="493"/>
      <c r="Q35" s="494"/>
      <c r="R35" s="494"/>
      <c r="S35" s="493"/>
      <c r="T35" s="494"/>
      <c r="U35" s="494"/>
      <c r="V35" s="494"/>
      <c r="W35" s="494"/>
      <c r="X35" s="494"/>
      <c r="Y35" s="494"/>
      <c r="Z35" s="494"/>
      <c r="AA35" s="494"/>
      <c r="AB35" s="494"/>
      <c r="AC35" s="494"/>
      <c r="AD35" s="494"/>
      <c r="AE35" s="494"/>
      <c r="AF35" s="494"/>
      <c r="AG35" s="494"/>
      <c r="AH35" s="494"/>
      <c r="AI35" s="494"/>
      <c r="AJ35" s="494"/>
      <c r="AK35" s="494"/>
      <c r="AL35" s="494"/>
    </row>
    <row r="36" spans="2:38">
      <c r="B36" s="446"/>
      <c r="C36" s="476"/>
      <c r="D36" s="448"/>
      <c r="E36" s="491"/>
      <c r="F36" s="491"/>
      <c r="G36" s="491"/>
      <c r="H36" s="491"/>
      <c r="I36" s="491"/>
      <c r="J36" s="492"/>
      <c r="K36" s="493"/>
      <c r="L36" s="493"/>
      <c r="M36" s="493"/>
      <c r="N36" s="493"/>
      <c r="O36" s="493"/>
      <c r="P36" s="493"/>
      <c r="Q36" s="494"/>
      <c r="R36" s="494"/>
      <c r="S36" s="493"/>
      <c r="T36" s="494"/>
      <c r="U36" s="494"/>
      <c r="V36" s="494"/>
      <c r="W36" s="494"/>
      <c r="X36" s="494"/>
      <c r="Y36" s="494"/>
      <c r="Z36" s="494"/>
      <c r="AA36" s="494"/>
      <c r="AB36" s="494"/>
      <c r="AC36" s="494"/>
      <c r="AD36" s="494"/>
      <c r="AE36" s="494"/>
      <c r="AF36" s="494"/>
      <c r="AG36" s="494"/>
      <c r="AH36" s="494"/>
      <c r="AI36" s="494"/>
      <c r="AJ36" s="494"/>
      <c r="AK36" s="494"/>
      <c r="AL36" s="494"/>
    </row>
    <row r="37" spans="2:38">
      <c r="B37" s="446"/>
      <c r="C37" s="495" t="s">
        <v>216</v>
      </c>
      <c r="D37" s="496"/>
      <c r="E37" s="494"/>
      <c r="F37" s="494"/>
      <c r="G37" s="494"/>
      <c r="H37" s="494"/>
      <c r="I37" s="494"/>
      <c r="J37" s="492"/>
      <c r="K37" s="492"/>
      <c r="L37" s="497"/>
      <c r="M37" s="498"/>
      <c r="N37" s="498"/>
      <c r="O37" s="497"/>
      <c r="P37" s="498"/>
      <c r="Q37" s="499"/>
      <c r="R37" s="499"/>
      <c r="S37" s="497"/>
      <c r="T37" s="499"/>
      <c r="U37" s="499"/>
      <c r="V37" s="499"/>
      <c r="W37" s="497"/>
      <c r="X37" s="497"/>
      <c r="Y37" s="497"/>
      <c r="Z37" s="497">
        <v>1</v>
      </c>
      <c r="AA37" s="497">
        <v>1</v>
      </c>
      <c r="AB37" s="497">
        <v>1</v>
      </c>
      <c r="AC37" s="497">
        <v>1</v>
      </c>
      <c r="AD37" s="497">
        <v>1</v>
      </c>
      <c r="AE37" s="497">
        <v>1</v>
      </c>
      <c r="AF37" s="497">
        <v>1</v>
      </c>
      <c r="AG37" s="497">
        <v>1</v>
      </c>
      <c r="AH37" s="497">
        <v>1</v>
      </c>
      <c r="AI37" s="497">
        <v>1</v>
      </c>
      <c r="AJ37" s="497">
        <v>1</v>
      </c>
      <c r="AK37" s="497">
        <v>1</v>
      </c>
      <c r="AL37" s="497">
        <v>1</v>
      </c>
    </row>
    <row r="38" spans="2:38">
      <c r="B38" s="446"/>
      <c r="C38" s="476"/>
      <c r="D38" s="448"/>
      <c r="E38" s="491"/>
      <c r="F38" s="491"/>
      <c r="G38" s="491"/>
      <c r="H38" s="491"/>
      <c r="I38" s="491"/>
      <c r="J38" s="492"/>
      <c r="K38" s="493"/>
      <c r="L38" s="493"/>
      <c r="M38" s="493"/>
      <c r="N38" s="493"/>
      <c r="O38" s="493"/>
      <c r="P38" s="493"/>
      <c r="Q38" s="494"/>
      <c r="R38" s="494"/>
      <c r="S38" s="493"/>
      <c r="T38" s="494"/>
      <c r="U38" s="494"/>
      <c r="V38" s="494"/>
      <c r="W38" s="494"/>
      <c r="X38" s="494"/>
      <c r="Y38" s="494"/>
      <c r="Z38" s="494"/>
      <c r="AA38" s="494"/>
      <c r="AB38" s="494"/>
      <c r="AC38" s="494"/>
      <c r="AD38" s="494"/>
      <c r="AE38" s="494"/>
      <c r="AF38" s="494"/>
      <c r="AG38" s="494"/>
      <c r="AH38" s="494"/>
      <c r="AI38" s="494"/>
      <c r="AJ38" s="494"/>
      <c r="AK38" s="494"/>
      <c r="AL38" s="494"/>
    </row>
    <row r="39" spans="2:38">
      <c r="B39" s="446"/>
      <c r="C39" s="476"/>
      <c r="D39" s="448"/>
      <c r="E39" s="491"/>
      <c r="F39" s="491"/>
      <c r="G39" s="491"/>
      <c r="H39" s="491"/>
      <c r="I39" s="491"/>
      <c r="J39" s="492"/>
      <c r="K39" s="493"/>
      <c r="L39" s="493"/>
      <c r="M39" s="493"/>
      <c r="N39" s="493"/>
      <c r="O39" s="493"/>
      <c r="P39" s="493"/>
      <c r="Q39" s="494"/>
      <c r="R39" s="494"/>
      <c r="S39" s="493"/>
      <c r="T39" s="494"/>
      <c r="U39" s="494"/>
      <c r="V39" s="494"/>
      <c r="W39" s="494"/>
      <c r="X39" s="494"/>
      <c r="Y39" s="494"/>
      <c r="Z39" s="494"/>
      <c r="AA39" s="494"/>
      <c r="AB39" s="494"/>
      <c r="AC39" s="494"/>
      <c r="AD39" s="494"/>
      <c r="AE39" s="494"/>
      <c r="AF39" s="494"/>
      <c r="AG39" s="494"/>
      <c r="AH39" s="494"/>
      <c r="AI39" s="494"/>
      <c r="AJ39" s="494"/>
      <c r="AK39" s="494"/>
      <c r="AL39" s="494"/>
    </row>
    <row r="40" spans="2:38">
      <c r="B40" s="446"/>
      <c r="C40" s="464" t="s">
        <v>217</v>
      </c>
      <c r="D40" s="448"/>
      <c r="E40" s="500">
        <f t="shared" ref="E40:J40" si="23">+E32-E60</f>
        <v>11683.81857059036</v>
      </c>
      <c r="F40" s="500">
        <f t="shared" si="23"/>
        <v>16202.4792632724</v>
      </c>
      <c r="G40" s="500">
        <f t="shared" si="23"/>
        <v>19129.955096100457</v>
      </c>
      <c r="H40" s="500">
        <f t="shared" si="23"/>
        <v>33873.775756404531</v>
      </c>
      <c r="I40" s="500">
        <f t="shared" si="23"/>
        <v>53295.317768328357</v>
      </c>
      <c r="J40" s="500">
        <f t="shared" si="23"/>
        <v>27564.50479550178</v>
      </c>
      <c r="K40" s="501"/>
      <c r="L40" s="502">
        <f>+L32-L60</f>
        <v>31663.342403289524</v>
      </c>
      <c r="M40" s="502"/>
      <c r="N40" s="502"/>
      <c r="O40" s="502">
        <f t="shared" ref="O40:AH40" si="24">+O32-O60</f>
        <v>29145.070109172317</v>
      </c>
      <c r="P40" s="502">
        <f t="shared" si="24"/>
        <v>12725.931737568038</v>
      </c>
      <c r="Q40" s="502">
        <f t="shared" si="24"/>
        <v>17704.458031531285</v>
      </c>
      <c r="R40" s="502">
        <f t="shared" si="24"/>
        <v>30149.548086904968</v>
      </c>
      <c r="S40" s="502">
        <f t="shared" si="24"/>
        <v>37340.981466265846</v>
      </c>
      <c r="T40" s="502">
        <f t="shared" si="24"/>
        <v>6919</v>
      </c>
      <c r="U40" s="502">
        <f t="shared" si="24"/>
        <v>25744.45</v>
      </c>
      <c r="V40" s="502">
        <f t="shared" si="24"/>
        <v>13282.576366195155</v>
      </c>
      <c r="W40" s="502">
        <f t="shared" si="24"/>
        <v>35126.013545180576</v>
      </c>
      <c r="X40" s="502">
        <f t="shared" si="24"/>
        <v>32007.517313273958</v>
      </c>
      <c r="Y40" s="502">
        <f t="shared" si="24"/>
        <v>29992</v>
      </c>
      <c r="Z40" s="502">
        <f t="shared" si="24"/>
        <v>26515.080656500781</v>
      </c>
      <c r="AA40" s="502">
        <f t="shared" si="24"/>
        <v>38897</v>
      </c>
      <c r="AB40" s="502">
        <f t="shared" si="24"/>
        <v>26243.668254353252</v>
      </c>
      <c r="AC40" s="502">
        <f t="shared" si="24"/>
        <v>26823.258019404042</v>
      </c>
      <c r="AD40" s="502">
        <f t="shared" si="24"/>
        <v>29758.359335091234</v>
      </c>
      <c r="AE40" s="502">
        <f t="shared" si="24"/>
        <v>32972.485318550855</v>
      </c>
      <c r="AF40" s="502">
        <f t="shared" si="24"/>
        <v>36518.231398755059</v>
      </c>
      <c r="AG40" s="502">
        <f t="shared" si="24"/>
        <v>40437.997531649118</v>
      </c>
      <c r="AH40" s="502">
        <f t="shared" si="24"/>
        <v>44067.275012484701</v>
      </c>
      <c r="AI40" s="502">
        <f>+AI32-AI60</f>
        <v>47004.576550764148</v>
      </c>
      <c r="AJ40" s="502">
        <f>+AJ32-AJ60</f>
        <v>50139.043397603113</v>
      </c>
      <c r="AK40" s="502">
        <f>+AK32-AK60</f>
        <v>53487.804721810753</v>
      </c>
      <c r="AL40" s="502">
        <f>+AL32-AL60</f>
        <v>57069.212475042659</v>
      </c>
    </row>
    <row r="41" spans="2:38">
      <c r="B41" s="446"/>
      <c r="C41" s="476"/>
      <c r="D41" s="448"/>
      <c r="E41" s="491"/>
      <c r="F41" s="491"/>
      <c r="G41" s="491"/>
      <c r="H41" s="491"/>
      <c r="I41" s="491"/>
      <c r="J41" s="492"/>
      <c r="K41" s="493"/>
      <c r="L41" s="493"/>
      <c r="M41" s="493"/>
      <c r="N41" s="493"/>
      <c r="O41" s="493"/>
      <c r="P41" s="493"/>
      <c r="Q41" s="494"/>
      <c r="R41" s="494"/>
      <c r="S41" s="493"/>
      <c r="T41" s="494"/>
      <c r="U41" s="494"/>
      <c r="V41" s="494"/>
      <c r="W41" s="494"/>
      <c r="X41" s="494"/>
      <c r="Y41" s="494"/>
      <c r="Z41" s="494"/>
      <c r="AA41" s="494"/>
      <c r="AB41" s="494"/>
      <c r="AC41" s="494"/>
      <c r="AD41" s="494"/>
      <c r="AE41" s="494"/>
      <c r="AF41" s="494"/>
      <c r="AG41" s="494"/>
      <c r="AH41" s="494"/>
      <c r="AI41" s="494"/>
      <c r="AJ41" s="494"/>
      <c r="AK41" s="494"/>
      <c r="AL41" s="494"/>
    </row>
    <row r="42" spans="2:38">
      <c r="B42" s="446"/>
      <c r="C42" s="476"/>
      <c r="D42" s="448"/>
      <c r="E42" s="491"/>
      <c r="F42" s="491"/>
      <c r="G42" s="491"/>
      <c r="H42" s="491"/>
      <c r="I42" s="491"/>
      <c r="J42" s="492"/>
      <c r="K42" s="493"/>
      <c r="L42" s="493"/>
      <c r="M42" s="493"/>
      <c r="N42" s="493"/>
      <c r="O42" s="493"/>
      <c r="P42" s="493"/>
      <c r="Q42" s="494"/>
      <c r="R42" s="494"/>
      <c r="S42" s="493"/>
      <c r="T42" s="494"/>
      <c r="U42" s="494"/>
      <c r="V42" s="494"/>
      <c r="W42" s="494"/>
      <c r="X42" s="494"/>
      <c r="Y42" s="494"/>
      <c r="Z42" s="494"/>
      <c r="AA42" s="494"/>
      <c r="AB42" s="494"/>
      <c r="AC42" s="494"/>
      <c r="AD42" s="494"/>
      <c r="AE42" s="494"/>
      <c r="AF42" s="494"/>
      <c r="AG42" s="494"/>
      <c r="AH42" s="494"/>
      <c r="AI42" s="494"/>
      <c r="AJ42" s="494"/>
      <c r="AK42" s="494"/>
      <c r="AL42" s="494"/>
    </row>
    <row r="43" spans="2:38">
      <c r="B43" s="446"/>
      <c r="C43" s="476"/>
      <c r="D43" s="448"/>
      <c r="E43" s="491"/>
      <c r="F43" s="491"/>
      <c r="G43" s="491"/>
      <c r="H43" s="491"/>
      <c r="I43" s="491"/>
      <c r="J43" s="492"/>
      <c r="K43" s="493"/>
      <c r="L43" s="493"/>
      <c r="M43" s="493"/>
      <c r="N43" s="493"/>
      <c r="O43" s="493"/>
      <c r="P43" s="493"/>
      <c r="Q43" s="494"/>
      <c r="R43" s="494"/>
      <c r="S43" s="493"/>
      <c r="T43" s="494"/>
      <c r="U43" s="494"/>
      <c r="V43" s="494"/>
      <c r="W43" s="494"/>
      <c r="X43" s="494"/>
      <c r="Y43" s="494"/>
      <c r="Z43" s="494"/>
      <c r="AA43" s="494"/>
      <c r="AB43" s="494"/>
      <c r="AC43" s="494"/>
      <c r="AD43" s="494"/>
      <c r="AE43" s="494"/>
      <c r="AF43" s="494"/>
      <c r="AG43" s="494"/>
      <c r="AH43" s="494"/>
      <c r="AI43" s="494"/>
      <c r="AJ43" s="494"/>
      <c r="AK43" s="494"/>
      <c r="AL43" s="494"/>
    </row>
    <row r="44" spans="2:38">
      <c r="B44" s="446"/>
      <c r="C44" s="476"/>
      <c r="D44" s="448"/>
      <c r="E44" s="491"/>
      <c r="F44" s="491"/>
      <c r="G44" s="491"/>
      <c r="H44" s="491"/>
      <c r="I44" s="491"/>
      <c r="J44" s="492"/>
      <c r="K44" s="493"/>
      <c r="L44" s="493"/>
      <c r="M44" s="493"/>
      <c r="N44" s="493"/>
      <c r="O44" s="493"/>
      <c r="P44" s="493"/>
      <c r="Q44" s="494"/>
      <c r="R44" s="494"/>
      <c r="S44" s="493"/>
      <c r="T44" s="494"/>
      <c r="U44" s="494"/>
      <c r="V44" s="494"/>
      <c r="W44" s="494"/>
      <c r="X44" s="494"/>
      <c r="Y44" s="494"/>
      <c r="Z44" s="494"/>
      <c r="AA44" s="494"/>
      <c r="AB44" s="494"/>
      <c r="AC44" s="494"/>
      <c r="AD44" s="494"/>
      <c r="AE44" s="494"/>
      <c r="AF44" s="494"/>
      <c r="AG44" s="494"/>
      <c r="AH44" s="494"/>
      <c r="AI44" s="494"/>
      <c r="AJ44" s="494"/>
      <c r="AK44" s="494"/>
      <c r="AL44" s="494"/>
    </row>
    <row r="45" spans="2:38" s="505" customFormat="1" ht="16" hidden="1">
      <c r="B45" s="503" t="s">
        <v>218</v>
      </c>
      <c r="C45" s="504"/>
    </row>
    <row r="46" spans="2:38" s="505" customFormat="1" ht="12" hidden="1">
      <c r="B46" s="506" t="s">
        <v>219</v>
      </c>
      <c r="C46" s="507"/>
    </row>
    <row r="47" spans="2:38" hidden="1">
      <c r="B47" s="508" t="s">
        <v>220</v>
      </c>
      <c r="C47" s="509"/>
      <c r="D47" s="510"/>
      <c r="E47" s="511">
        <v>0</v>
      </c>
      <c r="F47" s="511">
        <v>0</v>
      </c>
      <c r="G47" s="511">
        <v>0</v>
      </c>
      <c r="H47" s="511">
        <v>0</v>
      </c>
      <c r="I47" s="512">
        <v>0</v>
      </c>
      <c r="J47" s="512">
        <v>0</v>
      </c>
      <c r="K47" s="512"/>
      <c r="L47" s="512">
        <v>-1134</v>
      </c>
      <c r="M47" s="512"/>
      <c r="N47" s="512"/>
      <c r="O47" s="512">
        <v>0</v>
      </c>
      <c r="P47" s="512"/>
      <c r="Q47" s="512">
        <v>0</v>
      </c>
      <c r="R47" s="512">
        <v>0</v>
      </c>
      <c r="S47" s="512">
        <v>0</v>
      </c>
      <c r="T47" s="512">
        <v>0</v>
      </c>
      <c r="U47" s="512">
        <v>0</v>
      </c>
      <c r="V47" s="512">
        <v>0</v>
      </c>
      <c r="W47" s="512">
        <v>0</v>
      </c>
      <c r="X47" s="512">
        <v>0</v>
      </c>
      <c r="Y47" s="512">
        <v>0</v>
      </c>
      <c r="Z47" s="512">
        <v>0</v>
      </c>
      <c r="AA47" s="512">
        <v>0</v>
      </c>
      <c r="AB47" s="512">
        <v>0</v>
      </c>
      <c r="AC47" s="512">
        <v>0</v>
      </c>
      <c r="AD47" s="512">
        <v>0</v>
      </c>
      <c r="AE47" s="512">
        <v>0</v>
      </c>
      <c r="AF47" s="512">
        <v>0</v>
      </c>
      <c r="AG47" s="512">
        <v>0</v>
      </c>
      <c r="AH47" s="512">
        <v>0</v>
      </c>
      <c r="AI47" s="512">
        <v>0</v>
      </c>
      <c r="AJ47" s="512">
        <v>0</v>
      </c>
      <c r="AK47" s="512">
        <v>0</v>
      </c>
      <c r="AL47" s="512">
        <v>0</v>
      </c>
    </row>
    <row r="48" spans="2:38" hidden="1">
      <c r="B48" s="513" t="s">
        <v>221</v>
      </c>
      <c r="C48" s="514"/>
      <c r="D48" s="436"/>
      <c r="E48" s="515">
        <v>0</v>
      </c>
      <c r="F48" s="515">
        <v>0</v>
      </c>
      <c r="G48" s="515">
        <v>0</v>
      </c>
      <c r="H48" s="515">
        <v>0</v>
      </c>
      <c r="I48" s="512">
        <v>0</v>
      </c>
      <c r="J48" s="512">
        <v>0</v>
      </c>
      <c r="K48" s="512"/>
      <c r="L48" s="512">
        <v>-233.45099999999999</v>
      </c>
      <c r="M48" s="512"/>
      <c r="N48" s="512"/>
      <c r="O48" s="512">
        <v>-1200</v>
      </c>
      <c r="P48" s="512"/>
      <c r="Q48" s="512">
        <v>0</v>
      </c>
      <c r="R48" s="512">
        <v>0</v>
      </c>
      <c r="S48" s="512">
        <v>0</v>
      </c>
      <c r="T48" s="512">
        <v>0</v>
      </c>
      <c r="U48" s="512">
        <v>0</v>
      </c>
      <c r="V48" s="512">
        <v>0</v>
      </c>
      <c r="W48" s="512">
        <v>0</v>
      </c>
      <c r="X48" s="512">
        <v>0</v>
      </c>
      <c r="Y48" s="512">
        <v>0</v>
      </c>
      <c r="Z48" s="512">
        <v>0</v>
      </c>
      <c r="AA48" s="512">
        <v>0</v>
      </c>
      <c r="AB48" s="512">
        <v>0</v>
      </c>
      <c r="AC48" s="512">
        <v>0</v>
      </c>
      <c r="AD48" s="512">
        <v>0</v>
      </c>
      <c r="AE48" s="512">
        <v>0</v>
      </c>
      <c r="AF48" s="512">
        <v>0</v>
      </c>
      <c r="AG48" s="512">
        <v>0</v>
      </c>
      <c r="AH48" s="512">
        <v>0</v>
      </c>
      <c r="AI48" s="512">
        <v>0</v>
      </c>
      <c r="AJ48" s="512">
        <v>0</v>
      </c>
      <c r="AK48" s="512">
        <v>0</v>
      </c>
      <c r="AL48" s="512">
        <v>0</v>
      </c>
    </row>
    <row r="49" spans="1:38" hidden="1">
      <c r="B49" s="513" t="s">
        <v>222</v>
      </c>
      <c r="C49" s="514"/>
      <c r="D49" s="436"/>
      <c r="E49" s="515">
        <v>0</v>
      </c>
      <c r="F49" s="515">
        <v>0</v>
      </c>
      <c r="G49" s="515">
        <v>0</v>
      </c>
      <c r="H49" s="515">
        <v>0</v>
      </c>
      <c r="I49" s="512">
        <v>0</v>
      </c>
      <c r="J49" s="512">
        <v>0</v>
      </c>
      <c r="K49" s="512"/>
      <c r="L49" s="512">
        <v>-443</v>
      </c>
      <c r="M49" s="512"/>
      <c r="N49" s="512"/>
      <c r="O49" s="512">
        <v>0</v>
      </c>
      <c r="P49" s="512"/>
      <c r="Q49" s="512">
        <v>0</v>
      </c>
      <c r="R49" s="512">
        <v>0</v>
      </c>
      <c r="S49" s="512">
        <v>0</v>
      </c>
      <c r="T49" s="512">
        <v>0</v>
      </c>
      <c r="U49" s="512">
        <v>0</v>
      </c>
      <c r="V49" s="512">
        <v>0</v>
      </c>
      <c r="W49" s="512">
        <v>0</v>
      </c>
      <c r="X49" s="512">
        <v>0</v>
      </c>
      <c r="Y49" s="512">
        <v>0</v>
      </c>
      <c r="Z49" s="512">
        <v>0</v>
      </c>
      <c r="AA49" s="512">
        <v>0</v>
      </c>
      <c r="AB49" s="512">
        <v>0</v>
      </c>
      <c r="AC49" s="512">
        <v>0</v>
      </c>
      <c r="AD49" s="512">
        <v>0</v>
      </c>
      <c r="AE49" s="512">
        <v>0</v>
      </c>
      <c r="AF49" s="512">
        <v>0</v>
      </c>
      <c r="AG49" s="512">
        <v>0</v>
      </c>
      <c r="AH49" s="512">
        <v>0</v>
      </c>
      <c r="AI49" s="512">
        <v>0</v>
      </c>
      <c r="AJ49" s="512">
        <v>0</v>
      </c>
      <c r="AK49" s="512">
        <v>0</v>
      </c>
      <c r="AL49" s="512">
        <v>0</v>
      </c>
    </row>
    <row r="50" spans="1:38" hidden="1">
      <c r="B50" s="513" t="s">
        <v>223</v>
      </c>
      <c r="C50" s="514"/>
      <c r="D50" s="516"/>
      <c r="E50" s="515">
        <v>0</v>
      </c>
      <c r="F50" s="515">
        <v>0</v>
      </c>
      <c r="G50" s="515">
        <v>0</v>
      </c>
      <c r="H50" s="515">
        <v>0</v>
      </c>
      <c r="I50" s="512">
        <v>0</v>
      </c>
      <c r="J50" s="512">
        <v>0</v>
      </c>
      <c r="K50" s="512"/>
      <c r="L50" s="512">
        <f>L236</f>
        <v>0</v>
      </c>
      <c r="M50" s="512"/>
      <c r="N50" s="512"/>
      <c r="O50" s="512">
        <f>+O233</f>
        <v>-833</v>
      </c>
      <c r="P50" s="512"/>
      <c r="Q50" s="517">
        <f>+Q302</f>
        <v>0</v>
      </c>
      <c r="R50" s="517">
        <f>+R302</f>
        <v>0</v>
      </c>
      <c r="S50" s="512">
        <f>+S302</f>
        <v>-1217.8554387307997</v>
      </c>
      <c r="T50" s="512">
        <f>+T233</f>
        <v>0</v>
      </c>
      <c r="U50" s="512">
        <v>0</v>
      </c>
      <c r="V50" s="512">
        <f>+V233</f>
        <v>-800</v>
      </c>
      <c r="W50" s="512">
        <v>0</v>
      </c>
      <c r="X50" s="512">
        <v>0</v>
      </c>
      <c r="Y50" s="512">
        <v>0</v>
      </c>
      <c r="Z50" s="512">
        <v>0</v>
      </c>
      <c r="AA50" s="512">
        <v>0</v>
      </c>
      <c r="AB50" s="512">
        <v>0</v>
      </c>
      <c r="AC50" s="512">
        <v>0</v>
      </c>
      <c r="AD50" s="512">
        <v>0</v>
      </c>
      <c r="AE50" s="512">
        <v>0</v>
      </c>
      <c r="AF50" s="512">
        <v>0</v>
      </c>
      <c r="AG50" s="512">
        <v>0</v>
      </c>
      <c r="AH50" s="512">
        <v>0</v>
      </c>
      <c r="AI50" s="512">
        <v>0</v>
      </c>
      <c r="AJ50" s="512">
        <v>0</v>
      </c>
      <c r="AK50" s="512">
        <v>0</v>
      </c>
      <c r="AL50" s="512">
        <v>0</v>
      </c>
    </row>
    <row r="51" spans="1:38" hidden="1">
      <c r="B51" s="513" t="s">
        <v>224</v>
      </c>
      <c r="C51" s="514"/>
      <c r="D51" s="516"/>
      <c r="E51" s="515">
        <v>0</v>
      </c>
      <c r="F51" s="515">
        <v>0</v>
      </c>
      <c r="G51" s="515">
        <v>0</v>
      </c>
      <c r="H51" s="515">
        <v>0</v>
      </c>
      <c r="I51" s="512">
        <v>0</v>
      </c>
      <c r="J51" s="512">
        <v>0</v>
      </c>
      <c r="K51" s="512"/>
      <c r="L51" s="512">
        <v>0</v>
      </c>
      <c r="M51" s="512"/>
      <c r="N51" s="512"/>
      <c r="O51" s="512">
        <v>-2110.5270389412235</v>
      </c>
      <c r="P51" s="512"/>
      <c r="Q51" s="517">
        <f>Q303</f>
        <v>0</v>
      </c>
      <c r="R51" s="517">
        <f>R303</f>
        <v>0</v>
      </c>
      <c r="S51" s="512">
        <f>+S303</f>
        <v>-3056.663699911107</v>
      </c>
      <c r="T51" s="512">
        <f>T234</f>
        <v>0</v>
      </c>
      <c r="U51" s="512">
        <v>0</v>
      </c>
      <c r="V51" s="512">
        <f>V234</f>
        <v>-1125</v>
      </c>
      <c r="W51" s="512">
        <v>0</v>
      </c>
      <c r="X51" s="512">
        <v>0</v>
      </c>
      <c r="Y51" s="512">
        <v>0</v>
      </c>
      <c r="Z51" s="512">
        <v>0</v>
      </c>
      <c r="AA51" s="512">
        <v>0</v>
      </c>
      <c r="AB51" s="512">
        <v>0</v>
      </c>
      <c r="AC51" s="512">
        <v>0</v>
      </c>
      <c r="AD51" s="512">
        <v>0</v>
      </c>
      <c r="AE51" s="512">
        <v>0</v>
      </c>
      <c r="AF51" s="512">
        <v>0</v>
      </c>
      <c r="AG51" s="512">
        <v>0</v>
      </c>
      <c r="AH51" s="512">
        <v>0</v>
      </c>
      <c r="AI51" s="512">
        <v>0</v>
      </c>
      <c r="AJ51" s="512">
        <v>0</v>
      </c>
      <c r="AK51" s="512">
        <v>0</v>
      </c>
      <c r="AL51" s="512">
        <v>0</v>
      </c>
    </row>
    <row r="52" spans="1:38" hidden="1">
      <c r="A52" s="446"/>
      <c r="B52" s="513" t="s">
        <v>225</v>
      </c>
      <c r="C52" s="514"/>
      <c r="D52" s="516"/>
      <c r="E52" s="515">
        <v>0</v>
      </c>
      <c r="F52" s="515">
        <v>0</v>
      </c>
      <c r="G52" s="515">
        <v>0</v>
      </c>
      <c r="H52" s="515">
        <v>0</v>
      </c>
      <c r="I52" s="512">
        <v>0</v>
      </c>
      <c r="J52" s="512">
        <v>0</v>
      </c>
      <c r="K52" s="512"/>
      <c r="L52" s="512">
        <v>0</v>
      </c>
      <c r="M52" s="512"/>
      <c r="N52" s="512"/>
      <c r="O52" s="512">
        <v>0</v>
      </c>
      <c r="P52" s="512"/>
      <c r="Q52" s="512">
        <v>0</v>
      </c>
      <c r="R52" s="512">
        <v>0</v>
      </c>
      <c r="S52" s="512">
        <v>0</v>
      </c>
      <c r="T52" s="512">
        <f t="shared" ref="T52:V53" si="25">+T236</f>
        <v>0</v>
      </c>
      <c r="U52" s="512">
        <v>0</v>
      </c>
      <c r="V52" s="512">
        <f t="shared" si="25"/>
        <v>-500</v>
      </c>
      <c r="W52" s="512">
        <v>0</v>
      </c>
      <c r="X52" s="512">
        <v>0</v>
      </c>
      <c r="Y52" s="512">
        <v>0</v>
      </c>
      <c r="Z52" s="512">
        <v>0</v>
      </c>
      <c r="AA52" s="512">
        <v>0</v>
      </c>
      <c r="AB52" s="512">
        <v>0</v>
      </c>
      <c r="AC52" s="512">
        <v>0</v>
      </c>
      <c r="AD52" s="512">
        <v>0</v>
      </c>
      <c r="AE52" s="512">
        <v>0</v>
      </c>
      <c r="AF52" s="512">
        <v>0</v>
      </c>
      <c r="AG52" s="512">
        <v>0</v>
      </c>
      <c r="AH52" s="512">
        <v>0</v>
      </c>
      <c r="AI52" s="512">
        <v>0</v>
      </c>
      <c r="AJ52" s="512">
        <v>0</v>
      </c>
      <c r="AK52" s="512">
        <v>0</v>
      </c>
      <c r="AL52" s="512">
        <v>0</v>
      </c>
    </row>
    <row r="53" spans="1:38" hidden="1">
      <c r="A53" s="446"/>
      <c r="B53" s="513" t="s">
        <v>226</v>
      </c>
      <c r="C53" s="514"/>
      <c r="D53" s="516"/>
      <c r="E53" s="515"/>
      <c r="F53" s="515"/>
      <c r="G53" s="515"/>
      <c r="H53" s="515">
        <v>0</v>
      </c>
      <c r="I53" s="515">
        <v>0</v>
      </c>
      <c r="J53" s="515">
        <v>0</v>
      </c>
      <c r="K53" s="515">
        <v>0</v>
      </c>
      <c r="L53" s="512">
        <v>0</v>
      </c>
      <c r="M53" s="512">
        <v>0</v>
      </c>
      <c r="N53" s="512">
        <v>0</v>
      </c>
      <c r="O53" s="512">
        <v>0</v>
      </c>
      <c r="P53" s="512">
        <v>0</v>
      </c>
      <c r="Q53" s="512">
        <v>0</v>
      </c>
      <c r="R53" s="512">
        <v>0</v>
      </c>
      <c r="S53" s="512">
        <v>0</v>
      </c>
      <c r="T53" s="512">
        <f t="shared" si="25"/>
        <v>0</v>
      </c>
      <c r="U53" s="512">
        <v>0</v>
      </c>
      <c r="V53" s="512">
        <f t="shared" si="25"/>
        <v>-300</v>
      </c>
      <c r="W53" s="512">
        <v>0</v>
      </c>
      <c r="X53" s="512"/>
      <c r="Y53" s="512"/>
      <c r="Z53" s="512"/>
      <c r="AA53" s="512"/>
      <c r="AB53" s="512"/>
      <c r="AC53" s="512"/>
      <c r="AD53" s="512"/>
      <c r="AE53" s="512"/>
      <c r="AF53" s="512"/>
      <c r="AG53" s="512"/>
      <c r="AH53" s="512"/>
      <c r="AI53" s="512"/>
      <c r="AJ53" s="512"/>
      <c r="AK53" s="512"/>
      <c r="AL53" s="512"/>
    </row>
    <row r="54" spans="1:38" hidden="1">
      <c r="A54" s="446"/>
      <c r="B54" s="513" t="s">
        <v>227</v>
      </c>
      <c r="C54" s="514"/>
      <c r="D54" s="516"/>
      <c r="E54" s="515"/>
      <c r="F54" s="515"/>
      <c r="G54" s="515"/>
      <c r="H54" s="515"/>
      <c r="I54" s="515"/>
      <c r="J54" s="515"/>
      <c r="K54" s="515"/>
      <c r="L54" s="512"/>
      <c r="M54" s="512"/>
      <c r="N54" s="512"/>
      <c r="O54" s="512"/>
      <c r="P54" s="512"/>
      <c r="Q54" s="512"/>
      <c r="R54" s="512"/>
      <c r="S54" s="512"/>
      <c r="T54" s="512"/>
      <c r="U54" s="512"/>
      <c r="V54" s="512"/>
      <c r="W54" s="512"/>
      <c r="X54" s="512"/>
      <c r="Y54" s="512"/>
      <c r="Z54" s="512"/>
      <c r="AA54" s="512"/>
      <c r="AB54" s="512"/>
      <c r="AC54" s="512"/>
      <c r="AD54" s="512"/>
      <c r="AE54" s="512"/>
      <c r="AF54" s="512"/>
      <c r="AG54" s="512"/>
      <c r="AH54" s="512"/>
      <c r="AI54" s="512"/>
      <c r="AJ54" s="512"/>
      <c r="AK54" s="512"/>
      <c r="AL54" s="512"/>
    </row>
    <row r="55" spans="1:38" hidden="1">
      <c r="A55" s="446"/>
      <c r="B55" s="513" t="s">
        <v>228</v>
      </c>
      <c r="C55" s="514"/>
      <c r="D55" s="516"/>
      <c r="E55" s="515"/>
      <c r="F55" s="515"/>
      <c r="G55" s="515"/>
      <c r="H55" s="515"/>
      <c r="I55" s="515"/>
      <c r="J55" s="515"/>
      <c r="K55" s="515"/>
      <c r="L55" s="512"/>
      <c r="M55" s="512"/>
      <c r="N55" s="512"/>
      <c r="O55" s="512"/>
      <c r="P55" s="512"/>
      <c r="Q55" s="512"/>
      <c r="R55" s="512"/>
      <c r="S55" s="512"/>
      <c r="T55" s="512"/>
      <c r="U55" s="512"/>
      <c r="V55" s="512"/>
      <c r="W55" s="512"/>
      <c r="X55" s="512"/>
      <c r="Y55" s="512"/>
      <c r="Z55" s="512"/>
      <c r="AA55" s="512"/>
      <c r="AB55" s="512"/>
      <c r="AC55" s="512"/>
      <c r="AD55" s="512"/>
      <c r="AE55" s="512"/>
      <c r="AF55" s="512"/>
      <c r="AG55" s="512"/>
      <c r="AH55" s="512"/>
      <c r="AI55" s="512"/>
      <c r="AJ55" s="512"/>
      <c r="AK55" s="512"/>
      <c r="AL55" s="512"/>
    </row>
    <row r="56" spans="1:38" hidden="1">
      <c r="A56" s="446"/>
      <c r="B56" s="513" t="s">
        <v>229</v>
      </c>
      <c r="C56" s="514"/>
      <c r="D56" s="516"/>
      <c r="E56" s="515"/>
      <c r="F56" s="515"/>
      <c r="G56" s="515"/>
      <c r="H56" s="515">
        <v>0</v>
      </c>
      <c r="I56" s="515">
        <v>0</v>
      </c>
      <c r="J56" s="515">
        <v>0</v>
      </c>
      <c r="K56" s="515">
        <v>0</v>
      </c>
      <c r="L56" s="512">
        <v>0</v>
      </c>
      <c r="M56" s="512">
        <v>0</v>
      </c>
      <c r="N56" s="512">
        <v>0</v>
      </c>
      <c r="O56" s="512">
        <v>0</v>
      </c>
      <c r="P56" s="512">
        <v>0</v>
      </c>
      <c r="Q56" s="512">
        <v>0</v>
      </c>
      <c r="R56" s="512">
        <v>0</v>
      </c>
      <c r="S56" s="512">
        <v>0</v>
      </c>
      <c r="T56" s="512">
        <f>+'Inc St'!T241</f>
        <v>0</v>
      </c>
      <c r="U56" s="512">
        <v>0</v>
      </c>
      <c r="V56" s="512">
        <f>+'Inc St'!V241</f>
        <v>-1500</v>
      </c>
      <c r="W56" s="512">
        <v>0</v>
      </c>
      <c r="X56" s="512"/>
      <c r="Y56" s="512"/>
      <c r="Z56" s="512"/>
      <c r="AA56" s="512"/>
      <c r="AB56" s="512"/>
      <c r="AC56" s="512"/>
      <c r="AD56" s="512"/>
      <c r="AE56" s="512"/>
      <c r="AF56" s="512"/>
      <c r="AG56" s="512"/>
      <c r="AH56" s="512"/>
      <c r="AI56" s="512"/>
      <c r="AJ56" s="512"/>
      <c r="AK56" s="512"/>
      <c r="AL56" s="512"/>
    </row>
    <row r="57" spans="1:38" hidden="1">
      <c r="A57" s="446"/>
      <c r="B57" s="513" t="s">
        <v>230</v>
      </c>
      <c r="C57" s="514"/>
      <c r="D57" s="516"/>
      <c r="E57" s="515">
        <v>0</v>
      </c>
      <c r="F57" s="515">
        <v>0</v>
      </c>
      <c r="G57" s="515">
        <v>0</v>
      </c>
      <c r="H57" s="515">
        <v>0</v>
      </c>
      <c r="I57" s="512">
        <v>-11.084168556546274</v>
      </c>
      <c r="J57" s="512">
        <v>-1460.6562567528745</v>
      </c>
      <c r="K57" s="512"/>
      <c r="L57" s="512">
        <v>-2008.2866182975888</v>
      </c>
      <c r="M57" s="512"/>
      <c r="N57" s="512"/>
      <c r="O57" s="512">
        <v>0</v>
      </c>
      <c r="P57" s="512"/>
      <c r="Q57" s="512">
        <v>0</v>
      </c>
      <c r="R57" s="512">
        <v>0</v>
      </c>
      <c r="S57" s="512">
        <v>0</v>
      </c>
      <c r="T57" s="512">
        <v>0</v>
      </c>
      <c r="U57" s="512">
        <v>0</v>
      </c>
      <c r="V57" s="512">
        <v>0</v>
      </c>
      <c r="W57" s="512">
        <v>0</v>
      </c>
      <c r="X57" s="512">
        <v>0</v>
      </c>
      <c r="Y57" s="512">
        <v>0</v>
      </c>
      <c r="Z57" s="512">
        <v>0</v>
      </c>
      <c r="AA57" s="512">
        <v>0</v>
      </c>
      <c r="AB57" s="512">
        <v>0</v>
      </c>
      <c r="AC57" s="512">
        <v>0</v>
      </c>
      <c r="AD57" s="512">
        <v>0</v>
      </c>
      <c r="AE57" s="512">
        <v>0</v>
      </c>
      <c r="AF57" s="512">
        <v>0</v>
      </c>
      <c r="AG57" s="512">
        <v>0</v>
      </c>
      <c r="AH57" s="512">
        <v>0</v>
      </c>
      <c r="AI57" s="512">
        <v>0</v>
      </c>
      <c r="AJ57" s="512">
        <v>0</v>
      </c>
      <c r="AK57" s="512">
        <v>0</v>
      </c>
      <c r="AL57" s="512">
        <v>0</v>
      </c>
    </row>
    <row r="58" spans="1:38" hidden="1">
      <c r="A58" s="446"/>
      <c r="B58" s="513" t="s">
        <v>231</v>
      </c>
      <c r="C58" s="514"/>
      <c r="D58" s="516"/>
      <c r="E58" s="515">
        <v>0</v>
      </c>
      <c r="F58" s="515">
        <v>0</v>
      </c>
      <c r="G58" s="515">
        <v>0</v>
      </c>
      <c r="H58" s="515">
        <v>0</v>
      </c>
      <c r="I58" s="512">
        <v>0</v>
      </c>
      <c r="J58" s="512">
        <v>0</v>
      </c>
      <c r="K58" s="512"/>
      <c r="L58" s="512">
        <v>-1346.7038</v>
      </c>
      <c r="M58" s="512"/>
      <c r="N58" s="512"/>
      <c r="O58" s="512">
        <v>0</v>
      </c>
      <c r="P58" s="512"/>
      <c r="Q58" s="512">
        <v>0</v>
      </c>
      <c r="R58" s="512">
        <v>0</v>
      </c>
      <c r="S58" s="512">
        <v>0</v>
      </c>
      <c r="T58" s="512">
        <v>0</v>
      </c>
      <c r="U58" s="512">
        <v>0</v>
      </c>
      <c r="V58" s="512">
        <v>0</v>
      </c>
      <c r="W58" s="512">
        <v>0</v>
      </c>
      <c r="X58" s="512">
        <v>0</v>
      </c>
      <c r="Y58" s="512">
        <v>0</v>
      </c>
      <c r="Z58" s="512">
        <v>0</v>
      </c>
      <c r="AA58" s="512">
        <v>0</v>
      </c>
      <c r="AB58" s="512">
        <v>0</v>
      </c>
      <c r="AC58" s="512">
        <v>0</v>
      </c>
      <c r="AD58" s="512">
        <v>0</v>
      </c>
      <c r="AE58" s="512">
        <v>0</v>
      </c>
      <c r="AF58" s="512">
        <v>0</v>
      </c>
      <c r="AG58" s="512">
        <v>0</v>
      </c>
      <c r="AH58" s="512">
        <v>0</v>
      </c>
      <c r="AI58" s="512">
        <v>0</v>
      </c>
      <c r="AJ58" s="512">
        <v>0</v>
      </c>
      <c r="AK58" s="512">
        <v>0</v>
      </c>
      <c r="AL58" s="512">
        <v>0</v>
      </c>
    </row>
    <row r="59" spans="1:38" hidden="1">
      <c r="A59" s="446"/>
      <c r="B59" s="518" t="s">
        <v>232</v>
      </c>
      <c r="C59" s="519"/>
      <c r="D59" s="520"/>
      <c r="E59" s="521">
        <v>0</v>
      </c>
      <c r="F59" s="521">
        <v>0</v>
      </c>
      <c r="G59" s="521">
        <v>0</v>
      </c>
      <c r="H59" s="521">
        <v>0</v>
      </c>
      <c r="I59" s="521">
        <v>0</v>
      </c>
      <c r="J59" s="521">
        <f>-9621/12.655</f>
        <v>-760.25286448044255</v>
      </c>
      <c r="K59" s="521"/>
      <c r="L59" s="521">
        <f>-16490/12.48</f>
        <v>-1321.3141025641025</v>
      </c>
      <c r="M59" s="521"/>
      <c r="N59" s="521"/>
      <c r="O59" s="521">
        <v>0</v>
      </c>
      <c r="P59" s="521"/>
      <c r="Q59" s="521">
        <v>0</v>
      </c>
      <c r="R59" s="521">
        <v>0</v>
      </c>
      <c r="S59" s="521">
        <v>0</v>
      </c>
      <c r="T59" s="521">
        <v>0</v>
      </c>
      <c r="U59" s="521">
        <v>0</v>
      </c>
      <c r="V59" s="521">
        <v>0</v>
      </c>
      <c r="W59" s="521">
        <v>0</v>
      </c>
      <c r="X59" s="521">
        <v>0</v>
      </c>
      <c r="Y59" s="521">
        <v>0</v>
      </c>
      <c r="Z59" s="521">
        <v>0</v>
      </c>
      <c r="AA59" s="521">
        <v>0</v>
      </c>
      <c r="AB59" s="521">
        <v>0</v>
      </c>
      <c r="AC59" s="521">
        <v>0</v>
      </c>
      <c r="AD59" s="521">
        <v>0</v>
      </c>
      <c r="AE59" s="521">
        <v>0</v>
      </c>
      <c r="AF59" s="521">
        <v>0</v>
      </c>
      <c r="AG59" s="521">
        <v>0</v>
      </c>
      <c r="AH59" s="521">
        <v>0</v>
      </c>
      <c r="AI59" s="521">
        <v>0</v>
      </c>
      <c r="AJ59" s="521">
        <v>0</v>
      </c>
      <c r="AK59" s="521">
        <v>0</v>
      </c>
      <c r="AL59" s="521">
        <v>0</v>
      </c>
    </row>
    <row r="60" spans="1:38" s="465" customFormat="1" hidden="1" thickBot="1">
      <c r="A60" s="522"/>
      <c r="C60" s="523"/>
      <c r="D60" s="524"/>
      <c r="E60" s="525">
        <f t="shared" ref="E60:J60" si="26">SUM(E47:E59)</f>
        <v>0</v>
      </c>
      <c r="F60" s="525">
        <f t="shared" si="26"/>
        <v>0</v>
      </c>
      <c r="G60" s="525">
        <f t="shared" si="26"/>
        <v>0</v>
      </c>
      <c r="H60" s="525">
        <f t="shared" si="26"/>
        <v>0</v>
      </c>
      <c r="I60" s="525">
        <f t="shared" si="26"/>
        <v>-11.084168556546274</v>
      </c>
      <c r="J60" s="525">
        <f t="shared" si="26"/>
        <v>-2220.9091212333169</v>
      </c>
      <c r="K60" s="525"/>
      <c r="L60" s="525">
        <f>SUM(L47:L59)</f>
        <v>-6486.7555208616914</v>
      </c>
      <c r="M60" s="525"/>
      <c r="N60" s="525"/>
      <c r="O60" s="525">
        <f t="shared" ref="O60:AH60" si="27">SUM(O47:O59)</f>
        <v>-4143.5270389412235</v>
      </c>
      <c r="P60" s="525"/>
      <c r="Q60" s="525">
        <f>SUM(Q47:Q59)</f>
        <v>0</v>
      </c>
      <c r="R60" s="525">
        <f t="shared" si="27"/>
        <v>0</v>
      </c>
      <c r="S60" s="525">
        <f t="shared" si="27"/>
        <v>-4274.5191386419065</v>
      </c>
      <c r="T60" s="525">
        <f t="shared" si="27"/>
        <v>0</v>
      </c>
      <c r="U60" s="525">
        <f t="shared" si="27"/>
        <v>0</v>
      </c>
      <c r="V60" s="525">
        <f t="shared" si="27"/>
        <v>-4225</v>
      </c>
      <c r="W60" s="525">
        <f t="shared" si="27"/>
        <v>0</v>
      </c>
      <c r="X60" s="525">
        <f t="shared" si="27"/>
        <v>0</v>
      </c>
      <c r="Y60" s="525">
        <f t="shared" si="27"/>
        <v>0</v>
      </c>
      <c r="Z60" s="525">
        <f t="shared" si="27"/>
        <v>0</v>
      </c>
      <c r="AA60" s="525">
        <f t="shared" si="27"/>
        <v>0</v>
      </c>
      <c r="AB60" s="525">
        <f t="shared" si="27"/>
        <v>0</v>
      </c>
      <c r="AC60" s="525">
        <f t="shared" si="27"/>
        <v>0</v>
      </c>
      <c r="AD60" s="525">
        <f t="shared" si="27"/>
        <v>0</v>
      </c>
      <c r="AE60" s="525">
        <f t="shared" si="27"/>
        <v>0</v>
      </c>
      <c r="AF60" s="525">
        <f t="shared" si="27"/>
        <v>0</v>
      </c>
      <c r="AG60" s="525">
        <f t="shared" si="27"/>
        <v>0</v>
      </c>
      <c r="AH60" s="525">
        <f t="shared" si="27"/>
        <v>0</v>
      </c>
      <c r="AI60" s="525">
        <f>SUM(AI47:AI59)</f>
        <v>0</v>
      </c>
      <c r="AJ60" s="525">
        <f>SUM(AJ47:AJ59)</f>
        <v>0</v>
      </c>
      <c r="AK60" s="525">
        <f>SUM(AK47:AK59)</f>
        <v>0</v>
      </c>
      <c r="AL60" s="525">
        <f>SUM(AL47:AL59)</f>
        <v>0</v>
      </c>
    </row>
    <row r="61" spans="1:38" hidden="1">
      <c r="A61" s="446"/>
      <c r="B61" s="446"/>
      <c r="C61" s="476"/>
      <c r="D61" s="448"/>
      <c r="E61" s="491"/>
      <c r="F61" s="491"/>
      <c r="G61" s="491"/>
      <c r="H61" s="491"/>
      <c r="I61" s="491"/>
      <c r="J61" s="491"/>
      <c r="K61" s="491"/>
      <c r="L61" s="491"/>
      <c r="M61" s="491"/>
      <c r="N61" s="491"/>
      <c r="O61" s="491"/>
      <c r="P61" s="491"/>
      <c r="Q61" s="491"/>
      <c r="R61" s="491"/>
      <c r="S61" s="491"/>
      <c r="T61" s="491"/>
      <c r="U61" s="491"/>
      <c r="V61" s="491"/>
      <c r="W61" s="491"/>
      <c r="X61" s="491"/>
      <c r="Y61" s="491"/>
      <c r="Z61" s="491"/>
      <c r="AA61" s="491"/>
      <c r="AB61" s="491"/>
      <c r="AC61" s="491"/>
      <c r="AD61" s="491"/>
      <c r="AE61" s="491"/>
      <c r="AF61" s="491"/>
      <c r="AG61" s="491"/>
      <c r="AH61" s="491"/>
      <c r="AI61" s="491"/>
      <c r="AJ61" s="491"/>
      <c r="AK61" s="491"/>
      <c r="AL61" s="491"/>
    </row>
    <row r="62" spans="1:38" hidden="1">
      <c r="A62" s="446"/>
      <c r="B62" s="446"/>
      <c r="C62" s="476"/>
      <c r="D62" s="448"/>
      <c r="E62" s="491"/>
      <c r="F62" s="491"/>
      <c r="G62" s="491"/>
      <c r="H62" s="491"/>
      <c r="I62" s="491"/>
      <c r="J62" s="492"/>
      <c r="K62" s="493"/>
      <c r="L62" s="493"/>
      <c r="M62" s="493"/>
      <c r="N62" s="493"/>
      <c r="O62" s="493"/>
      <c r="P62" s="493"/>
      <c r="Q62" s="493"/>
      <c r="R62" s="494"/>
      <c r="S62" s="493"/>
      <c r="T62" s="494"/>
      <c r="U62" s="494"/>
      <c r="V62" s="494"/>
      <c r="W62" s="494"/>
      <c r="X62" s="446"/>
      <c r="Y62" s="446"/>
      <c r="Z62" s="446"/>
      <c r="AA62" s="446"/>
      <c r="AB62" s="446"/>
      <c r="AC62" s="446"/>
      <c r="AD62" s="446"/>
      <c r="AE62" s="446"/>
      <c r="AF62" s="446"/>
      <c r="AG62" s="446"/>
      <c r="AH62" s="446"/>
      <c r="AI62" s="446"/>
      <c r="AJ62" s="446"/>
      <c r="AK62" s="446"/>
      <c r="AL62" s="446"/>
    </row>
    <row r="63" spans="1:38" hidden="1">
      <c r="A63" s="446"/>
      <c r="B63" s="446"/>
      <c r="C63" s="476"/>
      <c r="D63" s="448"/>
      <c r="E63" s="491"/>
      <c r="F63" s="491"/>
      <c r="G63" s="491"/>
      <c r="H63" s="491"/>
      <c r="I63" s="491"/>
      <c r="J63" s="492"/>
      <c r="K63" s="493"/>
      <c r="L63" s="493"/>
      <c r="M63" s="493"/>
      <c r="N63" s="493"/>
      <c r="O63" s="493"/>
      <c r="P63" s="493"/>
      <c r="Q63" s="493"/>
      <c r="R63" s="494"/>
      <c r="S63" s="493"/>
      <c r="T63" s="494"/>
      <c r="U63" s="494"/>
      <c r="V63" s="494"/>
      <c r="W63" s="494"/>
      <c r="X63" s="446"/>
      <c r="Y63" s="446"/>
      <c r="Z63" s="446"/>
      <c r="AA63" s="446"/>
      <c r="AB63" s="446"/>
      <c r="AC63" s="446"/>
      <c r="AD63" s="446"/>
      <c r="AE63" s="446"/>
      <c r="AF63" s="446"/>
      <c r="AG63" s="446"/>
      <c r="AH63" s="446"/>
      <c r="AI63" s="446"/>
      <c r="AJ63" s="446"/>
      <c r="AK63" s="446"/>
      <c r="AL63" s="446"/>
    </row>
    <row r="64" spans="1:38">
      <c r="A64" s="446"/>
      <c r="B64" s="446"/>
      <c r="C64" s="476"/>
      <c r="D64" s="448"/>
      <c r="E64" s="491"/>
      <c r="F64" s="491"/>
      <c r="G64" s="491"/>
      <c r="H64" s="491"/>
      <c r="I64" s="491"/>
      <c r="J64" s="491"/>
      <c r="K64" s="491"/>
      <c r="L64" s="491"/>
      <c r="M64" s="491"/>
      <c r="N64" s="491"/>
      <c r="O64" s="491"/>
      <c r="P64" s="491"/>
      <c r="Q64" s="491"/>
      <c r="R64" s="491"/>
      <c r="S64" s="491"/>
      <c r="T64" s="491"/>
      <c r="U64" s="491"/>
      <c r="V64" s="491"/>
      <c r="W64" s="491"/>
      <c r="X64" s="491"/>
      <c r="Y64" s="491"/>
      <c r="Z64" s="491"/>
      <c r="AA64" s="491"/>
      <c r="AB64" s="491"/>
      <c r="AC64" s="491"/>
      <c r="AD64" s="491"/>
      <c r="AE64" s="491"/>
      <c r="AF64" s="491"/>
      <c r="AG64" s="491"/>
      <c r="AH64" s="491"/>
      <c r="AI64" s="491"/>
      <c r="AJ64" s="491"/>
      <c r="AK64" s="491"/>
      <c r="AL64" s="491"/>
    </row>
    <row r="65" spans="1:38" ht="18">
      <c r="A65" s="446"/>
      <c r="B65" s="446"/>
      <c r="C65" s="464" t="s">
        <v>233</v>
      </c>
      <c r="D65" s="526"/>
      <c r="E65" s="448"/>
      <c r="F65" s="448"/>
      <c r="G65" s="448"/>
      <c r="H65" s="448"/>
      <c r="I65" s="440"/>
      <c r="J65" s="440"/>
      <c r="K65" s="440"/>
      <c r="L65" s="440"/>
      <c r="M65" s="440"/>
      <c r="N65" s="440"/>
      <c r="O65" s="440"/>
      <c r="P65" s="440"/>
      <c r="Q65" s="440"/>
      <c r="R65" s="446"/>
      <c r="S65" s="440"/>
      <c r="T65" s="443"/>
      <c r="U65" s="443"/>
      <c r="V65" s="443"/>
      <c r="W65" s="443"/>
      <c r="X65" s="444"/>
      <c r="Y65" s="444"/>
      <c r="Z65" s="444"/>
      <c r="AA65" s="444"/>
      <c r="AB65" s="444"/>
      <c r="AC65" s="444"/>
      <c r="AD65" s="444"/>
      <c r="AE65" s="444"/>
      <c r="AF65" s="444"/>
      <c r="AG65" s="444"/>
      <c r="AH65" s="444"/>
      <c r="AI65" s="444"/>
      <c r="AJ65" s="444"/>
      <c r="AK65" s="444"/>
      <c r="AL65" s="444"/>
    </row>
    <row r="66" spans="1:38" ht="11.25" customHeight="1">
      <c r="A66" s="446"/>
      <c r="B66" s="446"/>
      <c r="C66" s="464"/>
      <c r="D66" s="526"/>
      <c r="E66" s="448"/>
      <c r="F66" s="448"/>
      <c r="G66" s="448"/>
      <c r="H66" s="448"/>
      <c r="I66" s="448"/>
      <c r="J66" s="448"/>
      <c r="K66" s="448"/>
      <c r="L66" s="448"/>
      <c r="M66" s="448"/>
      <c r="N66" s="448"/>
      <c r="O66" s="448"/>
      <c r="P66" s="448"/>
      <c r="Q66" s="448"/>
      <c r="R66" s="439"/>
      <c r="S66" s="448"/>
      <c r="T66" s="439"/>
      <c r="U66" s="439"/>
      <c r="V66" s="439"/>
      <c r="W66" s="439"/>
      <c r="X66" s="439"/>
      <c r="Y66" s="439"/>
      <c r="Z66" s="439"/>
      <c r="AA66" s="439"/>
      <c r="AB66" s="439"/>
      <c r="AC66" s="439"/>
      <c r="AD66" s="439"/>
      <c r="AE66" s="439"/>
      <c r="AF66" s="439"/>
      <c r="AG66" s="439"/>
      <c r="AH66" s="439"/>
      <c r="AI66" s="439"/>
      <c r="AJ66" s="439"/>
      <c r="AK66" s="439"/>
      <c r="AL66" s="439"/>
    </row>
    <row r="67" spans="1:38" ht="27.75" customHeight="1">
      <c r="A67" s="446"/>
      <c r="B67" s="446"/>
      <c r="C67" s="527"/>
      <c r="D67" s="446"/>
      <c r="E67" s="451" t="s">
        <v>170</v>
      </c>
      <c r="F67" s="451" t="s">
        <v>171</v>
      </c>
      <c r="G67" s="451" t="s">
        <v>172</v>
      </c>
      <c r="H67" s="453" t="s">
        <v>173</v>
      </c>
      <c r="I67" s="453" t="s">
        <v>174</v>
      </c>
      <c r="J67" s="453" t="s">
        <v>175</v>
      </c>
      <c r="K67" s="454" t="s">
        <v>176</v>
      </c>
      <c r="L67" s="453" t="s">
        <v>234</v>
      </c>
      <c r="M67" s="451" t="s">
        <v>178</v>
      </c>
      <c r="N67" s="451" t="s">
        <v>179</v>
      </c>
      <c r="O67" s="453" t="s">
        <v>235</v>
      </c>
      <c r="P67" s="451" t="s">
        <v>181</v>
      </c>
      <c r="Q67" s="452" t="s">
        <v>182</v>
      </c>
      <c r="R67" s="456" t="s">
        <v>183</v>
      </c>
      <c r="S67" s="455" t="s">
        <v>184</v>
      </c>
      <c r="T67" s="455" t="s">
        <v>185</v>
      </c>
      <c r="U67" s="455" t="s">
        <v>186</v>
      </c>
      <c r="V67" s="455" t="s">
        <v>187</v>
      </c>
      <c r="W67" s="455" t="s">
        <v>188</v>
      </c>
      <c r="X67" s="455" t="s">
        <v>189</v>
      </c>
      <c r="Y67" s="455" t="s">
        <v>190</v>
      </c>
      <c r="Z67" s="455" t="s">
        <v>191</v>
      </c>
      <c r="AA67" s="455" t="s">
        <v>192</v>
      </c>
      <c r="AB67" s="455" t="s">
        <v>193</v>
      </c>
      <c r="AC67" s="451" t="s">
        <v>194</v>
      </c>
      <c r="AD67" s="451" t="s">
        <v>195</v>
      </c>
      <c r="AE67" s="451" t="s">
        <v>196</v>
      </c>
      <c r="AF67" s="451" t="s">
        <v>197</v>
      </c>
      <c r="AG67" s="451" t="s">
        <v>198</v>
      </c>
      <c r="AH67" s="452" t="s">
        <v>200</v>
      </c>
      <c r="AI67" s="452" t="s">
        <v>200</v>
      </c>
      <c r="AJ67" s="452" t="s">
        <v>200</v>
      </c>
      <c r="AK67" s="452" t="s">
        <v>200</v>
      </c>
      <c r="AL67" s="452" t="s">
        <v>200</v>
      </c>
    </row>
    <row r="68" spans="1:38" s="505" customFormat="1" thickBot="1">
      <c r="C68" s="504"/>
    </row>
    <row r="69" spans="1:38" s="528" customFormat="1" ht="3.75" customHeight="1">
      <c r="B69" s="529"/>
      <c r="C69" s="530"/>
      <c r="D69" s="531"/>
      <c r="E69" s="531"/>
      <c r="F69" s="531"/>
      <c r="G69" s="531"/>
      <c r="H69" s="531"/>
      <c r="I69" s="531"/>
      <c r="J69" s="531"/>
      <c r="K69" s="531"/>
      <c r="L69" s="531"/>
      <c r="M69" s="531"/>
      <c r="N69" s="531"/>
      <c r="O69" s="531"/>
      <c r="P69" s="531"/>
      <c r="Q69" s="531"/>
      <c r="R69" s="531"/>
      <c r="S69" s="531"/>
      <c r="T69" s="531"/>
      <c r="U69" s="531"/>
      <c r="V69" s="531"/>
      <c r="W69" s="531"/>
      <c r="X69" s="531"/>
      <c r="Y69" s="531"/>
      <c r="Z69" s="531"/>
      <c r="AA69" s="531"/>
      <c r="AB69" s="531"/>
      <c r="AC69" s="531"/>
      <c r="AD69" s="531"/>
      <c r="AE69" s="531"/>
      <c r="AF69" s="531"/>
      <c r="AG69" s="531"/>
      <c r="AH69" s="531"/>
      <c r="AI69" s="531"/>
      <c r="AJ69" s="531"/>
      <c r="AK69" s="531"/>
      <c r="AL69" s="531"/>
    </row>
    <row r="70" spans="1:38" s="528" customFormat="1" ht="12">
      <c r="B70" s="532"/>
      <c r="C70" s="506" t="s">
        <v>236</v>
      </c>
      <c r="K70" s="516"/>
      <c r="L70" s="516"/>
      <c r="M70" s="516"/>
      <c r="N70" s="516"/>
      <c r="O70" s="516"/>
      <c r="P70" s="516"/>
      <c r="Q70" s="516"/>
      <c r="S70" s="516"/>
    </row>
    <row r="71" spans="1:38" s="528" customFormat="1" ht="12">
      <c r="A71" s="533"/>
      <c r="B71" s="534"/>
      <c r="C71" s="507" t="s">
        <v>237</v>
      </c>
      <c r="E71" s="535"/>
      <c r="F71" s="535">
        <f t="shared" ref="F71:K73" si="28">+(F104/E104)-1</f>
        <v>0.36924052863093149</v>
      </c>
      <c r="G71" s="535">
        <f t="shared" si="28"/>
        <v>0.57589108830818381</v>
      </c>
      <c r="H71" s="535">
        <f t="shared" si="28"/>
        <v>0.10830655954183954</v>
      </c>
      <c r="I71" s="535">
        <f t="shared" si="28"/>
        <v>0.18419421472551667</v>
      </c>
      <c r="J71" s="535">
        <f t="shared" si="28"/>
        <v>-0.13683046902932627</v>
      </c>
      <c r="K71" s="536">
        <f t="shared" si="28"/>
        <v>-0.34465058913241375</v>
      </c>
      <c r="L71" s="536">
        <f>+(L104/K104)-1</f>
        <v>0.46957493744292123</v>
      </c>
      <c r="M71" s="536">
        <f>+(M104/J104)-1</f>
        <v>-8.6614014696584474E-2</v>
      </c>
      <c r="N71" s="536"/>
      <c r="O71" s="536">
        <f>+(O104/L104)-1</f>
        <v>-0.10935226808632348</v>
      </c>
      <c r="P71" s="536"/>
      <c r="Q71" s="537"/>
      <c r="R71" s="537">
        <f>+R104/O104</f>
        <v>1.1695168461410483</v>
      </c>
      <c r="S71" s="536">
        <f t="shared" ref="S71:S81" si="29">(+S104/P104)-1</f>
        <v>1.3966396411144437</v>
      </c>
      <c r="T71" s="536">
        <v>0</v>
      </c>
      <c r="U71" s="536">
        <f t="shared" ref="U71:V81" si="30">(+U104/R104)-1</f>
        <v>0.2223105002027923</v>
      </c>
      <c r="V71" s="536">
        <f t="shared" si="30"/>
        <v>0.13862616859686905</v>
      </c>
      <c r="W71" s="536">
        <f t="shared" ref="W71:W81" si="31">(+W104/S104)-1</f>
        <v>0.11898662339160637</v>
      </c>
      <c r="X71" s="536">
        <f>(+X104/W104)-1</f>
        <v>-0.22072097645661981</v>
      </c>
      <c r="Y71" s="536">
        <f>(+Y104/X104)-1</f>
        <v>0.24392270580554354</v>
      </c>
      <c r="Z71" s="536">
        <f t="shared" ref="Z71:AB86" si="32">(+Z104/X104)-1</f>
        <v>-0.13792723356989633</v>
      </c>
      <c r="AA71" s="536">
        <f>(+AA104/Z104)-1</f>
        <v>0.33388740262805894</v>
      </c>
      <c r="AB71" s="536">
        <f t="shared" si="32"/>
        <v>7.7716026796629256E-2</v>
      </c>
      <c r="AC71" s="538">
        <v>0.15</v>
      </c>
      <c r="AD71" s="538">
        <v>0.08</v>
      </c>
      <c r="AE71" s="538">
        <v>0.08</v>
      </c>
      <c r="AF71" s="538">
        <v>0.08</v>
      </c>
      <c r="AG71" s="538">
        <v>0.08</v>
      </c>
      <c r="AH71" s="538">
        <v>5.0000000000000044E-2</v>
      </c>
      <c r="AI71" s="538">
        <v>5.0000000000000044E-2</v>
      </c>
      <c r="AJ71" s="538">
        <v>5.0000000000000044E-2</v>
      </c>
      <c r="AK71" s="538">
        <v>5.0000000000000044E-2</v>
      </c>
      <c r="AL71" s="538">
        <v>5.0000000000000044E-2</v>
      </c>
    </row>
    <row r="72" spans="1:38" s="528" customFormat="1" ht="12">
      <c r="A72" s="533"/>
      <c r="B72" s="534"/>
      <c r="C72" s="507" t="s">
        <v>238</v>
      </c>
      <c r="E72" s="535"/>
      <c r="F72" s="535">
        <f t="shared" si="28"/>
        <v>0.17008426477245031</v>
      </c>
      <c r="G72" s="535">
        <f t="shared" si="28"/>
        <v>0.26518131214912666</v>
      </c>
      <c r="H72" s="535">
        <f t="shared" si="28"/>
        <v>0.47696230316518684</v>
      </c>
      <c r="I72" s="535">
        <f t="shared" si="28"/>
        <v>0.39642197465740581</v>
      </c>
      <c r="J72" s="535">
        <f t="shared" si="28"/>
        <v>-0.27850108912584814</v>
      </c>
      <c r="K72" s="536">
        <f t="shared" si="28"/>
        <v>-0.47200265070695435</v>
      </c>
      <c r="L72" s="536">
        <f>+(L105/K105)-1</f>
        <v>0.40604782280977392</v>
      </c>
      <c r="M72" s="536">
        <f>+(M105/J105)-1</f>
        <v>-0.26849264952124718</v>
      </c>
      <c r="N72" s="536"/>
      <c r="O72" s="536">
        <f>+(O105/L105)-1</f>
        <v>0.53683433815231973</v>
      </c>
      <c r="P72" s="536"/>
      <c r="Q72" s="537"/>
      <c r="R72" s="537">
        <f>+R105/O105</f>
        <v>1.2920890387158035</v>
      </c>
      <c r="S72" s="536">
        <f t="shared" si="29"/>
        <v>1.1926528637835383</v>
      </c>
      <c r="T72" s="536">
        <f t="shared" ref="T72:T81" si="33">+T105/Q105</f>
        <v>0</v>
      </c>
      <c r="U72" s="536">
        <f t="shared" si="30"/>
        <v>7.2229326764895019E-2</v>
      </c>
      <c r="V72" s="536">
        <f t="shared" si="30"/>
        <v>5.9803404463324217E-2</v>
      </c>
      <c r="W72" s="536">
        <f t="shared" si="31"/>
        <v>-0.12830874954819849</v>
      </c>
      <c r="X72" s="536">
        <f t="shared" ref="X72:Y78" si="34">(+X105/W105)-1</f>
        <v>-8.9097307928163172E-2</v>
      </c>
      <c r="Y72" s="536">
        <f t="shared" si="34"/>
        <v>2.1929473318918369E-2</v>
      </c>
      <c r="Z72" s="536">
        <f t="shared" si="32"/>
        <v>-0.29696217399428737</v>
      </c>
      <c r="AA72" s="536">
        <f t="shared" ref="AA72:AA95" si="35">(+AA105/Z105)-1</f>
        <v>0.1107398477398287</v>
      </c>
      <c r="AB72" s="536">
        <f t="shared" si="32"/>
        <v>-7.1636574335997349E-2</v>
      </c>
      <c r="AC72" s="538">
        <v>0.15</v>
      </c>
      <c r="AD72" s="538">
        <v>0.12</v>
      </c>
      <c r="AE72" s="538">
        <v>0.12</v>
      </c>
      <c r="AF72" s="538">
        <v>0.12</v>
      </c>
      <c r="AG72" s="538">
        <v>0.12</v>
      </c>
      <c r="AH72" s="538">
        <v>3.499999999999992E-2</v>
      </c>
      <c r="AI72" s="538">
        <v>3.499999999999992E-2</v>
      </c>
      <c r="AJ72" s="538">
        <v>3.499999999999992E-2</v>
      </c>
      <c r="AK72" s="538">
        <v>3.499999999999992E-2</v>
      </c>
      <c r="AL72" s="538">
        <v>3.499999999999992E-2</v>
      </c>
    </row>
    <row r="73" spans="1:38" s="528" customFormat="1" ht="12">
      <c r="A73" s="533"/>
      <c r="B73" s="532"/>
      <c r="C73" s="507" t="s">
        <v>239</v>
      </c>
      <c r="E73" s="535"/>
      <c r="F73" s="535">
        <f t="shared" si="28"/>
        <v>0.5452069987576631</v>
      </c>
      <c r="G73" s="535">
        <f t="shared" si="28"/>
        <v>7.4854673573784059E-2</v>
      </c>
      <c r="H73" s="535">
        <f t="shared" si="28"/>
        <v>5.3239691522724231E-2</v>
      </c>
      <c r="I73" s="535">
        <f t="shared" si="28"/>
        <v>-2.0545550530159384E-2</v>
      </c>
      <c r="J73" s="535">
        <f t="shared" si="28"/>
        <v>-0.12311299805823717</v>
      </c>
      <c r="K73" s="536">
        <f t="shared" si="28"/>
        <v>4.6468729086755145E-2</v>
      </c>
      <c r="L73" s="536">
        <f>+(L106/K106)-1</f>
        <v>0.39254815171259994</v>
      </c>
      <c r="M73" s="536">
        <f>+(M106/J106)-1</f>
        <v>0.35286407507189432</v>
      </c>
      <c r="N73" s="536"/>
      <c r="O73" s="536">
        <f>+(O106/L106)-1</f>
        <v>0.20073390253795353</v>
      </c>
      <c r="P73" s="536"/>
      <c r="Q73" s="537"/>
      <c r="R73" s="537">
        <f>+R106/O106</f>
        <v>1.3133614465971974</v>
      </c>
      <c r="S73" s="536">
        <f t="shared" si="29"/>
        <v>1.1396232421111328</v>
      </c>
      <c r="T73" s="536">
        <f t="shared" si="33"/>
        <v>0</v>
      </c>
      <c r="U73" s="536">
        <f t="shared" si="30"/>
        <v>1.7712614340546384E-2</v>
      </c>
      <c r="V73" s="536">
        <f t="shared" si="30"/>
        <v>-3.2755973365874325E-2</v>
      </c>
      <c r="W73" s="536">
        <f t="shared" si="31"/>
        <v>-0.34484583281079939</v>
      </c>
      <c r="X73" s="536">
        <f t="shared" si="34"/>
        <v>0.23146957482939312</v>
      </c>
      <c r="Y73" s="536">
        <f t="shared" si="34"/>
        <v>-0.11619961037014837</v>
      </c>
      <c r="Z73" s="536">
        <f t="shared" si="32"/>
        <v>-0.40164843398771166</v>
      </c>
      <c r="AA73" s="536">
        <f t="shared" si="35"/>
        <v>0.25225405730314576</v>
      </c>
      <c r="AB73" s="536">
        <f t="shared" si="32"/>
        <v>-7.6281652449767812E-2</v>
      </c>
      <c r="AC73" s="538">
        <v>0.18</v>
      </c>
      <c r="AD73" s="538">
        <v>0.1</v>
      </c>
      <c r="AE73" s="538">
        <v>0.1</v>
      </c>
      <c r="AF73" s="538">
        <v>0.1</v>
      </c>
      <c r="AG73" s="538">
        <v>0.1</v>
      </c>
      <c r="AH73" s="538">
        <v>6.0000000000000053E-2</v>
      </c>
      <c r="AI73" s="538">
        <v>6.0000000000000053E-2</v>
      </c>
      <c r="AJ73" s="538">
        <v>6.0000000000000053E-2</v>
      </c>
      <c r="AK73" s="538">
        <v>6.0000000000000053E-2</v>
      </c>
      <c r="AL73" s="538">
        <v>6.0000000000000053E-2</v>
      </c>
    </row>
    <row r="74" spans="1:38" s="528" customFormat="1" ht="12">
      <c r="A74" s="533"/>
      <c r="B74" s="532"/>
      <c r="C74" s="507" t="s">
        <v>240</v>
      </c>
      <c r="E74" s="535"/>
      <c r="F74" s="535">
        <v>0</v>
      </c>
      <c r="G74" s="535">
        <v>0</v>
      </c>
      <c r="H74" s="535">
        <v>0</v>
      </c>
      <c r="I74" s="535">
        <v>0</v>
      </c>
      <c r="J74" s="535">
        <v>0</v>
      </c>
      <c r="K74" s="536">
        <f>+(K107/J107)-1</f>
        <v>-0.27381861902937099</v>
      </c>
      <c r="L74" s="536">
        <f>+(L107/K107)-1</f>
        <v>0.46584115315838348</v>
      </c>
      <c r="M74" s="536">
        <f>+(M107/J107)-1</f>
        <v>-3.196642972278485E-2</v>
      </c>
      <c r="N74" s="536"/>
      <c r="O74" s="536">
        <f>+(O107/L107)-1</f>
        <v>0.1313669885871267</v>
      </c>
      <c r="P74" s="536"/>
      <c r="Q74" s="537"/>
      <c r="R74" s="537">
        <v>-0.24784184748010107</v>
      </c>
      <c r="S74" s="536">
        <f t="shared" si="29"/>
        <v>1.9159395509930022</v>
      </c>
      <c r="T74" s="536">
        <f t="shared" si="33"/>
        <v>0</v>
      </c>
      <c r="U74" s="536">
        <f t="shared" si="30"/>
        <v>0</v>
      </c>
      <c r="V74" s="536">
        <f t="shared" si="30"/>
        <v>0.33786268801351893</v>
      </c>
      <c r="W74" s="536">
        <f t="shared" si="31"/>
        <v>4.6582434335564082E-2</v>
      </c>
      <c r="X74" s="536">
        <f t="shared" si="34"/>
        <v>0.55811335989141142</v>
      </c>
      <c r="Y74" s="536">
        <f t="shared" si="34"/>
        <v>0.63566552901023865</v>
      </c>
      <c r="Z74" s="536">
        <f t="shared" si="32"/>
        <v>-0.15222718123742018</v>
      </c>
      <c r="AA74" s="536">
        <f t="shared" si="35"/>
        <v>0.6051612903225807</v>
      </c>
      <c r="AB74" s="536">
        <f t="shared" si="32"/>
        <v>-2.9514699885832218E-2</v>
      </c>
      <c r="AC74" s="538">
        <v>0.06</v>
      </c>
      <c r="AD74" s="538">
        <v>0.06</v>
      </c>
      <c r="AE74" s="538">
        <v>0.06</v>
      </c>
      <c r="AF74" s="538">
        <v>0.06</v>
      </c>
      <c r="AG74" s="538">
        <v>0.06</v>
      </c>
      <c r="AH74" s="538">
        <v>4.0000000000000036E-2</v>
      </c>
      <c r="AI74" s="538">
        <v>4.0000000000000036E-2</v>
      </c>
      <c r="AJ74" s="538">
        <v>4.0000000000000036E-2</v>
      </c>
      <c r="AK74" s="538">
        <v>4.0000000000000036E-2</v>
      </c>
      <c r="AL74" s="538">
        <v>4.0000000000000036E-2</v>
      </c>
    </row>
    <row r="75" spans="1:38" s="528" customFormat="1" ht="12">
      <c r="A75" s="533"/>
      <c r="B75" s="532"/>
      <c r="C75" s="507" t="s">
        <v>223</v>
      </c>
      <c r="E75" s="535"/>
      <c r="F75" s="535">
        <v>0</v>
      </c>
      <c r="G75" s="535">
        <v>0</v>
      </c>
      <c r="H75" s="535">
        <v>0</v>
      </c>
      <c r="I75" s="535">
        <v>0</v>
      </c>
      <c r="J75" s="535">
        <v>0</v>
      </c>
      <c r="K75" s="536">
        <v>0</v>
      </c>
      <c r="L75" s="536">
        <v>0</v>
      </c>
      <c r="M75" s="536">
        <v>0</v>
      </c>
      <c r="N75" s="536"/>
      <c r="O75" s="536">
        <v>0</v>
      </c>
      <c r="P75" s="536"/>
      <c r="Q75" s="537"/>
      <c r="R75" s="537">
        <v>0</v>
      </c>
      <c r="S75" s="536" t="e">
        <f t="shared" si="29"/>
        <v>#DIV/0!</v>
      </c>
      <c r="T75" s="536" t="e">
        <f t="shared" si="33"/>
        <v>#DIV/0!</v>
      </c>
      <c r="U75" s="536" t="e">
        <f t="shared" si="30"/>
        <v>#DIV/0!</v>
      </c>
      <c r="V75" s="536">
        <f t="shared" si="30"/>
        <v>2.6257216758486246</v>
      </c>
      <c r="W75" s="536">
        <f t="shared" si="31"/>
        <v>4.8970385770361968</v>
      </c>
      <c r="X75" s="536">
        <f t="shared" si="34"/>
        <v>-0.3138411191671896</v>
      </c>
      <c r="Y75" s="536">
        <f t="shared" si="34"/>
        <v>0.43100358422939067</v>
      </c>
      <c r="Z75" s="536">
        <f t="shared" si="32"/>
        <v>0.67741935483870974</v>
      </c>
      <c r="AA75" s="536">
        <f t="shared" si="35"/>
        <v>0.2483974358974359</v>
      </c>
      <c r="AB75" s="536">
        <f t="shared" si="32"/>
        <v>1.0992575149506241</v>
      </c>
      <c r="AC75" s="538">
        <v>0.21</v>
      </c>
      <c r="AD75" s="538">
        <v>0.19999999999999996</v>
      </c>
      <c r="AE75" s="538">
        <v>0.19999999999999996</v>
      </c>
      <c r="AF75" s="538">
        <v>0.19999999999999996</v>
      </c>
      <c r="AG75" s="538">
        <v>0.19999999999999996</v>
      </c>
      <c r="AH75" s="538">
        <v>0.19999999999999996</v>
      </c>
      <c r="AI75" s="538">
        <v>0.19999999999999996</v>
      </c>
      <c r="AJ75" s="538">
        <v>0.19999999999999996</v>
      </c>
      <c r="AK75" s="538">
        <v>0.19999999999999996</v>
      </c>
      <c r="AL75" s="538">
        <v>0.19999999999999996</v>
      </c>
    </row>
    <row r="76" spans="1:38" s="528" customFormat="1" ht="12">
      <c r="A76" s="533"/>
      <c r="B76" s="532"/>
      <c r="C76" s="507" t="s">
        <v>224</v>
      </c>
      <c r="E76" s="535"/>
      <c r="F76" s="535">
        <v>0</v>
      </c>
      <c r="G76" s="535">
        <v>0</v>
      </c>
      <c r="H76" s="535">
        <v>0</v>
      </c>
      <c r="I76" s="535">
        <v>0</v>
      </c>
      <c r="J76" s="535">
        <v>0</v>
      </c>
      <c r="K76" s="536">
        <v>0</v>
      </c>
      <c r="L76" s="536">
        <v>0</v>
      </c>
      <c r="M76" s="536">
        <v>0</v>
      </c>
      <c r="N76" s="536"/>
      <c r="O76" s="536">
        <f>+(O109/L109)-1</f>
        <v>-0.92232234713623618</v>
      </c>
      <c r="P76" s="536"/>
      <c r="Q76" s="537"/>
      <c r="R76" s="537">
        <v>17.922721066780749</v>
      </c>
      <c r="S76" s="536" t="e">
        <f t="shared" si="29"/>
        <v>#DIV/0!</v>
      </c>
      <c r="T76" s="536" t="e">
        <f t="shared" si="33"/>
        <v>#DIV/0!</v>
      </c>
      <c r="U76" s="536" t="e">
        <f t="shared" si="30"/>
        <v>#DIV/0!</v>
      </c>
      <c r="V76" s="536">
        <f t="shared" si="30"/>
        <v>3.3683404711860048</v>
      </c>
      <c r="W76" s="536">
        <f t="shared" si="31"/>
        <v>2.1509662626906265</v>
      </c>
      <c r="X76" s="536">
        <f t="shared" si="34"/>
        <v>-0.40534849210326618</v>
      </c>
      <c r="Y76" s="536">
        <f t="shared" si="34"/>
        <v>2.7404414050357477</v>
      </c>
      <c r="Z76" s="536">
        <f t="shared" si="32"/>
        <v>-0.11936586882188371</v>
      </c>
      <c r="AA76" s="536">
        <f t="shared" si="35"/>
        <v>0.21002470878926927</v>
      </c>
      <c r="AB76" s="536">
        <f t="shared" si="32"/>
        <v>-0.28067894064844334</v>
      </c>
      <c r="AC76" s="538">
        <v>0.12</v>
      </c>
      <c r="AD76" s="538">
        <v>0.1</v>
      </c>
      <c r="AE76" s="538">
        <v>0.15</v>
      </c>
      <c r="AF76" s="538">
        <v>0.15</v>
      </c>
      <c r="AG76" s="538">
        <v>0.15</v>
      </c>
      <c r="AH76" s="538">
        <v>0.10000000000000009</v>
      </c>
      <c r="AI76" s="538">
        <v>0.10000000000000009</v>
      </c>
      <c r="AJ76" s="538">
        <v>0.10000000000000009</v>
      </c>
      <c r="AK76" s="538">
        <v>0.10000000000000009</v>
      </c>
      <c r="AL76" s="538">
        <v>0.10000000000000009</v>
      </c>
    </row>
    <row r="77" spans="1:38" s="528" customFormat="1" ht="12">
      <c r="A77" s="533"/>
      <c r="B77" s="532"/>
      <c r="C77" s="507" t="s">
        <v>241</v>
      </c>
      <c r="E77" s="535"/>
      <c r="F77" s="535">
        <v>0</v>
      </c>
      <c r="G77" s="535">
        <v>0</v>
      </c>
      <c r="H77" s="535">
        <v>0</v>
      </c>
      <c r="I77" s="535">
        <v>0</v>
      </c>
      <c r="J77" s="535">
        <v>0</v>
      </c>
      <c r="K77" s="536">
        <f>+(K110/J110)-1</f>
        <v>1.9040049863598529E-2</v>
      </c>
      <c r="L77" s="536">
        <f>+(L110/K110)-1</f>
        <v>0.52414714935036977</v>
      </c>
      <c r="M77" s="536">
        <f>+(M110/J110)-1</f>
        <v>0.62002440100319389</v>
      </c>
      <c r="N77" s="536"/>
      <c r="O77" s="536">
        <f>+(O110/L110)-1</f>
        <v>0.21943823358797054</v>
      </c>
      <c r="P77" s="536"/>
      <c r="Q77" s="537"/>
      <c r="R77" s="537">
        <v>2.5928697432106906E-2</v>
      </c>
      <c r="S77" s="536">
        <f t="shared" si="29"/>
        <v>2.3617028870578478</v>
      </c>
      <c r="T77" s="536">
        <f t="shared" si="33"/>
        <v>0</v>
      </c>
      <c r="U77" s="536">
        <f t="shared" si="30"/>
        <v>0.20937263794406658</v>
      </c>
      <c r="V77" s="536">
        <f t="shared" si="30"/>
        <v>8.1466951764298745E-2</v>
      </c>
      <c r="W77" s="536">
        <f t="shared" si="31"/>
        <v>0.50209580201043602</v>
      </c>
      <c r="X77" s="536">
        <f t="shared" si="34"/>
        <v>0.51491113072509953</v>
      </c>
      <c r="Y77" s="536">
        <f t="shared" si="34"/>
        <v>-0.10889324541080025</v>
      </c>
      <c r="Z77" s="536">
        <f t="shared" si="32"/>
        <v>-0.27487673023228187</v>
      </c>
      <c r="AA77" s="536">
        <f t="shared" si="35"/>
        <v>7.0539079141405781E-2</v>
      </c>
      <c r="AB77" s="536">
        <f t="shared" si="32"/>
        <v>0.21755381640200722</v>
      </c>
      <c r="AC77" s="538">
        <v>0.13</v>
      </c>
      <c r="AD77" s="538">
        <v>0.13</v>
      </c>
      <c r="AE77" s="538">
        <v>0.13</v>
      </c>
      <c r="AF77" s="538">
        <v>0.13</v>
      </c>
      <c r="AG77" s="538">
        <v>0.13</v>
      </c>
      <c r="AH77" s="538">
        <v>4.9954110397272933E-2</v>
      </c>
      <c r="AI77" s="538">
        <v>4.9954110397272933E-2</v>
      </c>
      <c r="AJ77" s="538">
        <v>4.9954110397272933E-2</v>
      </c>
      <c r="AK77" s="538">
        <v>4.9954110397272933E-2</v>
      </c>
      <c r="AL77" s="538">
        <v>4.9954110397272933E-2</v>
      </c>
    </row>
    <row r="78" spans="1:38" s="528" customFormat="1" ht="12">
      <c r="A78" s="533"/>
      <c r="B78" s="532"/>
      <c r="C78" s="507" t="s">
        <v>225</v>
      </c>
      <c r="E78" s="535"/>
      <c r="F78" s="535"/>
      <c r="G78" s="535"/>
      <c r="H78" s="535"/>
      <c r="I78" s="535"/>
      <c r="J78" s="535"/>
      <c r="K78" s="536">
        <v>0</v>
      </c>
      <c r="L78" s="536">
        <v>0</v>
      </c>
      <c r="M78" s="536">
        <v>0</v>
      </c>
      <c r="N78" s="536"/>
      <c r="O78" s="536">
        <v>0</v>
      </c>
      <c r="P78" s="536"/>
      <c r="Q78" s="537"/>
      <c r="R78" s="537">
        <v>0</v>
      </c>
      <c r="S78" s="536" t="e">
        <f t="shared" si="29"/>
        <v>#DIV/0!</v>
      </c>
      <c r="T78" s="536" t="e">
        <f t="shared" si="33"/>
        <v>#DIV/0!</v>
      </c>
      <c r="U78" s="536" t="e">
        <f t="shared" si="30"/>
        <v>#DIV/0!</v>
      </c>
      <c r="V78" s="536" t="e">
        <f t="shared" si="30"/>
        <v>#DIV/0!</v>
      </c>
      <c r="W78" s="536" t="e">
        <f t="shared" si="31"/>
        <v>#DIV/0!</v>
      </c>
      <c r="X78" s="536"/>
      <c r="Y78" s="536">
        <f t="shared" si="34"/>
        <v>-0.24980137970556437</v>
      </c>
      <c r="Z78" s="536">
        <f t="shared" si="32"/>
        <v>-0.10045628399880169</v>
      </c>
      <c r="AA78" s="536">
        <f t="shared" si="35"/>
        <v>4.0733590733590734</v>
      </c>
      <c r="AB78" s="536">
        <f t="shared" si="32"/>
        <v>2.3598647172439553</v>
      </c>
      <c r="AC78" s="538">
        <v>0.35</v>
      </c>
      <c r="AD78" s="538">
        <v>0.3</v>
      </c>
      <c r="AE78" s="538">
        <v>0.3</v>
      </c>
      <c r="AF78" s="538">
        <v>0.3</v>
      </c>
      <c r="AG78" s="538">
        <v>0.3</v>
      </c>
      <c r="AH78" s="538">
        <v>0.2</v>
      </c>
      <c r="AI78" s="538">
        <v>0.2</v>
      </c>
      <c r="AJ78" s="538">
        <v>0.2</v>
      </c>
      <c r="AK78" s="538">
        <v>0.2</v>
      </c>
      <c r="AL78" s="538">
        <v>0.2</v>
      </c>
    </row>
    <row r="79" spans="1:38" s="528" customFormat="1" ht="12">
      <c r="A79" s="533"/>
      <c r="B79" s="532"/>
      <c r="C79" s="507" t="s">
        <v>226</v>
      </c>
      <c r="E79" s="535"/>
      <c r="F79" s="535"/>
      <c r="G79" s="535"/>
      <c r="H79" s="535"/>
      <c r="I79" s="535"/>
      <c r="J79" s="535"/>
      <c r="K79" s="536">
        <v>0</v>
      </c>
      <c r="L79" s="536">
        <v>0</v>
      </c>
      <c r="M79" s="536">
        <v>0</v>
      </c>
      <c r="N79" s="536"/>
      <c r="O79" s="536">
        <v>0</v>
      </c>
      <c r="P79" s="536"/>
      <c r="Q79" s="537"/>
      <c r="R79" s="537">
        <v>0</v>
      </c>
      <c r="S79" s="536" t="e">
        <f t="shared" si="29"/>
        <v>#DIV/0!</v>
      </c>
      <c r="T79" s="536" t="e">
        <f t="shared" si="33"/>
        <v>#DIV/0!</v>
      </c>
      <c r="U79" s="536" t="e">
        <f t="shared" si="30"/>
        <v>#DIV/0!</v>
      </c>
      <c r="V79" s="536" t="e">
        <f t="shared" si="30"/>
        <v>#DIV/0!</v>
      </c>
      <c r="W79" s="536" t="e">
        <f t="shared" si="31"/>
        <v>#DIV/0!</v>
      </c>
      <c r="X79" s="536"/>
      <c r="Y79" s="536"/>
      <c r="Z79" s="536"/>
      <c r="AA79" s="536"/>
      <c r="AB79" s="536"/>
      <c r="AC79" s="538"/>
      <c r="AD79" s="538"/>
      <c r="AE79" s="538"/>
      <c r="AF79" s="538"/>
      <c r="AG79" s="538"/>
      <c r="AH79" s="538">
        <v>0</v>
      </c>
      <c r="AI79" s="538">
        <v>0</v>
      </c>
      <c r="AJ79" s="538">
        <v>0</v>
      </c>
      <c r="AK79" s="538">
        <v>0</v>
      </c>
      <c r="AL79" s="538">
        <v>0</v>
      </c>
    </row>
    <row r="80" spans="1:38" s="528" customFormat="1" ht="12">
      <c r="A80" s="533"/>
      <c r="B80" s="532"/>
      <c r="C80" s="533" t="s">
        <v>242</v>
      </c>
      <c r="E80" s="535"/>
      <c r="F80" s="535"/>
      <c r="G80" s="535"/>
      <c r="H80" s="535"/>
      <c r="I80" s="535"/>
      <c r="J80" s="535"/>
      <c r="K80" s="536">
        <v>0</v>
      </c>
      <c r="L80" s="536">
        <v>0</v>
      </c>
      <c r="M80" s="536">
        <v>0</v>
      </c>
      <c r="N80" s="536"/>
      <c r="O80" s="536">
        <f>+(O113/L113)-1</f>
        <v>-0.16783089134084139</v>
      </c>
      <c r="P80" s="536"/>
      <c r="Q80" s="537"/>
      <c r="R80" s="537">
        <v>0.17510194009330293</v>
      </c>
      <c r="S80" s="536" t="e">
        <f t="shared" si="29"/>
        <v>#DIV/0!</v>
      </c>
      <c r="T80" s="536">
        <f t="shared" si="33"/>
        <v>0</v>
      </c>
      <c r="U80" s="536">
        <f t="shared" si="30"/>
        <v>-1</v>
      </c>
      <c r="V80" s="536">
        <f t="shared" si="30"/>
        <v>-1</v>
      </c>
      <c r="W80" s="536">
        <f t="shared" si="31"/>
        <v>-1</v>
      </c>
      <c r="X80" s="536"/>
      <c r="Y80" s="536"/>
      <c r="Z80" s="536"/>
      <c r="AA80" s="536"/>
      <c r="AB80" s="536"/>
      <c r="AC80" s="538"/>
      <c r="AD80" s="538"/>
      <c r="AE80" s="538"/>
      <c r="AF80" s="538"/>
      <c r="AG80" s="538"/>
      <c r="AH80" s="538">
        <v>0</v>
      </c>
      <c r="AI80" s="538">
        <v>0</v>
      </c>
      <c r="AJ80" s="538">
        <v>0</v>
      </c>
      <c r="AK80" s="538">
        <v>0</v>
      </c>
      <c r="AL80" s="538">
        <v>0</v>
      </c>
    </row>
    <row r="81" spans="1:38" s="528" customFormat="1" ht="12">
      <c r="A81" s="533"/>
      <c r="B81" s="539"/>
      <c r="C81" s="507" t="s">
        <v>243</v>
      </c>
      <c r="E81" s="535"/>
      <c r="F81" s="535">
        <v>0</v>
      </c>
      <c r="G81" s="535">
        <v>0</v>
      </c>
      <c r="H81" s="535">
        <v>0</v>
      </c>
      <c r="I81" s="535">
        <v>0</v>
      </c>
      <c r="J81" s="535">
        <v>0</v>
      </c>
      <c r="K81" s="536">
        <v>0</v>
      </c>
      <c r="L81" s="536">
        <v>0</v>
      </c>
      <c r="M81" s="536">
        <v>0</v>
      </c>
      <c r="N81" s="536"/>
      <c r="O81" s="536">
        <f>+(O114/L114)-1</f>
        <v>0.93989683780718392</v>
      </c>
      <c r="P81" s="536"/>
      <c r="Q81" s="537"/>
      <c r="R81" s="537">
        <f>+R114/O114</f>
        <v>1.0103262073903341</v>
      </c>
      <c r="S81" s="536">
        <f t="shared" si="29"/>
        <v>0.95945703202053312</v>
      </c>
      <c r="T81" s="536">
        <f t="shared" si="33"/>
        <v>0</v>
      </c>
      <c r="U81" s="536">
        <f t="shared" si="30"/>
        <v>-3.703703703703709E-2</v>
      </c>
      <c r="V81" s="536">
        <f t="shared" si="30"/>
        <v>-5.7087290737369623E-2</v>
      </c>
      <c r="W81" s="536">
        <f t="shared" si="31"/>
        <v>-0.16607458155495947</v>
      </c>
      <c r="X81" s="536">
        <f t="shared" ref="X81:Y95" si="36">(+X114/W114)-1</f>
        <v>7.2243818920563196E-2</v>
      </c>
      <c r="Y81" s="536">
        <f t="shared" si="36"/>
        <v>0.13562621674237518</v>
      </c>
      <c r="Z81" s="536">
        <f t="shared" si="32"/>
        <v>0.15996106424399748</v>
      </c>
      <c r="AA81" s="536">
        <f t="shared" si="35"/>
        <v>-1</v>
      </c>
      <c r="AB81" s="536">
        <v>0</v>
      </c>
      <c r="AC81" s="538"/>
      <c r="AD81" s="538"/>
      <c r="AE81" s="538"/>
      <c r="AF81" s="538"/>
      <c r="AG81" s="538"/>
      <c r="AH81" s="538"/>
      <c r="AI81" s="538"/>
      <c r="AJ81" s="538"/>
      <c r="AK81" s="538"/>
      <c r="AL81" s="538"/>
    </row>
    <row r="82" spans="1:38" s="528" customFormat="1" ht="12">
      <c r="A82" s="533"/>
      <c r="B82" s="539"/>
      <c r="C82" s="507" t="s">
        <v>244</v>
      </c>
      <c r="E82" s="535"/>
      <c r="F82" s="535"/>
      <c r="G82" s="535"/>
      <c r="H82" s="535"/>
      <c r="I82" s="535"/>
      <c r="J82" s="535"/>
      <c r="K82" s="536"/>
      <c r="L82" s="536"/>
      <c r="M82" s="536"/>
      <c r="N82" s="536"/>
      <c r="O82" s="536"/>
      <c r="P82" s="536"/>
      <c r="Q82" s="537"/>
      <c r="R82" s="537"/>
      <c r="S82" s="536"/>
      <c r="T82" s="536"/>
      <c r="U82" s="536"/>
      <c r="V82" s="536"/>
      <c r="W82" s="536"/>
      <c r="X82" s="536"/>
      <c r="Y82" s="536"/>
      <c r="Z82" s="536"/>
      <c r="AA82" s="536"/>
      <c r="AB82" s="536"/>
      <c r="AC82" s="538"/>
      <c r="AD82" s="538"/>
      <c r="AE82" s="538"/>
      <c r="AF82" s="538"/>
      <c r="AG82" s="538"/>
      <c r="AH82" s="538">
        <v>0</v>
      </c>
      <c r="AI82" s="538">
        <v>0</v>
      </c>
      <c r="AJ82" s="538">
        <v>0</v>
      </c>
      <c r="AK82" s="538">
        <v>0</v>
      </c>
      <c r="AL82" s="538">
        <v>0</v>
      </c>
    </row>
    <row r="83" spans="1:38" s="528" customFormat="1" ht="12">
      <c r="A83" s="533"/>
      <c r="B83" s="539"/>
      <c r="C83" s="507" t="s">
        <v>245</v>
      </c>
      <c r="E83" s="535"/>
      <c r="F83" s="535">
        <v>0</v>
      </c>
      <c r="G83" s="535">
        <v>0</v>
      </c>
      <c r="H83" s="535">
        <v>0</v>
      </c>
      <c r="I83" s="535">
        <v>0</v>
      </c>
      <c r="J83" s="535">
        <v>0</v>
      </c>
      <c r="K83" s="536">
        <v>0</v>
      </c>
      <c r="L83" s="536">
        <v>0</v>
      </c>
      <c r="M83" s="536">
        <v>0</v>
      </c>
      <c r="N83" s="536"/>
      <c r="O83" s="536">
        <v>0</v>
      </c>
      <c r="P83" s="536"/>
      <c r="Q83" s="537"/>
      <c r="R83" s="537">
        <v>0</v>
      </c>
      <c r="S83" s="536" t="e">
        <f t="shared" ref="S83:S90" si="37">(+S116/P116)-1</f>
        <v>#DIV/0!</v>
      </c>
      <c r="T83" s="536" t="e">
        <f t="shared" ref="T83:T90" si="38">+T116/Q116</f>
        <v>#DIV/0!</v>
      </c>
      <c r="U83" s="536" t="e">
        <f t="shared" ref="U83:V90" si="39">(+U116/R116)-1</f>
        <v>#DIV/0!</v>
      </c>
      <c r="V83" s="536"/>
      <c r="W83" s="536"/>
      <c r="X83" s="536"/>
      <c r="Y83" s="536"/>
      <c r="Z83" s="536"/>
      <c r="AA83" s="536"/>
      <c r="AB83" s="536"/>
      <c r="AC83" s="538"/>
      <c r="AD83" s="538"/>
      <c r="AE83" s="538"/>
      <c r="AF83" s="538"/>
      <c r="AG83" s="538"/>
      <c r="AH83" s="538">
        <v>0.19999999999999996</v>
      </c>
      <c r="AI83" s="538">
        <v>0.19999999999999996</v>
      </c>
      <c r="AJ83" s="538">
        <v>0.19999999999999996</v>
      </c>
      <c r="AK83" s="538">
        <v>0.19999999999999996</v>
      </c>
      <c r="AL83" s="538">
        <v>0.19999999999999996</v>
      </c>
    </row>
    <row r="84" spans="1:38" s="528" customFormat="1" ht="12">
      <c r="A84" s="533"/>
      <c r="B84" s="539"/>
      <c r="C84" s="507" t="s">
        <v>246</v>
      </c>
      <c r="E84" s="535"/>
      <c r="F84" s="535">
        <f>+(F117/E117)-1</f>
        <v>0.34048031880570884</v>
      </c>
      <c r="G84" s="535">
        <f>+(G117/F117)-1</f>
        <v>0.74396691302312945</v>
      </c>
      <c r="H84" s="535">
        <f t="shared" ref="H84:K85" si="40">+(H117/G117)-1</f>
        <v>-0.12100983761797912</v>
      </c>
      <c r="I84" s="535">
        <f t="shared" si="40"/>
        <v>0.28862965174027178</v>
      </c>
      <c r="J84" s="535">
        <f t="shared" si="40"/>
        <v>0.12530069834901214</v>
      </c>
      <c r="K84" s="536">
        <f t="shared" si="40"/>
        <v>-0.14344573277183992</v>
      </c>
      <c r="L84" s="536">
        <f>+(L117/K117)-1</f>
        <v>0.31800126301475395</v>
      </c>
      <c r="M84" s="536">
        <f>+(M117/J117)-1</f>
        <v>0.14439054118639483</v>
      </c>
      <c r="N84" s="536"/>
      <c r="O84" s="536">
        <f>+(O117/L117)-1</f>
        <v>0.1825786561180307</v>
      </c>
      <c r="P84" s="536"/>
      <c r="Q84" s="537"/>
      <c r="R84" s="537">
        <f>+R117/O117</f>
        <v>0.92731000085222159</v>
      </c>
      <c r="S84" s="536">
        <f t="shared" si="37"/>
        <v>1.0548697232673279</v>
      </c>
      <c r="T84" s="536">
        <f t="shared" si="38"/>
        <v>0</v>
      </c>
      <c r="U84" s="536">
        <f t="shared" si="39"/>
        <v>0.1383471199817865</v>
      </c>
      <c r="V84" s="536">
        <f t="shared" si="39"/>
        <v>0.12353147170437406</v>
      </c>
      <c r="W84" s="536">
        <f t="shared" ref="W84:W90" si="41">(+W117/S117)-1</f>
        <v>2.709502038308198E-2</v>
      </c>
      <c r="X84" s="536">
        <f t="shared" si="36"/>
        <v>-0.12145852324521422</v>
      </c>
      <c r="Y84" s="536">
        <f t="shared" si="36"/>
        <v>0.3018593840790238</v>
      </c>
      <c r="Z84" s="536">
        <f t="shared" si="32"/>
        <v>0.13443180874906613</v>
      </c>
      <c r="AA84" s="536">
        <f t="shared" si="35"/>
        <v>0.27764972743570038</v>
      </c>
      <c r="AB84" s="536">
        <f t="shared" si="32"/>
        <v>6.5904364687374262E-2</v>
      </c>
      <c r="AC84" s="538">
        <v>0.15</v>
      </c>
      <c r="AD84" s="538">
        <v>0.12</v>
      </c>
      <c r="AE84" s="538">
        <v>0.12</v>
      </c>
      <c r="AF84" s="538">
        <v>0.12</v>
      </c>
      <c r="AG84" s="538">
        <v>0.12</v>
      </c>
      <c r="AH84" s="538">
        <v>0.12</v>
      </c>
      <c r="AI84" s="538">
        <v>0.12</v>
      </c>
      <c r="AJ84" s="538">
        <v>0.12</v>
      </c>
      <c r="AK84" s="538">
        <v>0.12</v>
      </c>
      <c r="AL84" s="538">
        <v>0.12</v>
      </c>
    </row>
    <row r="85" spans="1:38" s="528" customFormat="1" ht="12">
      <c r="A85" s="533"/>
      <c r="B85" s="539"/>
      <c r="C85" s="507" t="s">
        <v>247</v>
      </c>
      <c r="E85" s="535"/>
      <c r="F85" s="535">
        <f>+(F118/E118)-1</f>
        <v>0.27111564347160688</v>
      </c>
      <c r="G85" s="535">
        <f>+(G118/F118)-1</f>
        <v>-0.10963837084156458</v>
      </c>
      <c r="H85" s="535">
        <f t="shared" si="40"/>
        <v>0.2196536968275391</v>
      </c>
      <c r="I85" s="535">
        <f t="shared" si="40"/>
        <v>-0.33314216734611779</v>
      </c>
      <c r="J85" s="535">
        <f t="shared" si="40"/>
        <v>-0.42711904737752016</v>
      </c>
      <c r="K85" s="536">
        <f t="shared" si="40"/>
        <v>0.24376944563632308</v>
      </c>
      <c r="L85" s="536">
        <f>+(L118/K118)-1</f>
        <v>0.58507870585947686</v>
      </c>
      <c r="M85" s="536">
        <f>+(M118/J118)-1</f>
        <v>0.75513600757021426</v>
      </c>
      <c r="N85" s="536"/>
      <c r="O85" s="536">
        <f>+(O118/L118)-1</f>
        <v>0.22841028388532458</v>
      </c>
      <c r="P85" s="536"/>
      <c r="Q85" s="537"/>
      <c r="R85" s="537">
        <f>+R118/O118</f>
        <v>1.1396708481464071</v>
      </c>
      <c r="S85" s="536">
        <f t="shared" si="37"/>
        <v>1.0073252498658953</v>
      </c>
      <c r="T85" s="536">
        <f t="shared" si="38"/>
        <v>0</v>
      </c>
      <c r="U85" s="536">
        <f t="shared" si="39"/>
        <v>0.21390386815136431</v>
      </c>
      <c r="V85" s="536">
        <f t="shared" si="39"/>
        <v>0.12127093033599468</v>
      </c>
      <c r="W85" s="536">
        <f t="shared" si="41"/>
        <v>-8.0145060354916198E-2</v>
      </c>
      <c r="X85" s="536">
        <f t="shared" si="36"/>
        <v>8.2136134192905441E-2</v>
      </c>
      <c r="Y85" s="536">
        <f t="shared" si="36"/>
        <v>-5.2473481648361964E-2</v>
      </c>
      <c r="Z85" s="536">
        <f t="shared" si="32"/>
        <v>0.20219656434807098</v>
      </c>
      <c r="AA85" s="536">
        <f t="shared" si="35"/>
        <v>0.15038650737877712</v>
      </c>
      <c r="AB85" s="536">
        <f t="shared" si="32"/>
        <v>-0.28414947257145495</v>
      </c>
      <c r="AC85" s="538">
        <v>0.15</v>
      </c>
      <c r="AD85" s="538">
        <v>0.15000000000000013</v>
      </c>
      <c r="AE85" s="538">
        <v>0.15000000000000013</v>
      </c>
      <c r="AF85" s="538">
        <v>0.14999999999999991</v>
      </c>
      <c r="AG85" s="538">
        <v>0.14999999999999991</v>
      </c>
      <c r="AH85" s="538">
        <v>0.14999999999999991</v>
      </c>
      <c r="AI85" s="538">
        <v>0.14999999999999991</v>
      </c>
      <c r="AJ85" s="538">
        <v>0.14999999999999991</v>
      </c>
      <c r="AK85" s="538">
        <v>0.14999999999999991</v>
      </c>
      <c r="AL85" s="538">
        <v>0.14999999999999991</v>
      </c>
    </row>
    <row r="86" spans="1:38" s="528" customFormat="1" ht="12">
      <c r="A86" s="533"/>
      <c r="B86" s="539"/>
      <c r="C86" s="507" t="s">
        <v>248</v>
      </c>
      <c r="E86" s="535"/>
      <c r="F86" s="535">
        <v>0</v>
      </c>
      <c r="G86" s="535">
        <v>0</v>
      </c>
      <c r="H86" s="535">
        <v>0</v>
      </c>
      <c r="I86" s="535">
        <v>0</v>
      </c>
      <c r="J86" s="535">
        <v>0</v>
      </c>
      <c r="K86" s="536">
        <v>0</v>
      </c>
      <c r="L86" s="536">
        <v>0</v>
      </c>
      <c r="M86" s="536">
        <v>0</v>
      </c>
      <c r="N86" s="536"/>
      <c r="O86" s="536">
        <v>0</v>
      </c>
      <c r="P86" s="536"/>
      <c r="Q86" s="537"/>
      <c r="R86" s="537">
        <v>0</v>
      </c>
      <c r="S86" s="536" t="e">
        <f t="shared" si="37"/>
        <v>#DIV/0!</v>
      </c>
      <c r="T86" s="536" t="e">
        <f t="shared" si="38"/>
        <v>#DIV/0!</v>
      </c>
      <c r="U86" s="536" t="e">
        <f t="shared" si="39"/>
        <v>#DIV/0!</v>
      </c>
      <c r="V86" s="536"/>
      <c r="W86" s="536"/>
      <c r="X86" s="536"/>
      <c r="Y86" s="536">
        <f t="shared" si="36"/>
        <v>3.9531339368320655</v>
      </c>
      <c r="Z86" s="536">
        <f t="shared" si="32"/>
        <v>1.658610722198302</v>
      </c>
      <c r="AA86" s="536">
        <f t="shared" si="35"/>
        <v>0.95548028066779578</v>
      </c>
      <c r="AB86" s="536">
        <f t="shared" si="32"/>
        <v>4.9592387652008574E-2</v>
      </c>
      <c r="AC86" s="538">
        <v>0.15</v>
      </c>
      <c r="AD86" s="538">
        <v>0.15000000000000013</v>
      </c>
      <c r="AE86" s="538">
        <v>0.15000000000000013</v>
      </c>
      <c r="AF86" s="538">
        <v>0.14999999999999991</v>
      </c>
      <c r="AG86" s="538">
        <v>0.14999999999999991</v>
      </c>
      <c r="AH86" s="538">
        <v>0.10000000000000009</v>
      </c>
      <c r="AI86" s="538">
        <v>0.10000000000000009</v>
      </c>
      <c r="AJ86" s="538">
        <v>0.10000000000000009</v>
      </c>
      <c r="AK86" s="538">
        <v>0.10000000000000009</v>
      </c>
      <c r="AL86" s="538">
        <v>0.10000000000000009</v>
      </c>
    </row>
    <row r="87" spans="1:38" s="528" customFormat="1" ht="12">
      <c r="A87" s="533"/>
      <c r="B87" s="539"/>
      <c r="C87" s="533" t="s">
        <v>230</v>
      </c>
      <c r="E87" s="535"/>
      <c r="F87" s="535">
        <f t="shared" ref="F87:K87" si="42">+(F120/E120)-1</f>
        <v>0.15821499889230006</v>
      </c>
      <c r="G87" s="535">
        <f t="shared" si="42"/>
        <v>-4.0943119362058633E-2</v>
      </c>
      <c r="H87" s="535">
        <f t="shared" si="42"/>
        <v>0.14135760751377036</v>
      </c>
      <c r="I87" s="535">
        <f t="shared" si="42"/>
        <v>-0.40934687235851352</v>
      </c>
      <c r="J87" s="535">
        <f t="shared" si="42"/>
        <v>-0.39892171888773786</v>
      </c>
      <c r="K87" s="536">
        <f t="shared" si="42"/>
        <v>0.30331865944017111</v>
      </c>
      <c r="L87" s="536">
        <f>+(L120/K120)-1</f>
        <v>0.45233699921265957</v>
      </c>
      <c r="M87" s="536">
        <f>+(M120/J120)-1</f>
        <v>0.73240559682622708</v>
      </c>
      <c r="N87" s="536"/>
      <c r="O87" s="536">
        <f>+(O120/L120)-1</f>
        <v>0.38762538148151449</v>
      </c>
      <c r="P87" s="536"/>
      <c r="Q87" s="537"/>
      <c r="R87" s="537">
        <f>+R120/O120</f>
        <v>1.0212797613877005</v>
      </c>
      <c r="S87" s="536">
        <f t="shared" si="37"/>
        <v>0.71519048796094742</v>
      </c>
      <c r="T87" s="536">
        <f t="shared" si="38"/>
        <v>0</v>
      </c>
      <c r="U87" s="536">
        <f t="shared" si="39"/>
        <v>5.0005384642998196E-2</v>
      </c>
      <c r="V87" s="536">
        <f t="shared" si="39"/>
        <v>8.3748586254304369E-2</v>
      </c>
      <c r="W87" s="536">
        <f t="shared" si="41"/>
        <v>0.1176099991037145</v>
      </c>
      <c r="X87" s="536">
        <f t="shared" si="36"/>
        <v>-0.1533424601887613</v>
      </c>
      <c r="Y87" s="536">
        <f t="shared" si="36"/>
        <v>9.5953168745227746E-2</v>
      </c>
      <c r="Z87" s="536">
        <f t="shared" ref="Z87:AB95" si="43">(+Z120/X120)-1</f>
        <v>-0.32972766607279202</v>
      </c>
      <c r="AA87" s="536">
        <f t="shared" si="35"/>
        <v>0.15188912094171259</v>
      </c>
      <c r="AB87" s="536">
        <f t="shared" si="43"/>
        <v>0.1200402397007716</v>
      </c>
      <c r="AC87" s="538">
        <v>0.15</v>
      </c>
      <c r="AD87" s="538">
        <v>0.15003417634996574</v>
      </c>
      <c r="AE87" s="538">
        <v>0.15003417634996574</v>
      </c>
      <c r="AF87" s="538">
        <v>0.15003417634996574</v>
      </c>
      <c r="AG87" s="538">
        <v>0.15003417634996574</v>
      </c>
      <c r="AH87" s="538">
        <v>0.15003417634996574</v>
      </c>
      <c r="AI87" s="538">
        <v>0.15003417634996574</v>
      </c>
      <c r="AJ87" s="538">
        <v>0.15003417634996574</v>
      </c>
      <c r="AK87" s="538">
        <v>0.15003417634996574</v>
      </c>
      <c r="AL87" s="538">
        <v>0.15003417634996574</v>
      </c>
    </row>
    <row r="88" spans="1:38" s="528" customFormat="1" ht="12">
      <c r="A88" s="533"/>
      <c r="B88" s="539"/>
      <c r="C88" s="533" t="s">
        <v>249</v>
      </c>
      <c r="E88" s="535"/>
      <c r="F88" s="535"/>
      <c r="G88" s="535"/>
      <c r="H88" s="535"/>
      <c r="I88" s="535"/>
      <c r="J88" s="535"/>
      <c r="K88" s="536"/>
      <c r="L88" s="536"/>
      <c r="M88" s="536"/>
      <c r="N88" s="536"/>
      <c r="O88" s="536"/>
      <c r="P88" s="536"/>
      <c r="Q88" s="537"/>
      <c r="R88" s="537" t="e">
        <f>+R121/O121</f>
        <v>#DIV/0!</v>
      </c>
      <c r="S88" s="536" t="e">
        <f t="shared" si="37"/>
        <v>#DIV/0!</v>
      </c>
      <c r="T88" s="536" t="e">
        <f t="shared" si="38"/>
        <v>#DIV/0!</v>
      </c>
      <c r="U88" s="536" t="e">
        <f t="shared" si="39"/>
        <v>#DIV/0!</v>
      </c>
      <c r="V88" s="536"/>
      <c r="W88" s="536"/>
      <c r="X88" s="536"/>
      <c r="Y88" s="536">
        <f t="shared" si="36"/>
        <v>5.6603773584905648E-2</v>
      </c>
      <c r="Z88" s="536">
        <f t="shared" si="43"/>
        <v>-0.4694927713795638</v>
      </c>
      <c r="AA88" s="536">
        <f t="shared" si="35"/>
        <v>0.43187066974595845</v>
      </c>
      <c r="AB88" s="536">
        <f t="shared" si="43"/>
        <v>0.10654919168591226</v>
      </c>
      <c r="AC88" s="538">
        <v>0.03</v>
      </c>
      <c r="AD88" s="538">
        <v>0.03</v>
      </c>
      <c r="AE88" s="538">
        <v>0.03</v>
      </c>
      <c r="AF88" s="538">
        <v>0.03</v>
      </c>
      <c r="AG88" s="538">
        <v>0.03</v>
      </c>
      <c r="AH88" s="538">
        <v>0</v>
      </c>
      <c r="AI88" s="538">
        <v>0</v>
      </c>
      <c r="AJ88" s="538">
        <v>0</v>
      </c>
      <c r="AK88" s="538">
        <v>0</v>
      </c>
      <c r="AL88" s="538">
        <v>0</v>
      </c>
    </row>
    <row r="89" spans="1:38" s="528" customFormat="1" ht="12">
      <c r="A89" s="533"/>
      <c r="B89" s="539"/>
      <c r="C89" s="533" t="s">
        <v>250</v>
      </c>
      <c r="E89" s="535"/>
      <c r="F89" s="535"/>
      <c r="G89" s="535"/>
      <c r="H89" s="535"/>
      <c r="I89" s="535"/>
      <c r="J89" s="535"/>
      <c r="K89" s="536"/>
      <c r="L89" s="536"/>
      <c r="M89" s="536"/>
      <c r="N89" s="536"/>
      <c r="O89" s="536"/>
      <c r="P89" s="536"/>
      <c r="Q89" s="537"/>
      <c r="R89" s="537" t="e">
        <f>+R122/O122</f>
        <v>#DIV/0!</v>
      </c>
      <c r="S89" s="536" t="e">
        <f t="shared" si="37"/>
        <v>#DIV/0!</v>
      </c>
      <c r="T89" s="536">
        <f t="shared" si="38"/>
        <v>0</v>
      </c>
      <c r="U89" s="536">
        <f t="shared" si="39"/>
        <v>9.000000000000008E-2</v>
      </c>
      <c r="V89" s="536">
        <f t="shared" si="39"/>
        <v>-3.8931021056688886E-2</v>
      </c>
      <c r="W89" s="536">
        <f t="shared" si="41"/>
        <v>-2.4395105613644663E-2</v>
      </c>
      <c r="X89" s="536">
        <f t="shared" si="36"/>
        <v>-0.15079938439339391</v>
      </c>
      <c r="Y89" s="536">
        <f t="shared" si="36"/>
        <v>5.0000000000000044E-2</v>
      </c>
      <c r="Z89" s="536">
        <f t="shared" si="43"/>
        <v>0.17551754011575182</v>
      </c>
      <c r="AA89" s="536">
        <f t="shared" si="35"/>
        <v>-7.5591586327782623E-2</v>
      </c>
      <c r="AB89" s="536">
        <f t="shared" si="43"/>
        <v>0.10793284874518649</v>
      </c>
      <c r="AC89" s="538">
        <v>5.0000000000000044E-2</v>
      </c>
      <c r="AD89" s="538">
        <v>5.0000000000000044E-2</v>
      </c>
      <c r="AE89" s="538">
        <v>5.0000000000000044E-2</v>
      </c>
      <c r="AF89" s="538">
        <v>5.0000000000000044E-2</v>
      </c>
      <c r="AG89" s="538">
        <v>5.0000000000000044E-2</v>
      </c>
      <c r="AH89" s="538">
        <v>5.0000000000000044E-2</v>
      </c>
      <c r="AI89" s="538">
        <v>5.0000000000000044E-2</v>
      </c>
      <c r="AJ89" s="538">
        <v>5.0000000000000044E-2</v>
      </c>
      <c r="AK89" s="538">
        <v>5.0000000000000044E-2</v>
      </c>
      <c r="AL89" s="538">
        <v>5.0000000000000044E-2</v>
      </c>
    </row>
    <row r="90" spans="1:38" s="528" customFormat="1" ht="12">
      <c r="A90" s="533"/>
      <c r="B90" s="539"/>
      <c r="C90" s="533" t="s">
        <v>251</v>
      </c>
      <c r="E90" s="535"/>
      <c r="F90" s="535"/>
      <c r="G90" s="535"/>
      <c r="H90" s="535"/>
      <c r="I90" s="535"/>
      <c r="J90" s="535"/>
      <c r="K90" s="536"/>
      <c r="L90" s="536"/>
      <c r="M90" s="536"/>
      <c r="N90" s="536"/>
      <c r="O90" s="536"/>
      <c r="P90" s="536"/>
      <c r="Q90" s="537"/>
      <c r="R90" s="537" t="e">
        <f>+R123/O123</f>
        <v>#DIV/0!</v>
      </c>
      <c r="S90" s="536" t="e">
        <f t="shared" si="37"/>
        <v>#DIV/0!</v>
      </c>
      <c r="T90" s="536">
        <f t="shared" si="38"/>
        <v>0</v>
      </c>
      <c r="U90" s="536">
        <f t="shared" si="39"/>
        <v>6.461496346522333E-2</v>
      </c>
      <c r="V90" s="536">
        <f t="shared" si="39"/>
        <v>3.8760673132438361E-2</v>
      </c>
      <c r="W90" s="536">
        <f t="shared" si="41"/>
        <v>0.21797424127559606</v>
      </c>
      <c r="X90" s="536">
        <f t="shared" si="36"/>
        <v>-5.221804826923071E-2</v>
      </c>
      <c r="Y90" s="536">
        <f t="shared" si="36"/>
        <v>5.0000000000000044E-2</v>
      </c>
      <c r="Z90" s="536">
        <f t="shared" si="43"/>
        <v>6.7375965817853878E-2</v>
      </c>
      <c r="AA90" s="536">
        <f t="shared" si="35"/>
        <v>5.002501250626068E-4</v>
      </c>
      <c r="AB90" s="536">
        <f t="shared" si="43"/>
        <v>0.15937437846756697</v>
      </c>
      <c r="AC90" s="538">
        <v>6.0000000000000053E-2</v>
      </c>
      <c r="AD90" s="538">
        <v>6.0000000000000053E-2</v>
      </c>
      <c r="AE90" s="538">
        <v>6.0000000000000053E-2</v>
      </c>
      <c r="AF90" s="538">
        <v>6.0000000000000053E-2</v>
      </c>
      <c r="AG90" s="538">
        <v>6.0000000000000053E-2</v>
      </c>
      <c r="AH90" s="538">
        <v>6.0000000000000053E-2</v>
      </c>
      <c r="AI90" s="538">
        <v>6.0000000000000053E-2</v>
      </c>
      <c r="AJ90" s="538">
        <v>6.0000000000000053E-2</v>
      </c>
      <c r="AK90" s="538">
        <v>6.0000000000000053E-2</v>
      </c>
      <c r="AL90" s="538">
        <v>6.0000000000000053E-2</v>
      </c>
    </row>
    <row r="91" spans="1:38" s="528" customFormat="1" ht="12">
      <c r="A91" s="533"/>
      <c r="B91" s="539"/>
      <c r="C91" s="533" t="s">
        <v>227</v>
      </c>
      <c r="E91" s="535"/>
      <c r="F91" s="535"/>
      <c r="G91" s="535"/>
      <c r="H91" s="535"/>
      <c r="I91" s="535"/>
      <c r="J91" s="535"/>
      <c r="K91" s="536"/>
      <c r="L91" s="536"/>
      <c r="M91" s="536"/>
      <c r="N91" s="536"/>
      <c r="O91" s="536"/>
      <c r="P91" s="536"/>
      <c r="Q91" s="537"/>
      <c r="R91" s="537"/>
      <c r="S91" s="536"/>
      <c r="T91" s="536"/>
      <c r="U91" s="536"/>
      <c r="V91" s="536"/>
      <c r="W91" s="536"/>
      <c r="X91" s="536"/>
      <c r="Y91" s="536">
        <f t="shared" si="36"/>
        <v>0.85714285714285721</v>
      </c>
      <c r="Z91" s="536">
        <f t="shared" si="43"/>
        <v>1.404220779220779</v>
      </c>
      <c r="AA91" s="536">
        <f t="shared" si="35"/>
        <v>-1</v>
      </c>
      <c r="AB91" s="536">
        <f t="shared" si="43"/>
        <v>2.7973352037602837</v>
      </c>
      <c r="AC91" s="538">
        <v>0.15</v>
      </c>
      <c r="AD91" s="538">
        <v>0.19999999999999996</v>
      </c>
      <c r="AE91" s="538">
        <v>0.19999999999999996</v>
      </c>
      <c r="AF91" s="538">
        <v>0.19999999999999996</v>
      </c>
      <c r="AG91" s="538">
        <v>0.19999999999999996</v>
      </c>
      <c r="AH91" s="538">
        <v>0.19999999999999996</v>
      </c>
      <c r="AI91" s="538">
        <v>0.19999999999999996</v>
      </c>
      <c r="AJ91" s="538">
        <v>0.19999999999999996</v>
      </c>
      <c r="AK91" s="538">
        <v>0.19999999999999996</v>
      </c>
      <c r="AL91" s="538">
        <v>0.19999999999999996</v>
      </c>
    </row>
    <row r="92" spans="1:38" s="528" customFormat="1" ht="12">
      <c r="A92" s="533"/>
      <c r="B92" s="539"/>
      <c r="C92" s="533" t="s">
        <v>228</v>
      </c>
      <c r="E92" s="535"/>
      <c r="F92" s="535"/>
      <c r="G92" s="535"/>
      <c r="H92" s="535"/>
      <c r="I92" s="535"/>
      <c r="J92" s="535"/>
      <c r="K92" s="536"/>
      <c r="L92" s="536"/>
      <c r="M92" s="536"/>
      <c r="N92" s="536"/>
      <c r="O92" s="536"/>
      <c r="P92" s="536"/>
      <c r="Q92" s="537"/>
      <c r="R92" s="537"/>
      <c r="S92" s="536"/>
      <c r="T92" s="536"/>
      <c r="U92" s="536"/>
      <c r="V92" s="536"/>
      <c r="W92" s="536"/>
      <c r="X92" s="536"/>
      <c r="Y92" s="536" t="e">
        <f t="shared" si="36"/>
        <v>#DIV/0!</v>
      </c>
      <c r="Z92" s="536"/>
      <c r="AA92" s="536">
        <f t="shared" si="35"/>
        <v>2.9577836411609497</v>
      </c>
      <c r="AB92" s="536"/>
      <c r="AC92" s="538">
        <v>0.15</v>
      </c>
      <c r="AD92" s="538">
        <v>0.19999999999999996</v>
      </c>
      <c r="AE92" s="538">
        <v>0.19999999999999996</v>
      </c>
      <c r="AF92" s="538">
        <v>0.19999999999999996</v>
      </c>
      <c r="AG92" s="538">
        <v>0.20000000000000018</v>
      </c>
      <c r="AH92" s="538">
        <v>0.19999999999999996</v>
      </c>
      <c r="AI92" s="538">
        <v>0.19999999999999996</v>
      </c>
      <c r="AJ92" s="538">
        <v>0.19999999999999996</v>
      </c>
      <c r="AK92" s="538">
        <v>0.19999999999999996</v>
      </c>
      <c r="AL92" s="538">
        <v>0.19999999999999996</v>
      </c>
    </row>
    <row r="93" spans="1:38" s="528" customFormat="1" ht="12">
      <c r="A93" s="533"/>
      <c r="B93" s="539"/>
      <c r="C93" s="533" t="s">
        <v>252</v>
      </c>
      <c r="E93" s="535"/>
      <c r="F93" s="535"/>
      <c r="G93" s="535"/>
      <c r="H93" s="535"/>
      <c r="I93" s="535"/>
      <c r="J93" s="535"/>
      <c r="K93" s="536"/>
      <c r="L93" s="536"/>
      <c r="M93" s="536"/>
      <c r="N93" s="536"/>
      <c r="O93" s="536"/>
      <c r="P93" s="536"/>
      <c r="Q93" s="537"/>
      <c r="R93" s="537"/>
      <c r="S93" s="536"/>
      <c r="T93" s="536"/>
      <c r="U93" s="536"/>
      <c r="V93" s="536"/>
      <c r="W93" s="536"/>
      <c r="X93" s="536">
        <f t="shared" si="36"/>
        <v>-0.6964285714285714</v>
      </c>
      <c r="Y93" s="536">
        <f t="shared" si="36"/>
        <v>-1</v>
      </c>
      <c r="Z93" s="536">
        <f t="shared" si="43"/>
        <v>1.5882352941176459E-2</v>
      </c>
      <c r="AA93" s="536">
        <f t="shared" si="35"/>
        <v>-1</v>
      </c>
      <c r="AB93" s="536">
        <f t="shared" si="43"/>
        <v>-0.94209612044006952</v>
      </c>
      <c r="AC93" s="538">
        <v>0.05</v>
      </c>
      <c r="AD93" s="538">
        <v>6.0000000000000053E-2</v>
      </c>
      <c r="AE93" s="538">
        <v>6.0000000000000053E-2</v>
      </c>
      <c r="AF93" s="538">
        <v>6.0000000000000053E-2</v>
      </c>
      <c r="AG93" s="538">
        <v>6.0000000000000053E-2</v>
      </c>
      <c r="AH93" s="538">
        <v>6.0000000000000053E-2</v>
      </c>
      <c r="AI93" s="538">
        <v>6.0000000000000053E-2</v>
      </c>
      <c r="AJ93" s="538">
        <v>6.0000000000000053E-2</v>
      </c>
      <c r="AK93" s="538">
        <v>6.0000000000000053E-2</v>
      </c>
      <c r="AL93" s="538">
        <v>6.0000000000000053E-2</v>
      </c>
    </row>
    <row r="94" spans="1:38" s="528" customFormat="1" ht="12">
      <c r="A94" s="533"/>
      <c r="B94" s="539"/>
      <c r="C94" s="533" t="s">
        <v>253</v>
      </c>
      <c r="E94" s="535"/>
      <c r="F94" s="535">
        <f t="shared" ref="F94:L94" si="44">+(F129/E129)-1</f>
        <v>0.17251244186854064</v>
      </c>
      <c r="G94" s="535">
        <f t="shared" si="44"/>
        <v>0.31031249456206322</v>
      </c>
      <c r="H94" s="535">
        <f t="shared" si="44"/>
        <v>0.59034112677649109</v>
      </c>
      <c r="I94" s="535">
        <f t="shared" si="44"/>
        <v>0.71268204226662046</v>
      </c>
      <c r="J94" s="535">
        <f t="shared" si="44"/>
        <v>0.55954892532661527</v>
      </c>
      <c r="K94" s="536">
        <f t="shared" si="44"/>
        <v>7.0896761843319833E-3</v>
      </c>
      <c r="L94" s="536">
        <f t="shared" si="44"/>
        <v>0.4500724823847404</v>
      </c>
      <c r="M94" s="536">
        <f>+(M129/J129)-1</f>
        <v>0.41822655279112664</v>
      </c>
      <c r="N94" s="536"/>
      <c r="O94" s="536">
        <f>+(O129/L129)-1</f>
        <v>0.40755137560382959</v>
      </c>
      <c r="P94" s="536"/>
      <c r="Q94" s="537"/>
      <c r="R94" s="537">
        <f>+R129/O129</f>
        <v>0</v>
      </c>
      <c r="S94" s="536" t="e">
        <f>(+S126/P126)-1</f>
        <v>#DIV/0!</v>
      </c>
      <c r="T94" s="536" t="e">
        <f>+T129/Q129</f>
        <v>#DIV/0!</v>
      </c>
      <c r="U94" s="536">
        <f>(+U126/R126)-1</f>
        <v>0.4285714285714286</v>
      </c>
      <c r="V94" s="536">
        <f>(+V126/S126)-1</f>
        <v>0.34790696221565387</v>
      </c>
      <c r="W94" s="536">
        <f>(+W126/S126)-1</f>
        <v>-0.54710326069554038</v>
      </c>
      <c r="X94" s="536">
        <f t="shared" si="36"/>
        <v>1.3701449921810798</v>
      </c>
      <c r="Y94" s="536">
        <f t="shared" si="36"/>
        <v>5.0000000000000044E-2</v>
      </c>
      <c r="Z94" s="536">
        <f t="shared" si="43"/>
        <v>-0.72547236962655604</v>
      </c>
      <c r="AA94" s="536">
        <f t="shared" si="35"/>
        <v>-0.83050046436088465</v>
      </c>
      <c r="AB94" s="536">
        <f t="shared" si="43"/>
        <v>1.5551427886852958</v>
      </c>
      <c r="AC94" s="538">
        <v>0.05</v>
      </c>
      <c r="AD94" s="538">
        <v>7.0000000000000062E-2</v>
      </c>
      <c r="AE94" s="538">
        <v>7.0000000000000062E-2</v>
      </c>
      <c r="AF94" s="538">
        <v>7.0000000000000062E-2</v>
      </c>
      <c r="AG94" s="538">
        <v>7.0000000000000062E-2</v>
      </c>
      <c r="AH94" s="538">
        <v>7.0000000000000062E-2</v>
      </c>
      <c r="AI94" s="538">
        <v>7.0000000000000062E-2</v>
      </c>
      <c r="AJ94" s="538">
        <v>7.0000000000000062E-2</v>
      </c>
      <c r="AK94" s="538">
        <v>7.0000000000000062E-2</v>
      </c>
      <c r="AL94" s="538">
        <v>7.0000000000000062E-2</v>
      </c>
    </row>
    <row r="95" spans="1:38" s="528" customFormat="1" ht="12">
      <c r="A95" s="533"/>
      <c r="B95" s="539"/>
      <c r="C95" s="533" t="s">
        <v>254</v>
      </c>
      <c r="E95" s="535"/>
      <c r="F95" s="535"/>
      <c r="G95" s="535"/>
      <c r="H95" s="535"/>
      <c r="I95" s="535"/>
      <c r="J95" s="535"/>
      <c r="K95" s="536"/>
      <c r="L95" s="536"/>
      <c r="M95" s="536"/>
      <c r="N95" s="536"/>
      <c r="O95" s="536"/>
      <c r="P95" s="536"/>
      <c r="Q95" s="537"/>
      <c r="R95" s="537"/>
      <c r="S95" s="536"/>
      <c r="T95" s="536"/>
      <c r="U95" s="536"/>
      <c r="V95" s="536"/>
      <c r="W95" s="536"/>
      <c r="X95" s="536">
        <f t="shared" si="36"/>
        <v>0.50941349981903228</v>
      </c>
      <c r="Y95" s="536">
        <f t="shared" si="36"/>
        <v>-1</v>
      </c>
      <c r="Z95" s="536">
        <f t="shared" si="43"/>
        <v>-1.3366075744805492</v>
      </c>
      <c r="AA95" s="536">
        <f t="shared" si="35"/>
        <v>2.0238445222822294</v>
      </c>
      <c r="AB95" s="536">
        <f t="shared" si="43"/>
        <v>-1</v>
      </c>
      <c r="AC95" s="538">
        <v>0</v>
      </c>
      <c r="AD95" s="538">
        <v>0</v>
      </c>
      <c r="AE95" s="538">
        <v>0</v>
      </c>
      <c r="AF95" s="538">
        <v>0</v>
      </c>
      <c r="AG95" s="538">
        <v>0</v>
      </c>
      <c r="AH95" s="538">
        <v>0</v>
      </c>
      <c r="AI95" s="538">
        <v>0</v>
      </c>
      <c r="AJ95" s="538">
        <v>0</v>
      </c>
      <c r="AK95" s="538">
        <v>0</v>
      </c>
      <c r="AL95" s="538">
        <v>0</v>
      </c>
    </row>
    <row r="96" spans="1:38" s="528" customFormat="1" ht="12">
      <c r="A96" s="533"/>
      <c r="B96" s="539"/>
      <c r="C96" s="533" t="s">
        <v>255</v>
      </c>
      <c r="E96" s="535"/>
      <c r="F96" s="535"/>
      <c r="G96" s="535"/>
      <c r="H96" s="535"/>
      <c r="I96" s="535"/>
      <c r="J96" s="535"/>
      <c r="K96" s="536"/>
      <c r="L96" s="536"/>
      <c r="M96" s="536"/>
      <c r="N96" s="536"/>
      <c r="O96" s="536"/>
      <c r="P96" s="536"/>
      <c r="Q96" s="537"/>
      <c r="R96" s="537"/>
      <c r="S96" s="536"/>
      <c r="T96" s="536"/>
      <c r="U96" s="536"/>
      <c r="V96" s="536"/>
      <c r="W96" s="536"/>
      <c r="X96" s="536"/>
      <c r="Y96" s="536"/>
      <c r="Z96" s="536"/>
      <c r="AA96" s="536"/>
      <c r="AB96" s="536"/>
      <c r="AC96" s="538"/>
      <c r="AD96" s="538"/>
      <c r="AE96" s="538"/>
      <c r="AF96" s="538"/>
      <c r="AG96" s="538"/>
      <c r="AH96" s="538">
        <v>0</v>
      </c>
      <c r="AI96" s="538">
        <v>0</v>
      </c>
      <c r="AJ96" s="538">
        <v>0</v>
      </c>
      <c r="AK96" s="538">
        <v>0</v>
      </c>
      <c r="AL96" s="538">
        <v>0</v>
      </c>
    </row>
    <row r="97" spans="1:38" s="540" customFormat="1" ht="12">
      <c r="B97" s="541"/>
      <c r="C97" s="542" t="s">
        <v>256</v>
      </c>
      <c r="E97" s="535"/>
      <c r="F97" s="535">
        <f t="shared" ref="F97:L99" si="45">+(F130/E130)-1</f>
        <v>0.33410804987692644</v>
      </c>
      <c r="G97" s="535">
        <f t="shared" si="45"/>
        <v>0.34924745242437449</v>
      </c>
      <c r="H97" s="535">
        <f t="shared" si="45"/>
        <v>0.16189807951963853</v>
      </c>
      <c r="I97" s="535">
        <f t="shared" si="45"/>
        <v>0.17911874424800023</v>
      </c>
      <c r="J97" s="535">
        <f t="shared" si="45"/>
        <v>-0.12826308737740999</v>
      </c>
      <c r="K97" s="536">
        <f t="shared" si="45"/>
        <v>-0.23291320302516771</v>
      </c>
      <c r="L97" s="536">
        <f t="shared" si="45"/>
        <v>0.42989472818972452</v>
      </c>
      <c r="M97" s="536">
        <f>+(M130/J130)-1</f>
        <v>4.5750078168258268E-2</v>
      </c>
      <c r="N97" s="536"/>
      <c r="O97" s="536">
        <f>+(O130/L130)-1</f>
        <v>0.1343300372915579</v>
      </c>
      <c r="P97" s="536"/>
      <c r="Q97" s="537"/>
      <c r="R97" s="538">
        <f>+(R130/O130)-1</f>
        <v>0.13837139470670401</v>
      </c>
      <c r="S97" s="536" t="e">
        <f>(+S127/P127)-1</f>
        <v>#DIV/0!</v>
      </c>
      <c r="T97" s="536">
        <f>+T130/Q130</f>
        <v>0</v>
      </c>
      <c r="U97" s="536">
        <f t="shared" ref="U97:V99" si="46">(+U127/R127)-1</f>
        <v>5.0000000000000044E-2</v>
      </c>
      <c r="V97" s="536">
        <f t="shared" si="46"/>
        <v>-9.0541785652287876E-2</v>
      </c>
      <c r="W97" s="536">
        <f t="shared" ref="W97:AB98" si="47">(+W127/S127)-1</f>
        <v>-0.3499113212483399</v>
      </c>
      <c r="X97" s="536" t="e">
        <f t="shared" si="47"/>
        <v>#DIV/0!</v>
      </c>
      <c r="Y97" s="536">
        <f t="shared" si="47"/>
        <v>0.7789103690685415</v>
      </c>
      <c r="Z97" s="536">
        <f t="shared" si="47"/>
        <v>-0.5348951921265378</v>
      </c>
      <c r="AA97" s="536">
        <f t="shared" si="47"/>
        <v>-0.88971168827136049</v>
      </c>
      <c r="AB97" s="536">
        <f t="shared" si="47"/>
        <v>-0.29854270495643231</v>
      </c>
      <c r="AC97" s="538"/>
      <c r="AD97" s="538"/>
      <c r="AE97" s="538"/>
      <c r="AF97" s="538"/>
      <c r="AG97" s="538"/>
      <c r="AH97" s="538"/>
      <c r="AI97" s="538"/>
      <c r="AJ97" s="538"/>
      <c r="AK97" s="538"/>
      <c r="AL97" s="538"/>
    </row>
    <row r="98" spans="1:38" s="528" customFormat="1" ht="12">
      <c r="B98" s="532"/>
      <c r="C98" s="543" t="s">
        <v>257</v>
      </c>
      <c r="E98" s="535"/>
      <c r="F98" s="535">
        <f t="shared" si="45"/>
        <v>1.0772966555807058</v>
      </c>
      <c r="G98" s="535">
        <f t="shared" si="45"/>
        <v>0.58538328873789625</v>
      </c>
      <c r="H98" s="535">
        <f t="shared" si="45"/>
        <v>-7.138338604960881E-2</v>
      </c>
      <c r="I98" s="535">
        <f t="shared" si="45"/>
        <v>-2.1368900362124021E-2</v>
      </c>
      <c r="J98" s="535">
        <f t="shared" si="45"/>
        <v>9.4339622641509413E-2</v>
      </c>
      <c r="K98" s="536">
        <f t="shared" si="45"/>
        <v>-0.34579845999330427</v>
      </c>
      <c r="L98" s="536">
        <f t="shared" si="45"/>
        <v>0.45079576275523259</v>
      </c>
      <c r="M98" s="536">
        <f>+(M131/J131)-1</f>
        <v>-1.9049213257448905E-2</v>
      </c>
      <c r="N98" s="536"/>
      <c r="O98" s="536">
        <f>+(O131/L131)-1</f>
        <v>0.61199294532627868</v>
      </c>
      <c r="P98" s="536"/>
      <c r="Q98" s="537"/>
      <c r="R98" s="538">
        <f>+(R131/O131)-1</f>
        <v>0.50590448721676506</v>
      </c>
      <c r="S98" s="536" t="e">
        <f>(+S128/P128)-1</f>
        <v>#DIV/0!</v>
      </c>
      <c r="T98" s="536">
        <f>+T131/Q131</f>
        <v>0</v>
      </c>
      <c r="U98" s="536">
        <f t="shared" si="46"/>
        <v>5.0000000000000044E-2</v>
      </c>
      <c r="V98" s="536">
        <f t="shared" si="46"/>
        <v>-7.6145601429887799E-2</v>
      </c>
      <c r="W98" s="536">
        <f t="shared" si="47"/>
        <v>-0.46345657924761663</v>
      </c>
      <c r="X98" s="536" t="e">
        <f t="shared" si="47"/>
        <v>#DIV/0!</v>
      </c>
      <c r="Y98" s="536">
        <f t="shared" si="47"/>
        <v>-1</v>
      </c>
      <c r="Z98" s="536">
        <f t="shared" si="47"/>
        <v>-1.295075707592507</v>
      </c>
      <c r="AA98" s="536">
        <f t="shared" si="47"/>
        <v>-2.5363549764748412</v>
      </c>
      <c r="AB98" s="536">
        <f t="shared" si="47"/>
        <v>-1</v>
      </c>
      <c r="AC98" s="538"/>
      <c r="AD98" s="538"/>
      <c r="AE98" s="538"/>
      <c r="AF98" s="538"/>
      <c r="AG98" s="538"/>
      <c r="AH98" s="538"/>
      <c r="AI98" s="538"/>
      <c r="AJ98" s="538"/>
      <c r="AK98" s="538"/>
      <c r="AL98" s="538"/>
    </row>
    <row r="99" spans="1:38" s="528" customFormat="1" ht="12">
      <c r="B99" s="532"/>
      <c r="C99" s="542" t="s">
        <v>258</v>
      </c>
      <c r="E99" s="535"/>
      <c r="F99" s="535">
        <f t="shared" si="45"/>
        <v>0.27590234183791762</v>
      </c>
      <c r="G99" s="535">
        <f t="shared" si="45"/>
        <v>0.31913753790782806</v>
      </c>
      <c r="H99" s="535">
        <f t="shared" si="45"/>
        <v>0.19764775085272146</v>
      </c>
      <c r="I99" s="535">
        <f t="shared" si="45"/>
        <v>0.2029412136712514</v>
      </c>
      <c r="J99" s="535">
        <f t="shared" si="45"/>
        <v>-0.14978120218654434</v>
      </c>
      <c r="K99" s="536">
        <f t="shared" si="45"/>
        <v>-0.21886785773695494</v>
      </c>
      <c r="L99" s="536">
        <f t="shared" si="45"/>
        <v>0.42771676752783927</v>
      </c>
      <c r="M99" s="536">
        <f>+(M132/J132)-1</f>
        <v>5.3812498779680418E-2</v>
      </c>
      <c r="N99" s="536"/>
      <c r="O99" s="536">
        <f>+(O132/L132)-1</f>
        <v>8.3751299800424839E-2</v>
      </c>
      <c r="P99" s="536"/>
      <c r="Q99" s="537"/>
      <c r="R99" s="538">
        <f>+(R132/O132)-1</f>
        <v>8.0485010790120715E-2</v>
      </c>
      <c r="S99" s="536">
        <f>+(S132/R132)-1</f>
        <v>5.4587818904742624E-2</v>
      </c>
      <c r="T99" s="536">
        <f>+T132/Q132</f>
        <v>0</v>
      </c>
      <c r="U99" s="536" t="e">
        <f t="shared" si="46"/>
        <v>#DIV/0!</v>
      </c>
      <c r="V99" s="536" t="e">
        <f t="shared" si="46"/>
        <v>#DIV/0!</v>
      </c>
      <c r="W99" s="536">
        <f t="shared" ref="W99:AB99" si="48">+(W132/V132)-1</f>
        <v>-0.11803631547407611</v>
      </c>
      <c r="X99" s="536">
        <f t="shared" si="48"/>
        <v>-8.7233140975327195E-2</v>
      </c>
      <c r="Y99" s="536">
        <f t="shared" si="48"/>
        <v>8.6352484154569531E-2</v>
      </c>
      <c r="Z99" s="536">
        <f t="shared" si="48"/>
        <v>-0.20694414383894655</v>
      </c>
      <c r="AA99" s="536">
        <f t="shared" si="48"/>
        <v>0.24051624233171309</v>
      </c>
      <c r="AB99" s="536">
        <f t="shared" si="48"/>
        <v>-0.20422246377069619</v>
      </c>
      <c r="AC99" s="538"/>
      <c r="AD99" s="538"/>
      <c r="AE99" s="538"/>
      <c r="AF99" s="538"/>
      <c r="AG99" s="538"/>
      <c r="AH99" s="538"/>
      <c r="AI99" s="538"/>
      <c r="AJ99" s="538"/>
      <c r="AK99" s="538"/>
      <c r="AL99" s="538"/>
    </row>
    <row r="100" spans="1:38" s="528" customFormat="1" ht="6.75" customHeight="1" thickBot="1">
      <c r="B100" s="544"/>
      <c r="C100" s="545"/>
      <c r="D100" s="546"/>
      <c r="E100" s="546"/>
      <c r="F100" s="546"/>
      <c r="G100" s="546"/>
      <c r="H100" s="546"/>
      <c r="I100" s="546"/>
      <c r="J100" s="546"/>
      <c r="K100" s="547"/>
      <c r="L100" s="547"/>
      <c r="M100" s="547"/>
      <c r="N100" s="547"/>
      <c r="O100" s="547"/>
      <c r="P100" s="547"/>
      <c r="Q100" s="547"/>
      <c r="R100" s="546"/>
      <c r="S100" s="547"/>
      <c r="T100" s="546"/>
      <c r="U100" s="546"/>
      <c r="V100" s="546"/>
      <c r="W100" s="546"/>
      <c r="X100" s="546"/>
      <c r="Y100" s="546"/>
      <c r="Z100" s="546"/>
      <c r="AA100" s="546"/>
      <c r="AB100" s="546"/>
      <c r="AC100" s="546"/>
      <c r="AD100" s="546"/>
      <c r="AE100" s="546"/>
      <c r="AF100" s="546"/>
      <c r="AG100" s="546"/>
      <c r="AH100" s="546"/>
      <c r="AI100" s="546"/>
      <c r="AJ100" s="546"/>
      <c r="AK100" s="546"/>
      <c r="AL100" s="546"/>
    </row>
    <row r="101" spans="1:38" s="528" customFormat="1" thickBot="1">
      <c r="B101" s="516"/>
      <c r="C101" s="533"/>
      <c r="D101" s="516"/>
      <c r="E101" s="516"/>
      <c r="F101" s="516"/>
      <c r="G101" s="516"/>
      <c r="H101" s="516"/>
      <c r="I101" s="516"/>
      <c r="J101" s="516"/>
      <c r="K101" s="516"/>
      <c r="L101" s="516"/>
      <c r="M101" s="516"/>
      <c r="N101" s="516"/>
      <c r="O101" s="516"/>
      <c r="P101" s="516"/>
      <c r="Q101" s="516"/>
      <c r="R101" s="516"/>
      <c r="S101" s="516"/>
      <c r="T101" s="516"/>
      <c r="U101" s="516"/>
      <c r="V101" s="516"/>
      <c r="W101" s="516"/>
      <c r="X101" s="516"/>
      <c r="Y101" s="516"/>
      <c r="Z101" s="516"/>
      <c r="AA101" s="516"/>
      <c r="AB101" s="516"/>
      <c r="AC101" s="516"/>
      <c r="AD101" s="516"/>
      <c r="AE101" s="516"/>
      <c r="AF101" s="516"/>
      <c r="AG101" s="516"/>
      <c r="AH101" s="516"/>
      <c r="AI101" s="516"/>
      <c r="AJ101" s="516"/>
      <c r="AK101" s="516"/>
      <c r="AL101" s="516"/>
    </row>
    <row r="102" spans="1:38" s="528" customFormat="1" ht="3.75" customHeight="1" thickBot="1">
      <c r="B102" s="548"/>
      <c r="C102" s="549"/>
      <c r="D102" s="550"/>
      <c r="E102" s="550"/>
      <c r="F102" s="550"/>
      <c r="G102" s="550"/>
      <c r="H102" s="550"/>
      <c r="I102" s="550"/>
      <c r="J102" s="550"/>
      <c r="K102" s="550"/>
      <c r="L102" s="550"/>
      <c r="M102" s="550"/>
      <c r="N102" s="550"/>
      <c r="O102" s="550"/>
      <c r="P102" s="550"/>
      <c r="Q102" s="550"/>
      <c r="R102" s="550"/>
      <c r="S102" s="550"/>
      <c r="T102" s="550"/>
      <c r="U102" s="550"/>
      <c r="V102" s="550"/>
      <c r="W102" s="550"/>
      <c r="X102" s="550"/>
      <c r="Y102" s="550"/>
      <c r="Z102" s="550"/>
      <c r="AA102" s="550"/>
      <c r="AB102" s="550"/>
      <c r="AC102" s="550"/>
      <c r="AD102" s="550"/>
      <c r="AE102" s="550"/>
      <c r="AF102" s="550"/>
      <c r="AG102" s="550"/>
      <c r="AH102" s="550"/>
      <c r="AI102" s="550"/>
      <c r="AJ102" s="550"/>
      <c r="AK102" s="550"/>
      <c r="AL102" s="550"/>
    </row>
    <row r="103" spans="1:38" s="528" customFormat="1" ht="12">
      <c r="B103" s="548"/>
      <c r="C103" s="551" t="s">
        <v>236</v>
      </c>
      <c r="D103" s="552"/>
      <c r="E103" s="550"/>
      <c r="F103" s="550"/>
      <c r="G103" s="550"/>
      <c r="H103" s="550"/>
      <c r="I103" s="550"/>
      <c r="J103" s="550"/>
      <c r="K103" s="550"/>
      <c r="L103" s="550"/>
      <c r="M103" s="550"/>
      <c r="N103" s="550"/>
      <c r="O103" s="550"/>
      <c r="P103" s="550"/>
      <c r="Q103" s="550"/>
      <c r="R103" s="550"/>
      <c r="S103" s="550"/>
      <c r="T103" s="550"/>
      <c r="U103" s="550"/>
      <c r="V103" s="550"/>
      <c r="W103" s="550"/>
      <c r="X103" s="550"/>
      <c r="Y103" s="550"/>
      <c r="Z103" s="550"/>
      <c r="AA103" s="550"/>
      <c r="AB103" s="550"/>
      <c r="AC103" s="550"/>
      <c r="AD103" s="550"/>
      <c r="AE103" s="550"/>
      <c r="AF103" s="550"/>
      <c r="AG103" s="550"/>
      <c r="AH103" s="550"/>
      <c r="AI103" s="550"/>
      <c r="AJ103" s="550"/>
      <c r="AK103" s="550"/>
      <c r="AL103" s="550"/>
    </row>
    <row r="104" spans="1:38" s="528" customFormat="1" ht="12">
      <c r="A104" s="507"/>
      <c r="B104" s="553"/>
      <c r="C104" s="533" t="s">
        <v>237</v>
      </c>
      <c r="D104" s="516"/>
      <c r="E104" s="554">
        <v>51378</v>
      </c>
      <c r="F104" s="554">
        <v>70348.83988</v>
      </c>
      <c r="G104" s="554">
        <v>110862.10983971137</v>
      </c>
      <c r="H104" s="554">
        <v>122869.20354000002</v>
      </c>
      <c r="I104" s="554">
        <v>145501</v>
      </c>
      <c r="J104" s="554">
        <v>125592.029925764</v>
      </c>
      <c r="K104" s="554">
        <v>82306.662821513703</v>
      </c>
      <c r="L104" s="554">
        <v>120955.80886706161</v>
      </c>
      <c r="M104" s="554">
        <v>114714</v>
      </c>
      <c r="N104" s="554">
        <v>18052.2782205611</v>
      </c>
      <c r="O104" s="554">
        <v>107729.01682923258</v>
      </c>
      <c r="P104" s="554">
        <v>56433.478640578804</v>
      </c>
      <c r="Q104" s="554">
        <v>92801.76414975051</v>
      </c>
      <c r="R104" s="555">
        <v>125990.90000000001</v>
      </c>
      <c r="S104" s="554">
        <v>135250.71199599642</v>
      </c>
      <c r="T104" s="555"/>
      <c r="U104" s="554">
        <v>154000</v>
      </c>
      <c r="V104" s="554">
        <v>154000</v>
      </c>
      <c r="W104" s="554">
        <v>151343.73752771068</v>
      </c>
      <c r="X104" s="554">
        <v>117939</v>
      </c>
      <c r="Y104" s="554">
        <v>146707</v>
      </c>
      <c r="Z104" s="554">
        <v>101672</v>
      </c>
      <c r="AA104" s="554">
        <v>135619</v>
      </c>
      <c r="AB104" s="554">
        <v>109573.54387646688</v>
      </c>
      <c r="AC104" s="554">
        <f t="shared" ref="AC104:AL119" si="49">AB104+(AB104*AC71)</f>
        <v>126009.57545793691</v>
      </c>
      <c r="AD104" s="554">
        <f t="shared" si="49"/>
        <v>136090.34149457185</v>
      </c>
      <c r="AE104" s="554">
        <f t="shared" si="49"/>
        <v>146977.5688141376</v>
      </c>
      <c r="AF104" s="554">
        <f t="shared" si="49"/>
        <v>158735.77431926862</v>
      </c>
      <c r="AG104" s="554">
        <f t="shared" si="49"/>
        <v>171434.63626481011</v>
      </c>
      <c r="AH104" s="554">
        <f t="shared" si="49"/>
        <v>180006.36807805061</v>
      </c>
      <c r="AI104" s="554">
        <f t="shared" si="49"/>
        <v>189006.68648195316</v>
      </c>
      <c r="AJ104" s="554">
        <f t="shared" si="49"/>
        <v>198457.02080605083</v>
      </c>
      <c r="AK104" s="554">
        <f t="shared" si="49"/>
        <v>208379.87184635337</v>
      </c>
      <c r="AL104" s="554">
        <f t="shared" si="49"/>
        <v>218798.86543867106</v>
      </c>
    </row>
    <row r="105" spans="1:38" s="528" customFormat="1" ht="12">
      <c r="A105" s="507"/>
      <c r="B105" s="553"/>
      <c r="C105" s="533" t="s">
        <v>238</v>
      </c>
      <c r="D105" s="516"/>
      <c r="E105" s="554">
        <v>28719</v>
      </c>
      <c r="F105" s="554">
        <v>33603.65</v>
      </c>
      <c r="G105" s="554">
        <v>42514.71</v>
      </c>
      <c r="H105" s="554">
        <v>62792.623999999996</v>
      </c>
      <c r="I105" s="554">
        <v>87685</v>
      </c>
      <c r="J105" s="554">
        <v>63264.632000000005</v>
      </c>
      <c r="K105" s="554">
        <v>33403.557999999997</v>
      </c>
      <c r="L105" s="554">
        <v>46967</v>
      </c>
      <c r="M105" s="554">
        <v>46278.543333333328</v>
      </c>
      <c r="N105" s="554">
        <v>17978.733</v>
      </c>
      <c r="O105" s="554">
        <v>72180.498359999998</v>
      </c>
      <c r="P105" s="554">
        <v>43033.31566</v>
      </c>
      <c r="Q105" s="554">
        <v>68066.130740000008</v>
      </c>
      <c r="R105" s="555">
        <v>93263.630740000022</v>
      </c>
      <c r="S105" s="554">
        <v>94357.12281999999</v>
      </c>
      <c r="T105" s="555"/>
      <c r="U105" s="554">
        <v>100000</v>
      </c>
      <c r="V105" s="554">
        <v>100000</v>
      </c>
      <c r="W105" s="554">
        <v>82250.278380000003</v>
      </c>
      <c r="X105" s="554">
        <v>74922</v>
      </c>
      <c r="Y105" s="554">
        <v>76565</v>
      </c>
      <c r="Z105" s="554">
        <v>52673</v>
      </c>
      <c r="AA105" s="554">
        <v>58506</v>
      </c>
      <c r="AB105" s="554">
        <v>48899.686720000012</v>
      </c>
      <c r="AC105" s="554">
        <f t="shared" si="49"/>
        <v>56234.639728000016</v>
      </c>
      <c r="AD105" s="554">
        <f t="shared" si="49"/>
        <v>62982.796495360017</v>
      </c>
      <c r="AE105" s="554">
        <f t="shared" si="49"/>
        <v>70540.732074803222</v>
      </c>
      <c r="AF105" s="554">
        <f t="shared" si="49"/>
        <v>79005.61992377961</v>
      </c>
      <c r="AG105" s="554">
        <f t="shared" si="49"/>
        <v>88486.294314633167</v>
      </c>
      <c r="AH105" s="554">
        <f t="shared" si="49"/>
        <v>91583.314615645315</v>
      </c>
      <c r="AI105" s="554">
        <f t="shared" si="49"/>
        <v>94788.730627192897</v>
      </c>
      <c r="AJ105" s="554">
        <f t="shared" si="49"/>
        <v>98106.336199144644</v>
      </c>
      <c r="AK105" s="554">
        <f t="shared" si="49"/>
        <v>101540.05796611469</v>
      </c>
      <c r="AL105" s="554">
        <f t="shared" si="49"/>
        <v>105093.95999492869</v>
      </c>
    </row>
    <row r="106" spans="1:38" s="528" customFormat="1" ht="12">
      <c r="A106" s="507"/>
      <c r="B106" s="553"/>
      <c r="C106" s="533" t="s">
        <v>239</v>
      </c>
      <c r="D106" s="516"/>
      <c r="E106" s="554">
        <v>22767</v>
      </c>
      <c r="F106" s="554">
        <v>35179.727740715716</v>
      </c>
      <c r="G106" s="554">
        <v>37813.09477716159</v>
      </c>
      <c r="H106" s="554">
        <v>39826.252278617205</v>
      </c>
      <c r="I106" s="554">
        <v>39008</v>
      </c>
      <c r="J106" s="554">
        <v>34205.608171744287</v>
      </c>
      <c r="K106" s="554">
        <v>35795.099311124774</v>
      </c>
      <c r="L106" s="554">
        <v>49846.399386075762</v>
      </c>
      <c r="M106" s="554">
        <v>46275.538461538461</v>
      </c>
      <c r="N106" s="554">
        <v>11775.818457203239</v>
      </c>
      <c r="O106" s="554">
        <v>59852.261662308199</v>
      </c>
      <c r="P106" s="554">
        <v>38655.974291969884</v>
      </c>
      <c r="Q106" s="554">
        <v>61150.95222344542</v>
      </c>
      <c r="R106" s="555">
        <v>78607.652958923078</v>
      </c>
      <c r="S106" s="554">
        <v>82709.221041549201</v>
      </c>
      <c r="T106" s="555"/>
      <c r="U106" s="554">
        <v>80000</v>
      </c>
      <c r="V106" s="554">
        <v>80000</v>
      </c>
      <c r="W106" s="554">
        <v>54187.290830343678</v>
      </c>
      <c r="X106" s="554">
        <v>66730</v>
      </c>
      <c r="Y106" s="554">
        <v>58976</v>
      </c>
      <c r="Z106" s="554">
        <v>39928</v>
      </c>
      <c r="AA106" s="554">
        <v>50000</v>
      </c>
      <c r="AB106" s="554">
        <v>36882.226180985672</v>
      </c>
      <c r="AC106" s="554">
        <f t="shared" si="49"/>
        <v>43521.026893563096</v>
      </c>
      <c r="AD106" s="554">
        <f t="shared" si="49"/>
        <v>47873.129582919406</v>
      </c>
      <c r="AE106" s="554">
        <f t="shared" si="49"/>
        <v>52660.442541211349</v>
      </c>
      <c r="AF106" s="554">
        <f t="shared" si="49"/>
        <v>57926.486795332487</v>
      </c>
      <c r="AG106" s="554">
        <f t="shared" si="49"/>
        <v>63719.135474865732</v>
      </c>
      <c r="AH106" s="554">
        <f t="shared" si="49"/>
        <v>67542.283603357675</v>
      </c>
      <c r="AI106" s="554">
        <f t="shared" si="49"/>
        <v>71594.820619559134</v>
      </c>
      <c r="AJ106" s="554">
        <f t="shared" si="49"/>
        <v>75890.509856732679</v>
      </c>
      <c r="AK106" s="554">
        <f t="shared" si="49"/>
        <v>80443.940448136651</v>
      </c>
      <c r="AL106" s="554">
        <f t="shared" si="49"/>
        <v>85270.576875024854</v>
      </c>
    </row>
    <row r="107" spans="1:38" s="528" customFormat="1" ht="12">
      <c r="A107" s="507"/>
      <c r="B107" s="553"/>
      <c r="C107" s="533" t="s">
        <v>240</v>
      </c>
      <c r="D107" s="516"/>
      <c r="E107" s="554">
        <v>0</v>
      </c>
      <c r="F107" s="554">
        <v>0</v>
      </c>
      <c r="G107" s="554">
        <v>0</v>
      </c>
      <c r="H107" s="554">
        <v>0</v>
      </c>
      <c r="I107" s="554">
        <v>0</v>
      </c>
      <c r="J107" s="554">
        <v>4287.0414078837857</v>
      </c>
      <c r="K107" s="554">
        <v>3113.1696498553169</v>
      </c>
      <c r="L107" s="554">
        <v>4563.4121895215985</v>
      </c>
      <c r="M107" s="554">
        <v>4150</v>
      </c>
      <c r="N107" s="554">
        <v>601.93586317921756</v>
      </c>
      <c r="O107" s="554">
        <v>5162.8939065408376</v>
      </c>
      <c r="P107" s="554">
        <v>769.00859953553993</v>
      </c>
      <c r="Q107" s="554">
        <v>1527.0314439244801</v>
      </c>
      <c r="R107" s="555">
        <v>3000</v>
      </c>
      <c r="S107" s="554">
        <v>2242.3825904394198</v>
      </c>
      <c r="T107" s="555"/>
      <c r="U107" s="554">
        <v>3000</v>
      </c>
      <c r="V107" s="554">
        <v>3000</v>
      </c>
      <c r="W107" s="554">
        <v>2346.8382302137761</v>
      </c>
      <c r="X107" s="554">
        <f>7032*0.52</f>
        <v>3656.6400000000003</v>
      </c>
      <c r="Y107" s="554">
        <f>11502*0.52</f>
        <v>5981.04</v>
      </c>
      <c r="Z107" s="554">
        <v>3100</v>
      </c>
      <c r="AA107" s="554">
        <v>4976</v>
      </c>
      <c r="AB107" s="554">
        <v>3008.5044303539203</v>
      </c>
      <c r="AC107" s="554">
        <f t="shared" si="49"/>
        <v>3189.0146961751557</v>
      </c>
      <c r="AD107" s="554">
        <f t="shared" si="49"/>
        <v>3380.3555779456651</v>
      </c>
      <c r="AE107" s="554">
        <f t="shared" si="49"/>
        <v>3583.1769126224049</v>
      </c>
      <c r="AF107" s="554">
        <f t="shared" si="49"/>
        <v>3798.1675273797491</v>
      </c>
      <c r="AG107" s="554">
        <f t="shared" si="49"/>
        <v>4026.0575790225339</v>
      </c>
      <c r="AH107" s="554">
        <f t="shared" si="49"/>
        <v>4187.0998821834355</v>
      </c>
      <c r="AI107" s="554">
        <f t="shared" si="49"/>
        <v>4354.5838774707727</v>
      </c>
      <c r="AJ107" s="554">
        <f t="shared" si="49"/>
        <v>4528.7672325696039</v>
      </c>
      <c r="AK107" s="554">
        <f t="shared" si="49"/>
        <v>4709.9179218723884</v>
      </c>
      <c r="AL107" s="554">
        <f t="shared" si="49"/>
        <v>4898.3146387472843</v>
      </c>
    </row>
    <row r="108" spans="1:38" s="528" customFormat="1" ht="12">
      <c r="A108" s="507"/>
      <c r="B108" s="553"/>
      <c r="C108" s="533" t="s">
        <v>223</v>
      </c>
      <c r="D108" s="516"/>
      <c r="E108" s="554">
        <v>0</v>
      </c>
      <c r="F108" s="554">
        <v>0</v>
      </c>
      <c r="G108" s="554">
        <v>0</v>
      </c>
      <c r="H108" s="554">
        <v>0</v>
      </c>
      <c r="I108" s="554">
        <v>0</v>
      </c>
      <c r="J108" s="554">
        <v>0</v>
      </c>
      <c r="K108" s="554">
        <v>0</v>
      </c>
      <c r="L108" s="554">
        <v>0</v>
      </c>
      <c r="M108" s="554">
        <v>0</v>
      </c>
      <c r="N108" s="554">
        <v>0</v>
      </c>
      <c r="O108" s="554">
        <v>0</v>
      </c>
      <c r="P108" s="554">
        <v>0</v>
      </c>
      <c r="Q108" s="554">
        <f>386.6489446021*0</f>
        <v>0</v>
      </c>
      <c r="R108" s="555">
        <f>958.1048007*0</f>
        <v>0</v>
      </c>
      <c r="S108" s="554">
        <f>551.6143209012</f>
        <v>551.61432090120002</v>
      </c>
      <c r="T108" s="555"/>
      <c r="U108" s="554">
        <v>2000</v>
      </c>
      <c r="V108" s="554">
        <v>2000</v>
      </c>
      <c r="W108" s="554">
        <v>3252.8909300000005</v>
      </c>
      <c r="X108" s="554">
        <v>2232</v>
      </c>
      <c r="Y108" s="554">
        <v>3194</v>
      </c>
      <c r="Z108" s="554">
        <v>3744</v>
      </c>
      <c r="AA108" s="554">
        <v>4674</v>
      </c>
      <c r="AB108" s="554">
        <v>7859.6201359751367</v>
      </c>
      <c r="AC108" s="554">
        <f t="shared" si="49"/>
        <v>9510.140364529916</v>
      </c>
      <c r="AD108" s="554">
        <f t="shared" si="49"/>
        <v>11412.168437435899</v>
      </c>
      <c r="AE108" s="554">
        <f t="shared" si="49"/>
        <v>13694.602124923078</v>
      </c>
      <c r="AF108" s="554">
        <f t="shared" si="49"/>
        <v>16433.522549907691</v>
      </c>
      <c r="AG108" s="554">
        <f t="shared" si="49"/>
        <v>19720.227059889228</v>
      </c>
      <c r="AH108" s="554">
        <f t="shared" si="49"/>
        <v>23664.272471867072</v>
      </c>
      <c r="AI108" s="554">
        <f t="shared" si="49"/>
        <v>28397.126966240485</v>
      </c>
      <c r="AJ108" s="554">
        <f t="shared" si="49"/>
        <v>34076.552359488582</v>
      </c>
      <c r="AK108" s="554">
        <f t="shared" si="49"/>
        <v>40891.862831386294</v>
      </c>
      <c r="AL108" s="554">
        <f t="shared" si="49"/>
        <v>49070.23539766355</v>
      </c>
    </row>
    <row r="109" spans="1:38" s="528" customFormat="1" ht="12">
      <c r="A109" s="507"/>
      <c r="B109" s="553"/>
      <c r="C109" s="533" t="s">
        <v>224</v>
      </c>
      <c r="D109" s="516"/>
      <c r="E109" s="554">
        <v>0</v>
      </c>
      <c r="F109" s="554">
        <v>0</v>
      </c>
      <c r="G109" s="554">
        <v>0</v>
      </c>
      <c r="H109" s="554">
        <v>0</v>
      </c>
      <c r="I109" s="554">
        <v>0</v>
      </c>
      <c r="J109" s="554">
        <v>0</v>
      </c>
      <c r="K109" s="554">
        <v>3930.7117652202323</v>
      </c>
      <c r="L109" s="554">
        <v>5102.4831764067076</v>
      </c>
      <c r="M109" s="554">
        <v>3930.7117652202323</v>
      </c>
      <c r="N109" s="554">
        <v>0</v>
      </c>
      <c r="O109" s="554">
        <v>396.34891692011536</v>
      </c>
      <c r="P109" s="554">
        <v>0</v>
      </c>
      <c r="Q109" s="554">
        <f>795.012231289438*0</f>
        <v>0</v>
      </c>
      <c r="R109" s="555">
        <f>3883*0</f>
        <v>0</v>
      </c>
      <c r="S109" s="554">
        <f>1716.89914041058</f>
        <v>1716.89914041058</v>
      </c>
      <c r="T109" s="555"/>
      <c r="U109" s="554">
        <v>7500</v>
      </c>
      <c r="V109" s="554">
        <v>7500</v>
      </c>
      <c r="W109" s="554">
        <v>5409.8912678762745</v>
      </c>
      <c r="X109" s="554">
        <v>3217</v>
      </c>
      <c r="Y109" s="554">
        <v>12033</v>
      </c>
      <c r="Z109" s="554">
        <v>2833</v>
      </c>
      <c r="AA109" s="554">
        <v>3428</v>
      </c>
      <c r="AB109" s="554">
        <v>2037.8365611429601</v>
      </c>
      <c r="AC109" s="554">
        <f t="shared" si="49"/>
        <v>2282.3769484801155</v>
      </c>
      <c r="AD109" s="554">
        <f t="shared" si="49"/>
        <v>2510.6146433281269</v>
      </c>
      <c r="AE109" s="554">
        <f t="shared" si="49"/>
        <v>2887.2068398273459</v>
      </c>
      <c r="AF109" s="554">
        <f t="shared" si="49"/>
        <v>3320.2878658014479</v>
      </c>
      <c r="AG109" s="554">
        <f t="shared" si="49"/>
        <v>3818.3310456716649</v>
      </c>
      <c r="AH109" s="554">
        <f t="shared" si="49"/>
        <v>4200.164150238832</v>
      </c>
      <c r="AI109" s="554">
        <f t="shared" si="49"/>
        <v>4620.1805652627154</v>
      </c>
      <c r="AJ109" s="554">
        <f t="shared" si="49"/>
        <v>5082.1986217889871</v>
      </c>
      <c r="AK109" s="554">
        <f t="shared" si="49"/>
        <v>5590.4184839678865</v>
      </c>
      <c r="AL109" s="554">
        <f t="shared" si="49"/>
        <v>6149.4603323646752</v>
      </c>
    </row>
    <row r="110" spans="1:38" s="528" customFormat="1" ht="12">
      <c r="A110" s="507"/>
      <c r="B110" s="553"/>
      <c r="C110" s="533" t="s">
        <v>241</v>
      </c>
      <c r="D110" s="516"/>
      <c r="E110" s="554">
        <v>0</v>
      </c>
      <c r="F110" s="554">
        <v>0</v>
      </c>
      <c r="G110" s="554">
        <v>0</v>
      </c>
      <c r="H110" s="554">
        <v>0</v>
      </c>
      <c r="I110" s="554">
        <v>0</v>
      </c>
      <c r="J110" s="554">
        <v>3641.9204527699999</v>
      </c>
      <c r="K110" s="554">
        <v>3711.2627997899999</v>
      </c>
      <c r="L110" s="554">
        <v>5656.5106167900003</v>
      </c>
      <c r="M110" s="554">
        <v>5900</v>
      </c>
      <c r="N110" s="554">
        <v>1535.0367301700001</v>
      </c>
      <c r="O110" s="554">
        <v>6897.7653148099998</v>
      </c>
      <c r="P110" s="554">
        <v>2200.4799073918002</v>
      </c>
      <c r="Q110" s="554">
        <v>3306.7780275918003</v>
      </c>
      <c r="R110" s="555">
        <v>6615</v>
      </c>
      <c r="S110" s="554">
        <v>7397.3596575918</v>
      </c>
      <c r="T110" s="555"/>
      <c r="U110" s="554">
        <v>8000</v>
      </c>
      <c r="V110" s="554">
        <v>8000</v>
      </c>
      <c r="W110" s="554">
        <v>11111.542887629999</v>
      </c>
      <c r="X110" s="554">
        <v>16833</v>
      </c>
      <c r="Y110" s="554">
        <v>15000</v>
      </c>
      <c r="Z110" s="554">
        <v>12206</v>
      </c>
      <c r="AA110" s="554">
        <v>13067</v>
      </c>
      <c r="AB110" s="554">
        <v>14861.461883002901</v>
      </c>
      <c r="AC110" s="554">
        <f t="shared" si="49"/>
        <v>16793.451927793278</v>
      </c>
      <c r="AD110" s="554">
        <f t="shared" si="49"/>
        <v>18976.600678406405</v>
      </c>
      <c r="AE110" s="554">
        <f t="shared" si="49"/>
        <v>21443.558766599239</v>
      </c>
      <c r="AF110" s="554">
        <f t="shared" si="49"/>
        <v>24231.22140625714</v>
      </c>
      <c r="AG110" s="554">
        <f t="shared" si="49"/>
        <v>27381.280189070567</v>
      </c>
      <c r="AH110" s="554">
        <f t="shared" si="49"/>
        <v>28749.087682454061</v>
      </c>
      <c r="AI110" s="554">
        <f t="shared" si="49"/>
        <v>30185.22278236425</v>
      </c>
      <c r="AJ110" s="554">
        <f t="shared" si="49"/>
        <v>31693.098733600753</v>
      </c>
      <c r="AK110" s="554">
        <f t="shared" si="49"/>
        <v>33276.299286570713</v>
      </c>
      <c r="AL110" s="554">
        <f t="shared" si="49"/>
        <v>34938.587214744759</v>
      </c>
    </row>
    <row r="111" spans="1:38" s="528" customFormat="1" ht="12">
      <c r="A111" s="507"/>
      <c r="B111" s="553"/>
      <c r="C111" s="533" t="s">
        <v>225</v>
      </c>
      <c r="D111" s="516"/>
      <c r="E111" s="554"/>
      <c r="F111" s="554"/>
      <c r="G111" s="554"/>
      <c r="H111" s="554"/>
      <c r="I111" s="554"/>
      <c r="J111" s="554"/>
      <c r="K111" s="554"/>
      <c r="L111" s="554">
        <v>0</v>
      </c>
      <c r="M111" s="554">
        <v>0</v>
      </c>
      <c r="N111" s="554">
        <v>0</v>
      </c>
      <c r="O111" s="554">
        <v>0</v>
      </c>
      <c r="P111" s="554">
        <v>0</v>
      </c>
      <c r="Q111" s="554">
        <v>0</v>
      </c>
      <c r="R111" s="555">
        <v>0</v>
      </c>
      <c r="S111" s="554">
        <v>0</v>
      </c>
      <c r="T111" s="555"/>
      <c r="U111" s="554">
        <v>0</v>
      </c>
      <c r="V111" s="554">
        <v>0</v>
      </c>
      <c r="W111" s="554">
        <v>0</v>
      </c>
      <c r="X111" s="554">
        <f>185.695+966</f>
        <v>1151.6949999999999</v>
      </c>
      <c r="Y111" s="554">
        <v>864</v>
      </c>
      <c r="Z111" s="554">
        <v>1036</v>
      </c>
      <c r="AA111" s="554">
        <v>5256</v>
      </c>
      <c r="AB111" s="554">
        <v>3480.8198470647376</v>
      </c>
      <c r="AC111" s="554">
        <f t="shared" si="49"/>
        <v>4699.1067935373958</v>
      </c>
      <c r="AD111" s="554">
        <f t="shared" si="49"/>
        <v>6108.838831598614</v>
      </c>
      <c r="AE111" s="554">
        <f t="shared" si="49"/>
        <v>7941.4904810781982</v>
      </c>
      <c r="AF111" s="554">
        <f t="shared" si="49"/>
        <v>10323.937625401657</v>
      </c>
      <c r="AG111" s="554">
        <f t="shared" si="49"/>
        <v>13421.118913022154</v>
      </c>
      <c r="AH111" s="554">
        <f t="shared" si="49"/>
        <v>16105.342695626585</v>
      </c>
      <c r="AI111" s="554">
        <f t="shared" si="49"/>
        <v>19326.411234751904</v>
      </c>
      <c r="AJ111" s="554">
        <f t="shared" si="49"/>
        <v>23191.693481702285</v>
      </c>
      <c r="AK111" s="554">
        <f t="shared" si="49"/>
        <v>27830.03217804274</v>
      </c>
      <c r="AL111" s="554">
        <f t="shared" si="49"/>
        <v>33396.03861365129</v>
      </c>
    </row>
    <row r="112" spans="1:38" s="528" customFormat="1" ht="12">
      <c r="A112" s="507"/>
      <c r="B112" s="553"/>
      <c r="C112" s="533" t="s">
        <v>226</v>
      </c>
      <c r="D112" s="516"/>
      <c r="E112" s="554"/>
      <c r="F112" s="554"/>
      <c r="G112" s="554"/>
      <c r="H112" s="554"/>
      <c r="I112" s="554"/>
      <c r="J112" s="554"/>
      <c r="K112" s="554"/>
      <c r="L112" s="554">
        <v>0</v>
      </c>
      <c r="M112" s="554">
        <v>0</v>
      </c>
      <c r="N112" s="554">
        <v>0</v>
      </c>
      <c r="O112" s="554">
        <v>0</v>
      </c>
      <c r="P112" s="554">
        <v>0</v>
      </c>
      <c r="Q112" s="554">
        <v>0</v>
      </c>
      <c r="R112" s="555">
        <v>0</v>
      </c>
      <c r="S112" s="554">
        <v>0</v>
      </c>
      <c r="T112" s="555"/>
      <c r="U112" s="554">
        <v>0</v>
      </c>
      <c r="V112" s="554">
        <v>0</v>
      </c>
      <c r="W112" s="554">
        <v>0</v>
      </c>
      <c r="X112" s="554"/>
      <c r="Y112" s="554"/>
      <c r="Z112" s="554"/>
      <c r="AA112" s="554">
        <v>0</v>
      </c>
      <c r="AB112" s="554">
        <f>AA112+(AA112*AB79)</f>
        <v>0</v>
      </c>
      <c r="AC112" s="554">
        <f t="shared" si="49"/>
        <v>0</v>
      </c>
      <c r="AD112" s="554">
        <f t="shared" si="49"/>
        <v>0</v>
      </c>
      <c r="AE112" s="554">
        <f t="shared" si="49"/>
        <v>0</v>
      </c>
      <c r="AF112" s="554">
        <f t="shared" si="49"/>
        <v>0</v>
      </c>
      <c r="AG112" s="554">
        <f t="shared" si="49"/>
        <v>0</v>
      </c>
      <c r="AH112" s="554">
        <f t="shared" si="49"/>
        <v>0</v>
      </c>
      <c r="AI112" s="554">
        <f t="shared" si="49"/>
        <v>0</v>
      </c>
      <c r="AJ112" s="554">
        <f t="shared" si="49"/>
        <v>0</v>
      </c>
      <c r="AK112" s="554">
        <f t="shared" si="49"/>
        <v>0</v>
      </c>
      <c r="AL112" s="554">
        <f t="shared" si="49"/>
        <v>0</v>
      </c>
    </row>
    <row r="113" spans="1:38" s="528" customFormat="1" ht="12">
      <c r="A113" s="533"/>
      <c r="B113" s="553"/>
      <c r="C113" s="533" t="s">
        <v>242</v>
      </c>
      <c r="D113" s="516"/>
      <c r="E113" s="554"/>
      <c r="F113" s="554"/>
      <c r="G113" s="554"/>
      <c r="H113" s="554"/>
      <c r="I113" s="554"/>
      <c r="J113" s="554"/>
      <c r="K113" s="554"/>
      <c r="L113" s="554">
        <v>3067.85</v>
      </c>
      <c r="M113" s="554">
        <v>2854</v>
      </c>
      <c r="N113" s="554">
        <v>0</v>
      </c>
      <c r="O113" s="554">
        <v>2552.9699999999998</v>
      </c>
      <c r="P113" s="554">
        <v>0</v>
      </c>
      <c r="Q113" s="554">
        <v>1761.69</v>
      </c>
      <c r="R113" s="555">
        <v>1762</v>
      </c>
      <c r="S113" s="554">
        <v>2207.81</v>
      </c>
      <c r="T113" s="555"/>
      <c r="U113" s="554">
        <v>0</v>
      </c>
      <c r="V113" s="554">
        <v>0</v>
      </c>
      <c r="W113" s="554">
        <v>0</v>
      </c>
      <c r="X113" s="554">
        <v>0</v>
      </c>
      <c r="Y113" s="554">
        <v>0</v>
      </c>
      <c r="Z113" s="554"/>
      <c r="AA113" s="554">
        <v>0</v>
      </c>
      <c r="AB113" s="554">
        <v>0</v>
      </c>
      <c r="AC113" s="554">
        <v>0</v>
      </c>
      <c r="AD113" s="554">
        <v>0</v>
      </c>
      <c r="AE113" s="554">
        <v>0</v>
      </c>
      <c r="AF113" s="554">
        <v>0</v>
      </c>
      <c r="AG113" s="554">
        <v>0</v>
      </c>
      <c r="AH113" s="554">
        <v>0</v>
      </c>
      <c r="AI113" s="554">
        <v>0</v>
      </c>
      <c r="AJ113" s="554">
        <v>0</v>
      </c>
      <c r="AK113" s="554">
        <v>0</v>
      </c>
      <c r="AL113" s="554">
        <v>0</v>
      </c>
    </row>
    <row r="114" spans="1:38" s="528" customFormat="1" ht="12">
      <c r="A114" s="507"/>
      <c r="B114" s="553"/>
      <c r="C114" s="533" t="s">
        <v>243</v>
      </c>
      <c r="D114" s="516"/>
      <c r="E114" s="554">
        <v>0</v>
      </c>
      <c r="F114" s="554">
        <v>0</v>
      </c>
      <c r="G114" s="554">
        <v>0</v>
      </c>
      <c r="H114" s="554">
        <v>0</v>
      </c>
      <c r="I114" s="554">
        <v>0</v>
      </c>
      <c r="J114" s="554">
        <v>0</v>
      </c>
      <c r="K114" s="554">
        <v>4413</v>
      </c>
      <c r="L114" s="554">
        <v>6888.0059699999983</v>
      </c>
      <c r="M114" s="554">
        <v>6567</v>
      </c>
      <c r="N114" s="554">
        <v>3152.7192599999998</v>
      </c>
      <c r="O114" s="554">
        <v>13362.021000000001</v>
      </c>
      <c r="P114" s="554">
        <v>7036.1666700000005</v>
      </c>
      <c r="Q114" s="554">
        <v>10783.37261</v>
      </c>
      <c r="R114" s="555">
        <v>13500</v>
      </c>
      <c r="S114" s="554">
        <v>13787.06626</v>
      </c>
      <c r="T114" s="555"/>
      <c r="U114" s="554">
        <v>13000</v>
      </c>
      <c r="V114" s="554">
        <v>13000</v>
      </c>
      <c r="W114" s="554">
        <v>11497.385</v>
      </c>
      <c r="X114" s="554">
        <v>12328</v>
      </c>
      <c r="Y114" s="554">
        <v>14000</v>
      </c>
      <c r="Z114" s="554">
        <v>14300</v>
      </c>
      <c r="AA114" s="554">
        <v>0</v>
      </c>
      <c r="AB114" s="554">
        <f>AA114+(AA114*AB81)</f>
        <v>0</v>
      </c>
      <c r="AC114" s="554">
        <f t="shared" si="49"/>
        <v>0</v>
      </c>
      <c r="AD114" s="554">
        <f t="shared" si="49"/>
        <v>0</v>
      </c>
      <c r="AE114" s="554">
        <f t="shared" si="49"/>
        <v>0</v>
      </c>
      <c r="AF114" s="554">
        <f t="shared" si="49"/>
        <v>0</v>
      </c>
      <c r="AG114" s="554">
        <f t="shared" si="49"/>
        <v>0</v>
      </c>
      <c r="AH114" s="554">
        <f t="shared" si="49"/>
        <v>0</v>
      </c>
      <c r="AI114" s="554">
        <f t="shared" si="49"/>
        <v>0</v>
      </c>
      <c r="AJ114" s="554">
        <f t="shared" si="49"/>
        <v>0</v>
      </c>
      <c r="AK114" s="554">
        <f t="shared" si="49"/>
        <v>0</v>
      </c>
      <c r="AL114" s="554">
        <f t="shared" si="49"/>
        <v>0</v>
      </c>
    </row>
    <row r="115" spans="1:38" s="528" customFormat="1" ht="12">
      <c r="A115" s="507"/>
      <c r="B115" s="553"/>
      <c r="C115" s="533" t="s">
        <v>244</v>
      </c>
      <c r="D115" s="516"/>
      <c r="E115" s="554"/>
      <c r="F115" s="554"/>
      <c r="G115" s="554"/>
      <c r="H115" s="554"/>
      <c r="I115" s="554"/>
      <c r="J115" s="554"/>
      <c r="K115" s="554"/>
      <c r="L115" s="554"/>
      <c r="M115" s="554"/>
      <c r="N115" s="554"/>
      <c r="O115" s="554"/>
      <c r="P115" s="554"/>
      <c r="Q115" s="554"/>
      <c r="R115" s="555"/>
      <c r="S115" s="554"/>
      <c r="T115" s="555"/>
      <c r="U115" s="554"/>
      <c r="V115" s="554"/>
      <c r="W115" s="554"/>
      <c r="X115" s="554">
        <v>0</v>
      </c>
      <c r="Y115" s="554">
        <v>0</v>
      </c>
      <c r="Z115" s="554"/>
      <c r="AA115" s="554">
        <v>0</v>
      </c>
      <c r="AB115" s="554">
        <f>AA115+(AA115*AB82)</f>
        <v>0</v>
      </c>
      <c r="AC115" s="554">
        <f t="shared" si="49"/>
        <v>0</v>
      </c>
      <c r="AD115" s="554">
        <f t="shared" si="49"/>
        <v>0</v>
      </c>
      <c r="AE115" s="554">
        <f t="shared" si="49"/>
        <v>0</v>
      </c>
      <c r="AF115" s="554">
        <f t="shared" si="49"/>
        <v>0</v>
      </c>
      <c r="AG115" s="554">
        <f t="shared" si="49"/>
        <v>0</v>
      </c>
      <c r="AH115" s="554">
        <f t="shared" si="49"/>
        <v>0</v>
      </c>
      <c r="AI115" s="554">
        <f t="shared" si="49"/>
        <v>0</v>
      </c>
      <c r="AJ115" s="554">
        <f t="shared" si="49"/>
        <v>0</v>
      </c>
      <c r="AK115" s="554">
        <f t="shared" si="49"/>
        <v>0</v>
      </c>
      <c r="AL115" s="554">
        <f t="shared" si="49"/>
        <v>0</v>
      </c>
    </row>
    <row r="116" spans="1:38" s="528" customFormat="1" ht="12">
      <c r="A116" s="507"/>
      <c r="B116" s="553"/>
      <c r="C116" s="533" t="s">
        <v>245</v>
      </c>
      <c r="D116" s="516"/>
      <c r="E116" s="554">
        <v>0</v>
      </c>
      <c r="F116" s="554">
        <v>0</v>
      </c>
      <c r="G116" s="554">
        <v>0</v>
      </c>
      <c r="H116" s="554">
        <v>0</v>
      </c>
      <c r="I116" s="554">
        <v>0</v>
      </c>
      <c r="J116" s="554">
        <v>0</v>
      </c>
      <c r="K116" s="554">
        <v>2579</v>
      </c>
      <c r="L116" s="554">
        <v>0</v>
      </c>
      <c r="M116" s="554">
        <v>0</v>
      </c>
      <c r="N116" s="554">
        <v>0</v>
      </c>
      <c r="O116" s="554">
        <v>0</v>
      </c>
      <c r="P116" s="554">
        <v>0</v>
      </c>
      <c r="Q116" s="554">
        <v>0</v>
      </c>
      <c r="R116" s="555">
        <v>0</v>
      </c>
      <c r="S116" s="554">
        <v>0</v>
      </c>
      <c r="T116" s="555"/>
      <c r="U116" s="554">
        <v>0</v>
      </c>
      <c r="V116" s="554">
        <v>0</v>
      </c>
      <c r="W116" s="554">
        <v>0</v>
      </c>
      <c r="X116" s="554">
        <v>0</v>
      </c>
      <c r="Y116" s="554">
        <v>0</v>
      </c>
      <c r="Z116" s="554"/>
      <c r="AA116" s="554">
        <v>0</v>
      </c>
      <c r="AB116" s="554">
        <f>AA116+(AA116*AB83)</f>
        <v>0</v>
      </c>
      <c r="AC116" s="554">
        <f t="shared" si="49"/>
        <v>0</v>
      </c>
      <c r="AD116" s="554">
        <f t="shared" si="49"/>
        <v>0</v>
      </c>
      <c r="AE116" s="554">
        <f t="shared" si="49"/>
        <v>0</v>
      </c>
      <c r="AF116" s="554">
        <f t="shared" si="49"/>
        <v>0</v>
      </c>
      <c r="AG116" s="554">
        <f t="shared" si="49"/>
        <v>0</v>
      </c>
      <c r="AH116" s="554">
        <f t="shared" si="49"/>
        <v>0</v>
      </c>
      <c r="AI116" s="554">
        <f t="shared" si="49"/>
        <v>0</v>
      </c>
      <c r="AJ116" s="554">
        <f t="shared" si="49"/>
        <v>0</v>
      </c>
      <c r="AK116" s="554">
        <f t="shared" si="49"/>
        <v>0</v>
      </c>
      <c r="AL116" s="554">
        <f t="shared" si="49"/>
        <v>0</v>
      </c>
    </row>
    <row r="117" spans="1:38" s="528" customFormat="1" ht="12">
      <c r="A117" s="507"/>
      <c r="B117" s="553"/>
      <c r="C117" s="533" t="s">
        <v>246</v>
      </c>
      <c r="D117" s="516"/>
      <c r="E117" s="554">
        <v>7144</v>
      </c>
      <c r="F117" s="554">
        <v>9576.3913975479845</v>
      </c>
      <c r="G117" s="554">
        <v>16700.909743483011</v>
      </c>
      <c r="H117" s="554">
        <v>14679.935367351607</v>
      </c>
      <c r="I117" s="554">
        <v>18917</v>
      </c>
      <c r="J117" s="554">
        <v>21287.313310668262</v>
      </c>
      <c r="K117" s="554">
        <v>18233.739054075711</v>
      </c>
      <c r="L117" s="554">
        <v>24032.091102753231</v>
      </c>
      <c r="M117" s="554">
        <v>24361</v>
      </c>
      <c r="N117" s="554">
        <v>7081.0156448841271</v>
      </c>
      <c r="O117" s="554">
        <v>28419.838</v>
      </c>
      <c r="P117" s="554">
        <v>12994.264999999999</v>
      </c>
      <c r="Q117" s="554">
        <v>19227.844364812336</v>
      </c>
      <c r="R117" s="555">
        <v>26354</v>
      </c>
      <c r="S117" s="554">
        <v>26701.521724612325</v>
      </c>
      <c r="T117" s="555"/>
      <c r="U117" s="554">
        <v>30000</v>
      </c>
      <c r="V117" s="554">
        <v>30000</v>
      </c>
      <c r="W117" s="554">
        <v>27425</v>
      </c>
      <c r="X117" s="554">
        <v>24094</v>
      </c>
      <c r="Y117" s="554">
        <v>31367</v>
      </c>
      <c r="Z117" s="554">
        <v>27333</v>
      </c>
      <c r="AA117" s="554">
        <v>34922</v>
      </c>
      <c r="AB117" s="554">
        <v>29134.364000000001</v>
      </c>
      <c r="AC117" s="554">
        <f t="shared" si="49"/>
        <v>33504.518600000003</v>
      </c>
      <c r="AD117" s="554">
        <f t="shared" si="49"/>
        <v>37525.060832000003</v>
      </c>
      <c r="AE117" s="554">
        <f t="shared" si="49"/>
        <v>42028.068131840002</v>
      </c>
      <c r="AF117" s="554">
        <f t="shared" si="49"/>
        <v>47071.436307660799</v>
      </c>
      <c r="AG117" s="554">
        <f t="shared" si="49"/>
        <v>52720.008664580091</v>
      </c>
      <c r="AH117" s="554">
        <f t="shared" si="49"/>
        <v>59046.409704329701</v>
      </c>
      <c r="AI117" s="554">
        <f t="shared" si="49"/>
        <v>66131.97886884927</v>
      </c>
      <c r="AJ117" s="554">
        <f t="shared" si="49"/>
        <v>74067.816333111186</v>
      </c>
      <c r="AK117" s="554">
        <f t="shared" si="49"/>
        <v>82955.954293084535</v>
      </c>
      <c r="AL117" s="554">
        <f t="shared" si="49"/>
        <v>92910.668808254675</v>
      </c>
    </row>
    <row r="118" spans="1:38" s="528" customFormat="1" ht="12">
      <c r="A118" s="507"/>
      <c r="B118" s="553"/>
      <c r="C118" s="533" t="s">
        <v>247</v>
      </c>
      <c r="D118" s="516"/>
      <c r="E118" s="554">
        <v>6792</v>
      </c>
      <c r="F118" s="554">
        <v>8633.4174504591538</v>
      </c>
      <c r="G118" s="554">
        <v>7686.8636263956778</v>
      </c>
      <c r="H118" s="554">
        <v>9375.3116389426323</v>
      </c>
      <c r="I118" s="554">
        <v>6252</v>
      </c>
      <c r="J118" s="554">
        <v>3581.6517157957442</v>
      </c>
      <c r="K118" s="554">
        <v>4454.7489690176581</v>
      </c>
      <c r="L118" s="554">
        <v>7061.1277307393484</v>
      </c>
      <c r="M118" s="554">
        <v>6286.28589296875</v>
      </c>
      <c r="N118" s="554">
        <v>2007.977623564421</v>
      </c>
      <c r="O118" s="554">
        <v>8673.9619202680606</v>
      </c>
      <c r="P118" s="554">
        <v>5331.5432371143243</v>
      </c>
      <c r="Q118" s="554">
        <v>7561.3764628467507</v>
      </c>
      <c r="R118" s="555">
        <v>9885.461538461539</v>
      </c>
      <c r="S118" s="554">
        <v>10702.141360611335</v>
      </c>
      <c r="T118" s="555"/>
      <c r="U118" s="554">
        <v>12000</v>
      </c>
      <c r="V118" s="554">
        <v>12000</v>
      </c>
      <c r="W118" s="554">
        <v>9844.4175953382946</v>
      </c>
      <c r="X118" s="554">
        <v>10653</v>
      </c>
      <c r="Y118" s="554">
        <v>10094</v>
      </c>
      <c r="Z118" s="554">
        <v>12807</v>
      </c>
      <c r="AA118" s="554">
        <v>14733</v>
      </c>
      <c r="AB118" s="554">
        <v>9167.8977047773769</v>
      </c>
      <c r="AC118" s="554">
        <f t="shared" si="49"/>
        <v>10543.082360493983</v>
      </c>
      <c r="AD118" s="554">
        <f t="shared" si="49"/>
        <v>12124.544714568083</v>
      </c>
      <c r="AE118" s="554">
        <f t="shared" si="49"/>
        <v>13943.226421753297</v>
      </c>
      <c r="AF118" s="554">
        <f t="shared" si="49"/>
        <v>16034.710385016291</v>
      </c>
      <c r="AG118" s="554">
        <f t="shared" si="49"/>
        <v>18439.916942768734</v>
      </c>
      <c r="AH118" s="554">
        <f t="shared" si="49"/>
        <v>21205.904484184044</v>
      </c>
      <c r="AI118" s="554">
        <f t="shared" si="49"/>
        <v>24386.79015681165</v>
      </c>
      <c r="AJ118" s="554">
        <f t="shared" si="49"/>
        <v>28044.808680333397</v>
      </c>
      <c r="AK118" s="554">
        <f t="shared" si="49"/>
        <v>32251.529982383403</v>
      </c>
      <c r="AL118" s="554">
        <f t="shared" si="49"/>
        <v>37089.259479740911</v>
      </c>
    </row>
    <row r="119" spans="1:38" s="528" customFormat="1" ht="12">
      <c r="A119" s="507"/>
      <c r="B119" s="553"/>
      <c r="C119" s="533" t="s">
        <v>248</v>
      </c>
      <c r="D119" s="516"/>
      <c r="E119" s="554">
        <v>0</v>
      </c>
      <c r="F119" s="554">
        <v>0</v>
      </c>
      <c r="G119" s="554">
        <v>0</v>
      </c>
      <c r="H119" s="554">
        <v>0</v>
      </c>
      <c r="I119" s="554">
        <v>0</v>
      </c>
      <c r="J119" s="554">
        <v>0</v>
      </c>
      <c r="K119" s="554">
        <v>0</v>
      </c>
      <c r="L119" s="554">
        <v>0</v>
      </c>
      <c r="M119" s="554">
        <v>0</v>
      </c>
      <c r="N119" s="554">
        <v>0</v>
      </c>
      <c r="O119" s="554">
        <v>-136.93726702314942</v>
      </c>
      <c r="P119" s="554">
        <v>0</v>
      </c>
      <c r="Q119" s="554">
        <v>0</v>
      </c>
      <c r="R119" s="555">
        <v>0</v>
      </c>
      <c r="S119" s="554">
        <v>0</v>
      </c>
      <c r="T119" s="555"/>
      <c r="U119" s="554">
        <v>10000</v>
      </c>
      <c r="V119" s="554">
        <v>10000</v>
      </c>
      <c r="W119" s="554">
        <v>0</v>
      </c>
      <c r="X119" s="554">
        <v>3109.1426552154899</v>
      </c>
      <c r="Y119" s="554">
        <v>15400</v>
      </c>
      <c r="Z119" s="554">
        <v>8266</v>
      </c>
      <c r="AA119" s="554">
        <v>16164</v>
      </c>
      <c r="AB119" s="554">
        <v>8675.9306763315035</v>
      </c>
      <c r="AC119" s="554">
        <f t="shared" si="49"/>
        <v>9977.3202777812294</v>
      </c>
      <c r="AD119" s="554">
        <f t="shared" si="49"/>
        <v>11473.918319448416</v>
      </c>
      <c r="AE119" s="554">
        <f t="shared" si="49"/>
        <v>13195.006067365679</v>
      </c>
      <c r="AF119" s="554">
        <f t="shared" si="49"/>
        <v>15174.25697747053</v>
      </c>
      <c r="AG119" s="554">
        <f t="shared" si="49"/>
        <v>17450.395524091109</v>
      </c>
      <c r="AH119" s="554">
        <f t="shared" si="49"/>
        <v>19195.43507650022</v>
      </c>
      <c r="AI119" s="554">
        <f t="shared" si="49"/>
        <v>21114.978584150245</v>
      </c>
      <c r="AJ119" s="554">
        <f t="shared" si="49"/>
        <v>23226.476442565272</v>
      </c>
      <c r="AK119" s="554">
        <f t="shared" si="49"/>
        <v>25549.124086821801</v>
      </c>
      <c r="AL119" s="554">
        <f t="shared" si="49"/>
        <v>28104.036495503984</v>
      </c>
    </row>
    <row r="120" spans="1:38" s="528" customFormat="1" ht="12">
      <c r="A120" s="533"/>
      <c r="B120" s="553"/>
      <c r="C120" s="533" t="s">
        <v>230</v>
      </c>
      <c r="D120" s="516"/>
      <c r="E120" s="554">
        <v>7099</v>
      </c>
      <c r="F120" s="554">
        <v>8222.1682771364376</v>
      </c>
      <c r="G120" s="554">
        <v>7885.5270599507085</v>
      </c>
      <c r="H120" s="554">
        <v>9000.2062991304356</v>
      </c>
      <c r="I120" s="554">
        <v>5316</v>
      </c>
      <c r="J120" s="554">
        <v>3195.3321423927855</v>
      </c>
      <c r="K120" s="554">
        <v>4164.5360042894554</v>
      </c>
      <c r="L120" s="554">
        <v>6048.3097235828272</v>
      </c>
      <c r="M120" s="554">
        <v>5535.6112872000003</v>
      </c>
      <c r="N120" s="554">
        <v>2062.1308690193891</v>
      </c>
      <c r="O120" s="554">
        <v>8392.7880875049741</v>
      </c>
      <c r="P120" s="554">
        <v>4841.7415799416731</v>
      </c>
      <c r="Q120" s="554">
        <v>6683.3274508205832</v>
      </c>
      <c r="R120" s="555">
        <v>8571.3846153846152</v>
      </c>
      <c r="S120" s="554">
        <v>8304.5091030809672</v>
      </c>
      <c r="T120" s="555"/>
      <c r="U120" s="554">
        <v>9000</v>
      </c>
      <c r="V120" s="554">
        <v>9000</v>
      </c>
      <c r="W120" s="554">
        <v>9281.2024112511081</v>
      </c>
      <c r="X120" s="554">
        <v>7858</v>
      </c>
      <c r="Y120" s="554">
        <v>8612</v>
      </c>
      <c r="Z120" s="554">
        <v>5267</v>
      </c>
      <c r="AA120" s="554">
        <v>6067</v>
      </c>
      <c r="AB120" s="554">
        <v>5899.2519425039645</v>
      </c>
      <c r="AC120" s="554">
        <f t="shared" ref="AC120:AL127" si="50">AB120+(AB120*AC87)</f>
        <v>6784.1397338795596</v>
      </c>
      <c r="AD120" s="554">
        <f t="shared" si="50"/>
        <v>7801.9925510952553</v>
      </c>
      <c r="AE120" s="554">
        <f t="shared" si="50"/>
        <v>8972.558077387399</v>
      </c>
      <c r="AF120" s="554">
        <f t="shared" si="50"/>
        <v>10318.748438280451</v>
      </c>
      <c r="AG120" s="554">
        <f t="shared" si="50"/>
        <v>11866.913361180354</v>
      </c>
      <c r="AH120" s="554">
        <f t="shared" si="50"/>
        <v>13647.355933141451</v>
      </c>
      <c r="AI120" s="554">
        <f t="shared" si="50"/>
        <v>15694.925739925147</v>
      </c>
      <c r="AJ120" s="554">
        <f t="shared" si="50"/>
        <v>18049.700996188694</v>
      </c>
      <c r="AK120" s="554">
        <f t="shared" si="50"/>
        <v>20757.773018515021</v>
      </c>
      <c r="AL120" s="554">
        <f t="shared" si="50"/>
        <v>23872.148396207464</v>
      </c>
    </row>
    <row r="121" spans="1:38" s="528" customFormat="1" ht="12">
      <c r="A121" s="533"/>
      <c r="B121" s="553"/>
      <c r="C121" s="533" t="s">
        <v>249</v>
      </c>
      <c r="D121" s="516"/>
      <c r="E121" s="554"/>
      <c r="F121" s="554"/>
      <c r="G121" s="554"/>
      <c r="H121" s="554"/>
      <c r="I121" s="554">
        <v>0</v>
      </c>
      <c r="J121" s="554">
        <v>0</v>
      </c>
      <c r="K121" s="554">
        <v>0</v>
      </c>
      <c r="L121" s="554">
        <v>0</v>
      </c>
      <c r="M121" s="554">
        <v>0</v>
      </c>
      <c r="N121" s="554">
        <v>0</v>
      </c>
      <c r="O121" s="554">
        <v>0</v>
      </c>
      <c r="P121" s="554"/>
      <c r="Q121" s="554">
        <v>0</v>
      </c>
      <c r="R121" s="555">
        <v>0</v>
      </c>
      <c r="S121" s="554">
        <v>0</v>
      </c>
      <c r="T121" s="555"/>
      <c r="U121" s="554">
        <v>0</v>
      </c>
      <c r="V121" s="554">
        <v>0</v>
      </c>
      <c r="W121" s="554">
        <v>0</v>
      </c>
      <c r="X121" s="554">
        <v>4081</v>
      </c>
      <c r="Y121" s="554">
        <v>4312</v>
      </c>
      <c r="Z121" s="554">
        <v>2165</v>
      </c>
      <c r="AA121" s="554">
        <v>3100</v>
      </c>
      <c r="AB121" s="554">
        <v>2395.6790000000001</v>
      </c>
      <c r="AC121" s="554">
        <f>AB121+(AB121*AC88)</f>
        <v>2467.5493700000002</v>
      </c>
      <c r="AD121" s="554">
        <f>AC121+(AC121*AD88)</f>
        <v>2541.5758511000004</v>
      </c>
      <c r="AE121" s="554">
        <f>AD121+(AD121*AE88)</f>
        <v>2617.8231266330004</v>
      </c>
      <c r="AF121" s="554">
        <f>AE121+(AE121*AF88)</f>
        <v>2696.3578204319901</v>
      </c>
      <c r="AG121" s="554">
        <f>AF121+(AF121*AG88)</f>
        <v>2777.2485550449501</v>
      </c>
      <c r="AH121" s="554"/>
      <c r="AI121" s="554"/>
      <c r="AJ121" s="554"/>
      <c r="AK121" s="554"/>
      <c r="AL121" s="554"/>
    </row>
    <row r="122" spans="1:38" s="528" customFormat="1" ht="12">
      <c r="A122" s="533"/>
      <c r="B122" s="553"/>
      <c r="C122" s="533" t="s">
        <v>250</v>
      </c>
      <c r="D122" s="516"/>
      <c r="E122" s="554"/>
      <c r="F122" s="554"/>
      <c r="G122" s="554"/>
      <c r="H122" s="554"/>
      <c r="I122" s="554">
        <v>0</v>
      </c>
      <c r="J122" s="554">
        <v>0</v>
      </c>
      <c r="K122" s="554">
        <v>0</v>
      </c>
      <c r="L122" s="554">
        <v>0</v>
      </c>
      <c r="M122" s="554">
        <v>0</v>
      </c>
      <c r="N122" s="554">
        <v>0</v>
      </c>
      <c r="O122" s="554">
        <v>0</v>
      </c>
      <c r="P122" s="554"/>
      <c r="Q122" s="554">
        <v>6198</v>
      </c>
      <c r="R122" s="555">
        <v>8264</v>
      </c>
      <c r="S122" s="554">
        <v>9372.6467062790562</v>
      </c>
      <c r="T122" s="555"/>
      <c r="U122" s="554">
        <f>+R122*1.09</f>
        <v>9007.76</v>
      </c>
      <c r="V122" s="554">
        <f>+R122*1.09</f>
        <v>9007.76</v>
      </c>
      <c r="W122" s="554">
        <v>9144</v>
      </c>
      <c r="X122" s="554">
        <v>7765.0904291068064</v>
      </c>
      <c r="Y122" s="554">
        <f>X122*1.05</f>
        <v>8153.3449505621475</v>
      </c>
      <c r="Z122" s="554">
        <v>9128</v>
      </c>
      <c r="AA122" s="554">
        <v>8438</v>
      </c>
      <c r="AB122" s="554">
        <v>10113.211043346062</v>
      </c>
      <c r="AC122" s="554">
        <f t="shared" si="50"/>
        <v>10618.871595513365</v>
      </c>
      <c r="AD122" s="554">
        <f t="shared" si="50"/>
        <v>11149.815175289034</v>
      </c>
      <c r="AE122" s="554">
        <f t="shared" si="50"/>
        <v>11707.305934053486</v>
      </c>
      <c r="AF122" s="554">
        <f t="shared" si="50"/>
        <v>12292.671230756161</v>
      </c>
      <c r="AG122" s="554">
        <f t="shared" si="50"/>
        <v>12907.30479229397</v>
      </c>
      <c r="AH122" s="554">
        <f t="shared" si="50"/>
        <v>13552.670031908669</v>
      </c>
      <c r="AI122" s="554">
        <f t="shared" si="50"/>
        <v>14230.303533504102</v>
      </c>
      <c r="AJ122" s="554">
        <f t="shared" si="50"/>
        <v>14941.818710179308</v>
      </c>
      <c r="AK122" s="554">
        <f t="shared" si="50"/>
        <v>15688.909645688274</v>
      </c>
      <c r="AL122" s="554">
        <f t="shared" si="50"/>
        <v>16473.355127972689</v>
      </c>
    </row>
    <row r="123" spans="1:38" s="528" customFormat="1" ht="12">
      <c r="A123" s="533"/>
      <c r="B123" s="553"/>
      <c r="C123" s="533" t="s">
        <v>251</v>
      </c>
      <c r="D123" s="516"/>
      <c r="E123" s="554"/>
      <c r="F123" s="554"/>
      <c r="G123" s="554"/>
      <c r="H123" s="554"/>
      <c r="I123" s="554">
        <v>0</v>
      </c>
      <c r="J123" s="554">
        <v>0</v>
      </c>
      <c r="K123" s="554">
        <v>0</v>
      </c>
      <c r="L123" s="554">
        <v>0</v>
      </c>
      <c r="M123" s="554">
        <v>0</v>
      </c>
      <c r="N123" s="554">
        <v>0</v>
      </c>
      <c r="O123" s="554">
        <v>0</v>
      </c>
      <c r="P123" s="554"/>
      <c r="Q123" s="554">
        <v>3361</v>
      </c>
      <c r="R123" s="555">
        <f>3653*1.3</f>
        <v>4748.9000000000005</v>
      </c>
      <c r="S123" s="554">
        <v>4867.0980051200004</v>
      </c>
      <c r="T123" s="555"/>
      <c r="U123" s="554">
        <f>3745*1.35</f>
        <v>5055.75</v>
      </c>
      <c r="V123" s="554">
        <f>3745*1.35</f>
        <v>5055.75</v>
      </c>
      <c r="W123" s="554">
        <v>5928</v>
      </c>
      <c r="X123" s="554">
        <v>5618.4514098600002</v>
      </c>
      <c r="Y123" s="554">
        <f>X123*1.05</f>
        <v>5899.3739803530007</v>
      </c>
      <c r="Z123" s="554">
        <v>5997</v>
      </c>
      <c r="AA123" s="554">
        <v>6000</v>
      </c>
      <c r="AB123" s="554">
        <v>6952.7681476699991</v>
      </c>
      <c r="AC123" s="554">
        <f t="shared" si="50"/>
        <v>7369.9342365301991</v>
      </c>
      <c r="AD123" s="554">
        <f t="shared" si="50"/>
        <v>7812.1302907220115</v>
      </c>
      <c r="AE123" s="554">
        <f t="shared" si="50"/>
        <v>8280.8581081653319</v>
      </c>
      <c r="AF123" s="554">
        <f t="shared" si="50"/>
        <v>8777.7095946552527</v>
      </c>
      <c r="AG123" s="554">
        <f t="shared" si="50"/>
        <v>9304.3721703345691</v>
      </c>
      <c r="AH123" s="554">
        <f t="shared" si="50"/>
        <v>9862.6345005546445</v>
      </c>
      <c r="AI123" s="554">
        <f t="shared" si="50"/>
        <v>10454.392570587923</v>
      </c>
      <c r="AJ123" s="554">
        <f t="shared" si="50"/>
        <v>11081.656124823199</v>
      </c>
      <c r="AK123" s="554">
        <f t="shared" si="50"/>
        <v>11746.555492312591</v>
      </c>
      <c r="AL123" s="554">
        <f t="shared" si="50"/>
        <v>12451.348821851347</v>
      </c>
    </row>
    <row r="124" spans="1:38" s="528" customFormat="1" ht="12">
      <c r="A124" s="533"/>
      <c r="B124" s="553"/>
      <c r="C124" s="533" t="s">
        <v>227</v>
      </c>
      <c r="D124" s="516"/>
      <c r="E124" s="554"/>
      <c r="F124" s="554"/>
      <c r="G124" s="554"/>
      <c r="H124" s="554"/>
      <c r="I124" s="554"/>
      <c r="J124" s="554"/>
      <c r="K124" s="554"/>
      <c r="L124" s="554"/>
      <c r="M124" s="554"/>
      <c r="N124" s="554"/>
      <c r="O124" s="554"/>
      <c r="P124" s="554"/>
      <c r="Q124" s="554"/>
      <c r="R124" s="555"/>
      <c r="S124" s="554"/>
      <c r="T124" s="555"/>
      <c r="U124" s="554"/>
      <c r="V124" s="554"/>
      <c r="W124" s="554"/>
      <c r="X124" s="554">
        <v>616</v>
      </c>
      <c r="Y124" s="554">
        <v>1144</v>
      </c>
      <c r="Z124" s="554">
        <v>1481</v>
      </c>
      <c r="AA124" s="554">
        <v>0</v>
      </c>
      <c r="AB124" s="554">
        <v>5623.8534367689799</v>
      </c>
      <c r="AC124" s="554">
        <f t="shared" si="50"/>
        <v>6467.431452284327</v>
      </c>
      <c r="AD124" s="554">
        <f t="shared" si="50"/>
        <v>7760.9177427411923</v>
      </c>
      <c r="AE124" s="554">
        <f t="shared" si="50"/>
        <v>9313.1012912894312</v>
      </c>
      <c r="AF124" s="554">
        <f t="shared" si="50"/>
        <v>11175.721549547317</v>
      </c>
      <c r="AG124" s="554">
        <f t="shared" si="50"/>
        <v>13410.865859456781</v>
      </c>
      <c r="AH124" s="554">
        <f t="shared" si="50"/>
        <v>16093.039031348137</v>
      </c>
      <c r="AI124" s="554">
        <f t="shared" si="50"/>
        <v>19311.646837617762</v>
      </c>
      <c r="AJ124" s="554">
        <f t="shared" si="50"/>
        <v>23173.976205141313</v>
      </c>
      <c r="AK124" s="554">
        <f t="shared" si="50"/>
        <v>27808.771446169572</v>
      </c>
      <c r="AL124" s="554">
        <f t="shared" si="50"/>
        <v>33370.525735403484</v>
      </c>
    </row>
    <row r="125" spans="1:38" s="528" customFormat="1" ht="12">
      <c r="A125" s="533"/>
      <c r="B125" s="553"/>
      <c r="C125" s="533" t="s">
        <v>228</v>
      </c>
      <c r="D125" s="516"/>
      <c r="E125" s="554"/>
      <c r="F125" s="554"/>
      <c r="G125" s="554"/>
      <c r="H125" s="554"/>
      <c r="I125" s="554"/>
      <c r="J125" s="554"/>
      <c r="K125" s="554"/>
      <c r="L125" s="554"/>
      <c r="M125" s="554"/>
      <c r="N125" s="554"/>
      <c r="O125" s="554"/>
      <c r="P125" s="554"/>
      <c r="Q125" s="554"/>
      <c r="R125" s="555"/>
      <c r="S125" s="554"/>
      <c r="T125" s="555"/>
      <c r="U125" s="554"/>
      <c r="V125" s="554"/>
      <c r="W125" s="554"/>
      <c r="X125" s="554"/>
      <c r="Y125" s="554">
        <v>152</v>
      </c>
      <c r="Z125" s="554">
        <v>758</v>
      </c>
      <c r="AA125" s="554">
        <v>3000</v>
      </c>
      <c r="AB125" s="554">
        <v>2954.3939394698</v>
      </c>
      <c r="AC125" s="554">
        <f t="shared" si="50"/>
        <v>3397.5530303902701</v>
      </c>
      <c r="AD125" s="554">
        <f t="shared" si="50"/>
        <v>4077.0636364683241</v>
      </c>
      <c r="AE125" s="554">
        <f t="shared" si="50"/>
        <v>4892.476363761989</v>
      </c>
      <c r="AF125" s="554">
        <f t="shared" si="50"/>
        <v>5870.9716365143868</v>
      </c>
      <c r="AG125" s="554">
        <f t="shared" si="50"/>
        <v>7045.165963817265</v>
      </c>
      <c r="AH125" s="554">
        <f t="shared" si="50"/>
        <v>8454.1991565807184</v>
      </c>
      <c r="AI125" s="554">
        <f t="shared" si="50"/>
        <v>10145.038987896862</v>
      </c>
      <c r="AJ125" s="554">
        <f t="shared" si="50"/>
        <v>12174.046785476234</v>
      </c>
      <c r="AK125" s="554">
        <f t="shared" si="50"/>
        <v>14608.85614257148</v>
      </c>
      <c r="AL125" s="554">
        <f t="shared" si="50"/>
        <v>17530.627371085775</v>
      </c>
    </row>
    <row r="126" spans="1:38" s="528" customFormat="1" ht="12">
      <c r="A126" s="533"/>
      <c r="B126" s="553"/>
      <c r="C126" s="533" t="s">
        <v>252</v>
      </c>
      <c r="D126" s="516"/>
      <c r="E126" s="554"/>
      <c r="F126" s="554"/>
      <c r="G126" s="554"/>
      <c r="H126" s="554"/>
      <c r="I126" s="554"/>
      <c r="J126" s="554"/>
      <c r="K126" s="554"/>
      <c r="L126" s="554"/>
      <c r="M126" s="554"/>
      <c r="N126" s="554"/>
      <c r="O126" s="554"/>
      <c r="P126" s="554"/>
      <c r="Q126" s="554">
        <v>318</v>
      </c>
      <c r="R126" s="555">
        <v>350</v>
      </c>
      <c r="S126" s="554">
        <v>370.94548363939987</v>
      </c>
      <c r="T126" s="555"/>
      <c r="U126" s="554">
        <v>500</v>
      </c>
      <c r="V126" s="554">
        <v>500</v>
      </c>
      <c r="W126" s="554">
        <v>168</v>
      </c>
      <c r="X126" s="554">
        <v>51</v>
      </c>
      <c r="Y126" s="554"/>
      <c r="Z126" s="554">
        <v>51.81</v>
      </c>
      <c r="AA126" s="554">
        <v>0</v>
      </c>
      <c r="AB126" s="554">
        <v>3</v>
      </c>
      <c r="AC126" s="554">
        <f t="shared" si="50"/>
        <v>3.15</v>
      </c>
      <c r="AD126" s="554">
        <f t="shared" si="50"/>
        <v>3.339</v>
      </c>
      <c r="AE126" s="554">
        <f t="shared" si="50"/>
        <v>3.5393400000000002</v>
      </c>
      <c r="AF126" s="554">
        <f t="shared" si="50"/>
        <v>3.7517004000000003</v>
      </c>
      <c r="AG126" s="554">
        <f t="shared" si="50"/>
        <v>3.9768024240000006</v>
      </c>
      <c r="AH126" s="554">
        <f t="shared" si="50"/>
        <v>4.2154105694400013</v>
      </c>
      <c r="AI126" s="554">
        <f t="shared" si="50"/>
        <v>4.4683352036064017</v>
      </c>
      <c r="AJ126" s="554">
        <f t="shared" si="50"/>
        <v>4.7364353158227859</v>
      </c>
      <c r="AK126" s="554">
        <f t="shared" si="50"/>
        <v>5.0206214347721536</v>
      </c>
      <c r="AL126" s="554">
        <f t="shared" si="50"/>
        <v>5.3218587208584829</v>
      </c>
    </row>
    <row r="127" spans="1:38" s="528" customFormat="1" ht="12">
      <c r="A127" s="533"/>
      <c r="B127" s="553"/>
      <c r="C127" s="533" t="s">
        <v>259</v>
      </c>
      <c r="D127" s="516"/>
      <c r="E127" s="554"/>
      <c r="F127" s="554"/>
      <c r="G127" s="554"/>
      <c r="H127" s="554"/>
      <c r="I127" s="554">
        <v>0</v>
      </c>
      <c r="J127" s="554">
        <v>0</v>
      </c>
      <c r="K127" s="554">
        <v>0</v>
      </c>
      <c r="L127" s="554">
        <v>0</v>
      </c>
      <c r="M127" s="554">
        <v>0</v>
      </c>
      <c r="N127" s="554">
        <v>0</v>
      </c>
      <c r="O127" s="554">
        <v>0</v>
      </c>
      <c r="P127" s="554"/>
      <c r="Q127" s="554">
        <f>2845</f>
        <v>2845</v>
      </c>
      <c r="R127" s="555">
        <f>+Q127/9*12</f>
        <v>3793.333333333333</v>
      </c>
      <c r="S127" s="554">
        <v>4379.5305129622857</v>
      </c>
      <c r="T127" s="555"/>
      <c r="U127" s="554">
        <f>+R127*1.05</f>
        <v>3983</v>
      </c>
      <c r="V127" s="554">
        <f>+R127*1.05</f>
        <v>3983</v>
      </c>
      <c r="W127" s="554">
        <v>2847.0832047242325</v>
      </c>
      <c r="X127" s="554">
        <f>7859-650-461</f>
        <v>6748</v>
      </c>
      <c r="Y127" s="554">
        <f>X127*1.05</f>
        <v>7085.4000000000005</v>
      </c>
      <c r="Z127" s="554">
        <v>1852.51244976</v>
      </c>
      <c r="AA127" s="554">
        <v>314</v>
      </c>
      <c r="AB127" s="554">
        <v>4733.4338269539949</v>
      </c>
      <c r="AC127" s="554">
        <f t="shared" si="50"/>
        <v>4970.1055183016942</v>
      </c>
      <c r="AD127" s="554">
        <f t="shared" si="50"/>
        <v>5318.0129045828135</v>
      </c>
      <c r="AE127" s="554">
        <f t="shared" si="50"/>
        <v>5690.2738079036108</v>
      </c>
      <c r="AF127" s="554">
        <f t="shared" si="50"/>
        <v>6088.5929744568639</v>
      </c>
      <c r="AG127" s="554">
        <f t="shared" si="50"/>
        <v>6514.7944826688445</v>
      </c>
      <c r="AH127" s="554">
        <f t="shared" si="50"/>
        <v>6970.8300964556638</v>
      </c>
      <c r="AI127" s="554">
        <f t="shared" si="50"/>
        <v>7458.7882032075604</v>
      </c>
      <c r="AJ127" s="554">
        <f t="shared" si="50"/>
        <v>7980.9033774320906</v>
      </c>
      <c r="AK127" s="554">
        <f t="shared" si="50"/>
        <v>8539.5666138523375</v>
      </c>
      <c r="AL127" s="554">
        <f t="shared" si="50"/>
        <v>9137.3362768220013</v>
      </c>
    </row>
    <row r="128" spans="1:38" s="528" customFormat="1" ht="12">
      <c r="A128" s="533"/>
      <c r="B128" s="553"/>
      <c r="C128" s="533" t="s">
        <v>254</v>
      </c>
      <c r="D128" s="516"/>
      <c r="E128" s="554"/>
      <c r="F128" s="554"/>
      <c r="G128" s="554"/>
      <c r="H128" s="554"/>
      <c r="I128" s="554">
        <v>0</v>
      </c>
      <c r="J128" s="554">
        <v>0</v>
      </c>
      <c r="K128" s="554"/>
      <c r="L128" s="554">
        <v>0</v>
      </c>
      <c r="M128" s="554"/>
      <c r="N128" s="554"/>
      <c r="O128" s="554">
        <v>0</v>
      </c>
      <c r="P128" s="554"/>
      <c r="Q128" s="554">
        <f>-23145/13</f>
        <v>-1780.3846153846155</v>
      </c>
      <c r="R128" s="555">
        <f>+Q128/9*12</f>
        <v>-2373.8461538461538</v>
      </c>
      <c r="S128" s="554">
        <f>-34645/12.8411</f>
        <v>-2697.9775875898481</v>
      </c>
      <c r="T128" s="555"/>
      <c r="U128" s="554">
        <f>+R128*1.05</f>
        <v>-2492.5384615384614</v>
      </c>
      <c r="V128" s="554">
        <f>+R128*1.05</f>
        <v>-2492.5384615384614</v>
      </c>
      <c r="W128" s="554">
        <f>-1447.58212395872</f>
        <v>-1447.5821239587201</v>
      </c>
      <c r="X128" s="554">
        <v>-2185</v>
      </c>
      <c r="Y128" s="554">
        <v>0</v>
      </c>
      <c r="Z128" s="554">
        <v>735.48755024000002</v>
      </c>
      <c r="AA128" s="554">
        <f>846+517+356+505</f>
        <v>2224</v>
      </c>
      <c r="AB128" s="554">
        <v>0</v>
      </c>
      <c r="AC128" s="554">
        <v>0</v>
      </c>
      <c r="AD128" s="554">
        <v>0</v>
      </c>
      <c r="AE128" s="554">
        <v>0</v>
      </c>
      <c r="AF128" s="554">
        <v>0</v>
      </c>
      <c r="AG128" s="554">
        <v>0</v>
      </c>
      <c r="AH128" s="554">
        <v>0</v>
      </c>
      <c r="AI128" s="554">
        <v>0</v>
      </c>
      <c r="AJ128" s="554">
        <v>0</v>
      </c>
      <c r="AK128" s="554">
        <v>0</v>
      </c>
      <c r="AL128" s="554">
        <v>0</v>
      </c>
    </row>
    <row r="129" spans="1:38" s="528" customFormat="1" ht="12">
      <c r="A129" s="533"/>
      <c r="B129" s="553"/>
      <c r="C129" s="533" t="s">
        <v>255</v>
      </c>
      <c r="D129" s="516"/>
      <c r="E129" s="554">
        <v>1668</v>
      </c>
      <c r="F129" s="554">
        <v>1955.7507530367257</v>
      </c>
      <c r="G129" s="554">
        <v>2562.6446479531855</v>
      </c>
      <c r="H129" s="554">
        <v>4075.4791769536132</v>
      </c>
      <c r="I129" s="554">
        <v>6980</v>
      </c>
      <c r="J129" s="554">
        <v>10885.651498779775</v>
      </c>
      <c r="K129" s="554">
        <v>10962.827242961612</v>
      </c>
      <c r="L129" s="554">
        <v>15896.894114156403</v>
      </c>
      <c r="M129" s="554">
        <v>15438.32</v>
      </c>
      <c r="N129" s="554">
        <v>5146.0932676957891</v>
      </c>
      <c r="O129" s="554">
        <v>22375.695178209266</v>
      </c>
      <c r="P129" s="554">
        <v>0</v>
      </c>
      <c r="Q129" s="554">
        <v>0</v>
      </c>
      <c r="R129" s="556">
        <v>0</v>
      </c>
      <c r="S129" s="554">
        <v>0</v>
      </c>
      <c r="T129" s="556">
        <v>0</v>
      </c>
      <c r="U129" s="554">
        <v>0</v>
      </c>
      <c r="V129" s="554">
        <v>0</v>
      </c>
      <c r="W129" s="554">
        <v>0</v>
      </c>
      <c r="X129" s="554">
        <v>0</v>
      </c>
      <c r="Y129" s="554">
        <v>0</v>
      </c>
      <c r="Z129" s="554">
        <v>0</v>
      </c>
      <c r="AA129" s="554">
        <v>0</v>
      </c>
      <c r="AB129" s="554">
        <v>0</v>
      </c>
      <c r="AC129" s="554">
        <v>0</v>
      </c>
      <c r="AD129" s="554">
        <v>0</v>
      </c>
      <c r="AE129" s="554">
        <v>0</v>
      </c>
      <c r="AF129" s="554">
        <v>0</v>
      </c>
      <c r="AG129" s="554">
        <v>0</v>
      </c>
      <c r="AH129" s="554">
        <v>0</v>
      </c>
      <c r="AI129" s="554">
        <v>0</v>
      </c>
      <c r="AJ129" s="554">
        <v>0</v>
      </c>
      <c r="AK129" s="554">
        <v>0</v>
      </c>
      <c r="AL129" s="554">
        <v>0</v>
      </c>
    </row>
    <row r="130" spans="1:38" s="540" customFormat="1" ht="12">
      <c r="A130" s="528"/>
      <c r="B130" s="557"/>
      <c r="C130" s="558" t="s">
        <v>256</v>
      </c>
      <c r="D130" s="450"/>
      <c r="E130" s="559">
        <f t="shared" ref="E130:AB130" si="51">SUM(E104:E129)</f>
        <v>125567</v>
      </c>
      <c r="F130" s="559">
        <f t="shared" si="51"/>
        <v>167519.94549889604</v>
      </c>
      <c r="G130" s="559">
        <f t="shared" si="51"/>
        <v>226025.85969465555</v>
      </c>
      <c r="H130" s="559">
        <f t="shared" si="51"/>
        <v>262619.01230099553</v>
      </c>
      <c r="I130" s="559">
        <f t="shared" si="51"/>
        <v>309659</v>
      </c>
      <c r="J130" s="559">
        <f t="shared" si="51"/>
        <v>269941.18062579859</v>
      </c>
      <c r="K130" s="559">
        <f t="shared" si="51"/>
        <v>207068.31561784848</v>
      </c>
      <c r="L130" s="559">
        <f t="shared" si="51"/>
        <v>296085.89287708752</v>
      </c>
      <c r="M130" s="559">
        <f t="shared" si="51"/>
        <v>282291.01074026083</v>
      </c>
      <c r="N130" s="559">
        <f t="shared" si="51"/>
        <v>69393.738936277296</v>
      </c>
      <c r="O130" s="559">
        <f t="shared" si="51"/>
        <v>335859.12190877093</v>
      </c>
      <c r="P130" s="559">
        <f t="shared" si="51"/>
        <v>171295.97358653203</v>
      </c>
      <c r="Q130" s="559">
        <f t="shared" si="51"/>
        <v>283811.88285780721</v>
      </c>
      <c r="R130" s="559">
        <f t="shared" si="51"/>
        <v>382332.41703225649</v>
      </c>
      <c r="S130" s="559">
        <f>+S104+S105+S106+S107+S108+S109+S110+S114+S117+S118+S120</f>
        <v>383720.55001519318</v>
      </c>
      <c r="T130" s="559">
        <f>SUM(T104:T129)</f>
        <v>0</v>
      </c>
      <c r="U130" s="559">
        <f t="shared" si="51"/>
        <v>444553.97153846157</v>
      </c>
      <c r="V130" s="559">
        <f>SUM(V104:V129)</f>
        <v>444553.97153846157</v>
      </c>
      <c r="W130" s="559">
        <f>SUM(W104:W129)</f>
        <v>384589.97614112933</v>
      </c>
      <c r="X130" s="559">
        <f t="shared" si="51"/>
        <v>367418.01949418231</v>
      </c>
      <c r="Y130" s="559">
        <f t="shared" si="51"/>
        <v>425539.15893091518</v>
      </c>
      <c r="Z130" s="559">
        <f t="shared" si="51"/>
        <v>307333.81</v>
      </c>
      <c r="AA130" s="559">
        <f>SUM(AA104:AA129)+8178+2847</f>
        <v>381513</v>
      </c>
      <c r="AB130" s="559">
        <f t="shared" si="51"/>
        <v>312257.48335281393</v>
      </c>
      <c r="AC130" s="559">
        <f t="shared" ref="AC130:AH130" si="52">SUM(AC104:AC129)</f>
        <v>358342.98898519063</v>
      </c>
      <c r="AD130" s="559">
        <f t="shared" si="52"/>
        <v>396923.21675958112</v>
      </c>
      <c r="AE130" s="559">
        <f t="shared" si="52"/>
        <v>440373.0152253558</v>
      </c>
      <c r="AF130" s="559">
        <f t="shared" si="52"/>
        <v>489279.94662831834</v>
      </c>
      <c r="AG130" s="559">
        <f t="shared" si="52"/>
        <v>544448.04395964579</v>
      </c>
      <c r="AH130" s="559">
        <f t="shared" si="52"/>
        <v>584070.62660499639</v>
      </c>
      <c r="AI130" s="559">
        <f>SUM(AI104:AI129)</f>
        <v>631207.07497254934</v>
      </c>
      <c r="AJ130" s="559">
        <f>SUM(AJ104:AJ129)</f>
        <v>683772.1173816449</v>
      </c>
      <c r="AK130" s="559">
        <f>SUM(AK104:AK129)</f>
        <v>742574.46230527852</v>
      </c>
      <c r="AL130" s="559">
        <f>SUM(AL104:AL129)</f>
        <v>808560.66687735927</v>
      </c>
    </row>
    <row r="131" spans="1:38" s="528" customFormat="1" ht="12">
      <c r="B131" s="553"/>
      <c r="C131" s="560" t="s">
        <v>257</v>
      </c>
      <c r="D131" s="561"/>
      <c r="E131" s="562">
        <v>9120</v>
      </c>
      <c r="F131" s="562">
        <f>-148575+F130</f>
        <v>18944.945498896035</v>
      </c>
      <c r="G131" s="562">
        <f>226026-195991</f>
        <v>30035</v>
      </c>
      <c r="H131" s="562">
        <f>262619-234728</f>
        <v>27891</v>
      </c>
      <c r="I131" s="562">
        <f>309659-282364</f>
        <v>27295</v>
      </c>
      <c r="J131" s="562">
        <f>269941-240071</f>
        <v>29870</v>
      </c>
      <c r="K131" s="562">
        <f>207068-187527</f>
        <v>19541</v>
      </c>
      <c r="L131" s="562">
        <f>296086-267736</f>
        <v>28350</v>
      </c>
      <c r="M131" s="562">
        <f>281618-252317</f>
        <v>29301</v>
      </c>
      <c r="N131" s="562">
        <f>69394-60454</f>
        <v>8940</v>
      </c>
      <c r="O131" s="562">
        <f>335859-290159</f>
        <v>45700</v>
      </c>
      <c r="P131" s="562">
        <f>171296-145090</f>
        <v>26206</v>
      </c>
      <c r="Q131" s="562">
        <f>283812-231010</f>
        <v>52802</v>
      </c>
      <c r="R131" s="562">
        <f>+R130*R133</f>
        <v>68819.835065806168</v>
      </c>
      <c r="S131" s="562">
        <f>402221-332355-16772</f>
        <v>53094</v>
      </c>
      <c r="T131" s="562">
        <f>+T130*T133</f>
        <v>0</v>
      </c>
      <c r="U131" s="562">
        <f>+U130*U133</f>
        <v>80019.714876923084</v>
      </c>
      <c r="V131" s="562">
        <f>+V130*V133</f>
        <v>80019.714876923084</v>
      </c>
      <c r="W131" s="562">
        <f>384590-321506</f>
        <v>63084</v>
      </c>
      <c r="X131" s="562">
        <f>X130-293460</f>
        <v>73958.019494182314</v>
      </c>
      <c r="Y131" s="562">
        <f>Y130-318801</f>
        <v>106738.15893091518</v>
      </c>
      <c r="Z131" s="562">
        <f>+Z130-252827</f>
        <v>54506.81</v>
      </c>
      <c r="AA131" s="562">
        <v>67877</v>
      </c>
      <c r="AB131" s="562">
        <v>62673</v>
      </c>
      <c r="AC131" s="562">
        <f t="shared" ref="AC131:AL131" si="53">+AC130*AC133</f>
        <v>57334.878237630503</v>
      </c>
      <c r="AD131" s="562">
        <f t="shared" si="53"/>
        <v>69461.562932926696</v>
      </c>
      <c r="AE131" s="562">
        <f t="shared" si="53"/>
        <v>77065.277664437264</v>
      </c>
      <c r="AF131" s="562">
        <f t="shared" si="53"/>
        <v>85623.9906599557</v>
      </c>
      <c r="AG131" s="562">
        <f t="shared" si="53"/>
        <v>95278.40769293801</v>
      </c>
      <c r="AH131" s="562">
        <f t="shared" si="53"/>
        <v>102212.35965587436</v>
      </c>
      <c r="AI131" s="562">
        <f t="shared" si="53"/>
        <v>110461.23812019613</v>
      </c>
      <c r="AJ131" s="562">
        <f t="shared" si="53"/>
        <v>119660.12054178785</v>
      </c>
      <c r="AK131" s="562">
        <f t="shared" si="53"/>
        <v>129950.53090342373</v>
      </c>
      <c r="AL131" s="562">
        <f t="shared" si="53"/>
        <v>141498.11670353787</v>
      </c>
    </row>
    <row r="132" spans="1:38" s="528" customFormat="1" ht="12">
      <c r="B132" s="553"/>
      <c r="C132" s="558" t="s">
        <v>258</v>
      </c>
      <c r="D132" s="450"/>
      <c r="E132" s="559">
        <f t="shared" ref="E132:AH132" si="54">+E130-E131</f>
        <v>116447</v>
      </c>
      <c r="F132" s="559">
        <f t="shared" si="54"/>
        <v>148575</v>
      </c>
      <c r="G132" s="559">
        <f t="shared" si="54"/>
        <v>195990.85969465555</v>
      </c>
      <c r="H132" s="559">
        <f t="shared" si="54"/>
        <v>234728.01230099553</v>
      </c>
      <c r="I132" s="559">
        <f t="shared" si="54"/>
        <v>282364</v>
      </c>
      <c r="J132" s="559">
        <f t="shared" si="54"/>
        <v>240071.18062579859</v>
      </c>
      <c r="K132" s="559">
        <f t="shared" si="54"/>
        <v>187527.31561784848</v>
      </c>
      <c r="L132" s="559">
        <f t="shared" si="54"/>
        <v>267735.89287708752</v>
      </c>
      <c r="M132" s="559">
        <f t="shared" si="54"/>
        <v>252990.01074026083</v>
      </c>
      <c r="N132" s="559">
        <f t="shared" si="54"/>
        <v>60453.738936277296</v>
      </c>
      <c r="O132" s="559">
        <f t="shared" si="54"/>
        <v>290159.12190877093</v>
      </c>
      <c r="P132" s="559">
        <f t="shared" si="54"/>
        <v>145089.97358653203</v>
      </c>
      <c r="Q132" s="559">
        <f t="shared" si="54"/>
        <v>231009.88285780721</v>
      </c>
      <c r="R132" s="559">
        <f t="shared" si="54"/>
        <v>313512.58196645032</v>
      </c>
      <c r="S132" s="559">
        <f t="shared" si="54"/>
        <v>330626.55001519318</v>
      </c>
      <c r="T132" s="559">
        <f t="shared" si="54"/>
        <v>0</v>
      </c>
      <c r="U132" s="559">
        <f t="shared" si="54"/>
        <v>364534.2566615385</v>
      </c>
      <c r="V132" s="559">
        <f t="shared" si="54"/>
        <v>364534.2566615385</v>
      </c>
      <c r="W132" s="559">
        <f t="shared" si="54"/>
        <v>321505.97614112933</v>
      </c>
      <c r="X132" s="559">
        <f t="shared" si="54"/>
        <v>293460</v>
      </c>
      <c r="Y132" s="559">
        <f t="shared" si="54"/>
        <v>318801</v>
      </c>
      <c r="Z132" s="559">
        <f t="shared" si="54"/>
        <v>252827</v>
      </c>
      <c r="AA132" s="559">
        <f>+AA130-AA131</f>
        <v>313636</v>
      </c>
      <c r="AB132" s="559">
        <f t="shared" si="54"/>
        <v>249584.48335281393</v>
      </c>
      <c r="AC132" s="559">
        <f t="shared" si="54"/>
        <v>301008.11074756016</v>
      </c>
      <c r="AD132" s="559">
        <f t="shared" si="54"/>
        <v>327461.65382665442</v>
      </c>
      <c r="AE132" s="559">
        <f t="shared" si="54"/>
        <v>363307.73756091855</v>
      </c>
      <c r="AF132" s="559">
        <f t="shared" si="54"/>
        <v>403655.95596836263</v>
      </c>
      <c r="AG132" s="559">
        <f t="shared" si="54"/>
        <v>449169.63626670779</v>
      </c>
      <c r="AH132" s="559">
        <f t="shared" si="54"/>
        <v>481858.26694912201</v>
      </c>
      <c r="AI132" s="559">
        <f>+AI130-AI131</f>
        <v>520745.83685235318</v>
      </c>
      <c r="AJ132" s="559">
        <f>+AJ130-AJ131</f>
        <v>564111.99683985708</v>
      </c>
      <c r="AK132" s="559">
        <f>+AK130-AK131</f>
        <v>612623.93140185485</v>
      </c>
      <c r="AL132" s="559">
        <f>+AL130-AL131</f>
        <v>667062.55017382139</v>
      </c>
    </row>
    <row r="133" spans="1:38" s="528" customFormat="1" thickBot="1">
      <c r="B133" s="563"/>
      <c r="C133" s="564" t="s">
        <v>260</v>
      </c>
      <c r="D133" s="565"/>
      <c r="E133" s="566"/>
      <c r="F133" s="566"/>
      <c r="G133" s="567"/>
      <c r="H133" s="567"/>
      <c r="I133" s="568">
        <f>+I131/I130</f>
        <v>8.8145346978450487E-2</v>
      </c>
      <c r="J133" s="568">
        <f>+J131/J130</f>
        <v>0.1106537354943512</v>
      </c>
      <c r="K133" s="568">
        <f>+K131/K130</f>
        <v>9.4369821581316043E-2</v>
      </c>
      <c r="L133" s="568">
        <f>+L131/L130</f>
        <v>9.5749242642130125E-2</v>
      </c>
      <c r="M133" s="568"/>
      <c r="N133" s="568"/>
      <c r="O133" s="568">
        <f>+O131/O130</f>
        <v>0.13606895575822248</v>
      </c>
      <c r="P133" s="568"/>
      <c r="Q133" s="568">
        <f>+Q131/Q130</f>
        <v>0.18604576900839057</v>
      </c>
      <c r="R133" s="569">
        <v>0.18</v>
      </c>
      <c r="S133" s="568">
        <f>+S131/S130</f>
        <v>0.13836631892114659</v>
      </c>
      <c r="T133" s="569"/>
      <c r="U133" s="568">
        <v>0.18</v>
      </c>
      <c r="V133" s="568">
        <v>0.18</v>
      </c>
      <c r="W133" s="568">
        <f t="shared" ref="W133:AB133" si="55">+W131/W130</f>
        <v>0.16402923610481898</v>
      </c>
      <c r="X133" s="568">
        <f t="shared" si="55"/>
        <v>0.20129121482936241</v>
      </c>
      <c r="Y133" s="568">
        <f t="shared" si="55"/>
        <v>0.25083040347937463</v>
      </c>
      <c r="Z133" s="568">
        <f t="shared" si="55"/>
        <v>0.17735377048167919</v>
      </c>
      <c r="AA133" s="568">
        <f t="shared" si="55"/>
        <v>0.17791530039605466</v>
      </c>
      <c r="AB133" s="568">
        <f t="shared" si="55"/>
        <v>0.20070936115624471</v>
      </c>
      <c r="AC133" s="568">
        <v>0.16</v>
      </c>
      <c r="AD133" s="568">
        <v>0.17499999999999999</v>
      </c>
      <c r="AE133" s="568">
        <v>0.17499999999999999</v>
      </c>
      <c r="AF133" s="568">
        <v>0.17499999999999999</v>
      </c>
      <c r="AG133" s="568">
        <v>0.17499999999999999</v>
      </c>
      <c r="AH133" s="568">
        <v>0.17499999999999999</v>
      </c>
      <c r="AI133" s="568">
        <v>0.17499999999999999</v>
      </c>
      <c r="AJ133" s="568">
        <v>0.17499999999999999</v>
      </c>
      <c r="AK133" s="568">
        <v>0.17499999999999999</v>
      </c>
      <c r="AL133" s="568">
        <v>0.17499999999999999</v>
      </c>
    </row>
    <row r="134" spans="1:38" s="528" customFormat="1" thickBot="1">
      <c r="C134" s="570"/>
      <c r="D134" s="571"/>
      <c r="E134" s="572"/>
      <c r="F134" s="572"/>
      <c r="G134" s="572"/>
      <c r="H134" s="572"/>
      <c r="I134" s="573"/>
      <c r="J134" s="573"/>
      <c r="K134" s="471"/>
      <c r="L134" s="471"/>
      <c r="M134" s="471"/>
      <c r="N134" s="471"/>
      <c r="O134" s="471"/>
      <c r="P134" s="471"/>
      <c r="Q134" s="471"/>
      <c r="R134" s="574"/>
      <c r="S134" s="471"/>
      <c r="T134" s="574"/>
      <c r="U134" s="574"/>
      <c r="V134" s="574"/>
      <c r="W134" s="574"/>
      <c r="X134" s="572"/>
      <c r="Y134" s="572"/>
      <c r="Z134" s="572"/>
      <c r="AA134" s="572"/>
      <c r="AB134" s="572"/>
      <c r="AC134" s="572"/>
      <c r="AD134" s="572"/>
      <c r="AE134" s="572"/>
      <c r="AF134" s="572"/>
      <c r="AG134" s="572"/>
      <c r="AH134" s="572"/>
      <c r="AI134" s="572"/>
      <c r="AJ134" s="572"/>
      <c r="AK134" s="572"/>
      <c r="AL134" s="572"/>
    </row>
    <row r="135" spans="1:38" s="528" customFormat="1" ht="12">
      <c r="B135" s="529"/>
      <c r="C135" s="575"/>
      <c r="D135" s="576"/>
      <c r="E135" s="577"/>
      <c r="F135" s="577"/>
      <c r="G135" s="577"/>
      <c r="H135" s="577"/>
      <c r="I135" s="578"/>
      <c r="J135" s="578"/>
      <c r="K135" s="579"/>
      <c r="L135" s="579"/>
      <c r="M135" s="579"/>
      <c r="N135" s="579"/>
      <c r="O135" s="579"/>
      <c r="P135" s="579"/>
      <c r="Q135" s="579"/>
      <c r="R135" s="580"/>
      <c r="S135" s="579"/>
      <c r="T135" s="580"/>
      <c r="U135" s="580"/>
      <c r="V135" s="580"/>
      <c r="W135" s="580"/>
      <c r="X135" s="577"/>
      <c r="Y135" s="577"/>
      <c r="Z135" s="577"/>
      <c r="AA135" s="577"/>
      <c r="AB135" s="577"/>
      <c r="AC135" s="577"/>
      <c r="AD135" s="577"/>
      <c r="AE135" s="577"/>
      <c r="AF135" s="577"/>
      <c r="AG135" s="577"/>
      <c r="AH135" s="577"/>
      <c r="AI135" s="577"/>
      <c r="AJ135" s="577"/>
      <c r="AK135" s="577"/>
      <c r="AL135" s="577"/>
    </row>
    <row r="136" spans="1:38" s="528" customFormat="1" ht="12">
      <c r="B136" s="532"/>
      <c r="C136" s="506" t="s">
        <v>261</v>
      </c>
      <c r="D136" s="540"/>
      <c r="J136" s="516"/>
      <c r="K136" s="516"/>
      <c r="L136" s="516"/>
      <c r="M136" s="581"/>
      <c r="N136" s="581"/>
      <c r="O136" s="516"/>
      <c r="P136" s="516"/>
      <c r="Q136" s="516"/>
      <c r="R136" s="581"/>
      <c r="S136" s="516"/>
      <c r="T136" s="581"/>
      <c r="U136" s="581"/>
      <c r="V136" s="581"/>
      <c r="W136" s="581"/>
      <c r="X136" s="582"/>
      <c r="Y136" s="582"/>
      <c r="Z136" s="582"/>
      <c r="AA136" s="582"/>
      <c r="AB136" s="582"/>
      <c r="AC136" s="582"/>
      <c r="AD136" s="582"/>
      <c r="AE136" s="582"/>
      <c r="AF136" s="582"/>
      <c r="AG136" s="582"/>
      <c r="AH136" s="582"/>
      <c r="AI136" s="582"/>
      <c r="AJ136" s="582"/>
      <c r="AK136" s="582"/>
      <c r="AL136" s="582"/>
    </row>
    <row r="137" spans="1:38" s="528" customFormat="1" ht="12">
      <c r="A137" s="507"/>
      <c r="B137" s="532"/>
      <c r="C137" s="507" t="s">
        <v>237</v>
      </c>
      <c r="E137" s="583">
        <v>0.21178740456383174</v>
      </c>
      <c r="F137" s="583">
        <v>0.2026333486709376</v>
      </c>
      <c r="G137" s="583">
        <f>2052.55323186118%/100</f>
        <v>0.20525532318611797</v>
      </c>
      <c r="H137" s="583">
        <f>2818.27248833162%/100</f>
        <v>0.28182724883316201</v>
      </c>
      <c r="I137" s="535">
        <v>0.3367456941775559</v>
      </c>
      <c r="J137" s="536">
        <v>0.30917725524750084</v>
      </c>
      <c r="K137" s="536">
        <v>0.29941602735918366</v>
      </c>
      <c r="L137" s="536">
        <v>0.29229599210099672</v>
      </c>
      <c r="M137" s="536">
        <v>0.29172940892070387</v>
      </c>
      <c r="N137" s="536">
        <v>0.25344344863153306</v>
      </c>
      <c r="O137" s="536">
        <v>0.33750767341546356</v>
      </c>
      <c r="P137" s="536">
        <v>0.32070291229140563</v>
      </c>
      <c r="Q137" s="536">
        <v>0.29350419709893927</v>
      </c>
      <c r="R137" s="584">
        <v>0.30564763010661883</v>
      </c>
      <c r="S137" s="536">
        <v>0.30211937694924396</v>
      </c>
      <c r="T137" s="584"/>
      <c r="U137" s="536">
        <v>0.3</v>
      </c>
      <c r="V137" s="536">
        <v>0.3</v>
      </c>
      <c r="W137" s="536">
        <v>0.32401531624064878</v>
      </c>
      <c r="X137" s="536">
        <v>0.30299999999999999</v>
      </c>
      <c r="Y137" s="536">
        <v>0.317</v>
      </c>
      <c r="Z137" s="536">
        <v>0.21987934115471353</v>
      </c>
      <c r="AA137" s="536">
        <v>0.24706</v>
      </c>
      <c r="AB137" s="536">
        <v>0.20598924870502602</v>
      </c>
      <c r="AC137" s="584">
        <v>0.20799999999999999</v>
      </c>
      <c r="AD137" s="584">
        <v>0.20799999999999999</v>
      </c>
      <c r="AE137" s="584">
        <v>0.20799999999999999</v>
      </c>
      <c r="AF137" s="584">
        <v>0.20799999999999999</v>
      </c>
      <c r="AG137" s="584">
        <v>0.20799999999999999</v>
      </c>
      <c r="AH137" s="584">
        <v>0.22500000000000001</v>
      </c>
      <c r="AI137" s="584">
        <v>0.22500000000000001</v>
      </c>
      <c r="AJ137" s="584">
        <v>0.22500000000000001</v>
      </c>
      <c r="AK137" s="584">
        <v>0.22500000000000001</v>
      </c>
      <c r="AL137" s="584">
        <v>0.22500000000000001</v>
      </c>
    </row>
    <row r="138" spans="1:38" s="528" customFormat="1" ht="12">
      <c r="A138" s="507"/>
      <c r="B138" s="532"/>
      <c r="C138" s="507" t="s">
        <v>238</v>
      </c>
      <c r="E138" s="583">
        <v>0.21987038602867851</v>
      </c>
      <c r="F138" s="583">
        <v>0.20808215742700562</v>
      </c>
      <c r="G138" s="583">
        <f>2482.25759000052%/100</f>
        <v>0.24822575900005198</v>
      </c>
      <c r="H138" s="583">
        <f>2527.56932088074%/100</f>
        <v>0.25275693208807398</v>
      </c>
      <c r="I138" s="535">
        <v>0.27570587662586094</v>
      </c>
      <c r="J138" s="536">
        <v>0.19689367670707386</v>
      </c>
      <c r="K138" s="536">
        <v>0.15998084061000001</v>
      </c>
      <c r="L138" s="536">
        <v>0.15496193071731218</v>
      </c>
      <c r="M138" s="536">
        <v>0.15528762125024606</v>
      </c>
      <c r="N138" s="536">
        <v>0.18796691624487671</v>
      </c>
      <c r="O138" s="536">
        <v>0.14757282468283586</v>
      </c>
      <c r="P138" s="536">
        <v>0.16040182365998984</v>
      </c>
      <c r="Q138" s="536">
        <v>0.16247934985822296</v>
      </c>
      <c r="R138" s="584">
        <v>0.16977611875469703</v>
      </c>
      <c r="S138" s="536">
        <v>0.1622976825948115</v>
      </c>
      <c r="T138" s="584"/>
      <c r="U138" s="536">
        <v>0.17</v>
      </c>
      <c r="V138" s="536">
        <v>0.17</v>
      </c>
      <c r="W138" s="536">
        <v>0.20042856030027228</v>
      </c>
      <c r="X138" s="536">
        <v>0.14399999999999999</v>
      </c>
      <c r="Y138" s="536">
        <v>0.183</v>
      </c>
      <c r="Z138" s="536">
        <v>0.23836928512696523</v>
      </c>
      <c r="AA138" s="536">
        <v>0.18751000000000001</v>
      </c>
      <c r="AB138" s="536">
        <v>0.12347423419239478</v>
      </c>
      <c r="AC138" s="584">
        <v>0.22</v>
      </c>
      <c r="AD138" s="584">
        <v>0.22</v>
      </c>
      <c r="AE138" s="584">
        <v>0.22</v>
      </c>
      <c r="AF138" s="584">
        <v>0.22</v>
      </c>
      <c r="AG138" s="584">
        <v>0.22</v>
      </c>
      <c r="AH138" s="584">
        <v>0.23</v>
      </c>
      <c r="AI138" s="584">
        <v>0.23</v>
      </c>
      <c r="AJ138" s="584">
        <v>0.23</v>
      </c>
      <c r="AK138" s="584">
        <v>0.23</v>
      </c>
      <c r="AL138" s="584">
        <v>0.23</v>
      </c>
    </row>
    <row r="139" spans="1:38" s="528" customFormat="1" ht="12">
      <c r="A139" s="507"/>
      <c r="B139" s="532"/>
      <c r="C139" s="507" t="s">
        <v>239</v>
      </c>
      <c r="E139" s="583">
        <v>0.32204688935954673</v>
      </c>
      <c r="F139" s="583">
        <v>0.33302232083185018</v>
      </c>
      <c r="G139" s="583">
        <f>3292.59944548835%/100</f>
        <v>0.329259944548835</v>
      </c>
      <c r="H139" s="583">
        <f>3443.60770976667%/100</f>
        <v>0.34436077097666695</v>
      </c>
      <c r="I139" s="535">
        <v>0.33078726269186293</v>
      </c>
      <c r="J139" s="536">
        <v>0.27217107803696822</v>
      </c>
      <c r="K139" s="536">
        <v>0.24752723897916129</v>
      </c>
      <c r="L139" s="536">
        <v>0.261909496749059</v>
      </c>
      <c r="M139" s="536">
        <v>0.25574943943923401</v>
      </c>
      <c r="N139" s="536">
        <v>0.31730993421247561</v>
      </c>
      <c r="O139" s="536">
        <v>0.25025055316813632</v>
      </c>
      <c r="P139" s="536">
        <v>0.25462841090749333</v>
      </c>
      <c r="Q139" s="536">
        <v>0.24513747197292049</v>
      </c>
      <c r="R139" s="584">
        <v>0.25251432083340841</v>
      </c>
      <c r="S139" s="536">
        <v>0.24069092064824243</v>
      </c>
      <c r="T139" s="584"/>
      <c r="U139" s="536">
        <v>0.25</v>
      </c>
      <c r="V139" s="536">
        <v>0.25</v>
      </c>
      <c r="W139" s="536">
        <v>0.28169650213394132</v>
      </c>
      <c r="X139" s="536">
        <v>0.252</v>
      </c>
      <c r="Y139" s="536">
        <v>0.21</v>
      </c>
      <c r="Z139" s="536">
        <v>0.25637702252366085</v>
      </c>
      <c r="AA139" s="536">
        <v>0.20999000000000001</v>
      </c>
      <c r="AB139" s="536">
        <v>0.27271036701275647</v>
      </c>
      <c r="AC139" s="584">
        <v>0.25</v>
      </c>
      <c r="AD139" s="584">
        <v>0.25</v>
      </c>
      <c r="AE139" s="584">
        <v>0.25</v>
      </c>
      <c r="AF139" s="584">
        <v>0.25</v>
      </c>
      <c r="AG139" s="584">
        <v>0.25</v>
      </c>
      <c r="AH139" s="584">
        <v>0.27</v>
      </c>
      <c r="AI139" s="584">
        <v>0.27</v>
      </c>
      <c r="AJ139" s="584">
        <v>0.27</v>
      </c>
      <c r="AK139" s="584">
        <v>0.27</v>
      </c>
      <c r="AL139" s="584">
        <v>0.27</v>
      </c>
    </row>
    <row r="140" spans="1:38" s="528" customFormat="1" ht="12">
      <c r="A140" s="507"/>
      <c r="B140" s="532"/>
      <c r="C140" s="507" t="s">
        <v>240</v>
      </c>
      <c r="E140" s="583">
        <v>0.3</v>
      </c>
      <c r="F140" s="583">
        <v>0.3</v>
      </c>
      <c r="G140" s="583">
        <v>0.3</v>
      </c>
      <c r="H140" s="583">
        <v>0.3</v>
      </c>
      <c r="I140" s="535">
        <v>0.3</v>
      </c>
      <c r="J140" s="536">
        <v>0.31310164691296327</v>
      </c>
      <c r="K140" s="536">
        <v>0.41470520144464101</v>
      </c>
      <c r="L140" s="536">
        <v>0.36859008338335481</v>
      </c>
      <c r="M140" s="536">
        <v>0.38409638554216868</v>
      </c>
      <c r="N140" s="536">
        <v>0.11091612602220695</v>
      </c>
      <c r="O140" s="536">
        <v>0.17492349176700339</v>
      </c>
      <c r="P140" s="536">
        <v>8.7285823902984297E-2</v>
      </c>
      <c r="Q140" s="536">
        <v>0.12915063390774639</v>
      </c>
      <c r="R140" s="584">
        <v>0.2</v>
      </c>
      <c r="S140" s="536">
        <v>0.112921310394719</v>
      </c>
      <c r="T140" s="584"/>
      <c r="U140" s="536">
        <v>0.3</v>
      </c>
      <c r="V140" s="536">
        <v>0.3</v>
      </c>
      <c r="W140" s="536">
        <v>0.39125669606306135</v>
      </c>
      <c r="X140" s="536">
        <v>0.41799999999999998</v>
      </c>
      <c r="Y140" s="536">
        <v>0.27600000000000002</v>
      </c>
      <c r="Z140" s="536">
        <v>0.49918015768308172</v>
      </c>
      <c r="AA140" s="536">
        <v>0.33805000000000002</v>
      </c>
      <c r="AB140" s="536">
        <v>0.22666006518133677</v>
      </c>
      <c r="AC140" s="584">
        <v>0.24</v>
      </c>
      <c r="AD140" s="584">
        <v>0.24</v>
      </c>
      <c r="AE140" s="584">
        <v>0.24</v>
      </c>
      <c r="AF140" s="584">
        <v>0.24</v>
      </c>
      <c r="AG140" s="584">
        <v>0.24</v>
      </c>
      <c r="AH140" s="584">
        <v>0.35</v>
      </c>
      <c r="AI140" s="584">
        <v>0.35</v>
      </c>
      <c r="AJ140" s="584">
        <v>0.35</v>
      </c>
      <c r="AK140" s="584">
        <v>0.35</v>
      </c>
      <c r="AL140" s="584">
        <v>0.35</v>
      </c>
    </row>
    <row r="141" spans="1:38" s="528" customFormat="1" ht="12">
      <c r="A141" s="507"/>
      <c r="B141" s="532"/>
      <c r="C141" s="507" t="s">
        <v>223</v>
      </c>
      <c r="E141" s="583">
        <v>0</v>
      </c>
      <c r="F141" s="583">
        <v>0</v>
      </c>
      <c r="G141" s="583">
        <v>0</v>
      </c>
      <c r="H141" s="583">
        <v>0</v>
      </c>
      <c r="I141" s="535">
        <v>0</v>
      </c>
      <c r="J141" s="536">
        <v>0</v>
      </c>
      <c r="K141" s="536">
        <v>0</v>
      </c>
      <c r="L141" s="536">
        <v>0</v>
      </c>
      <c r="M141" s="536">
        <v>0</v>
      </c>
      <c r="N141" s="536">
        <v>0</v>
      </c>
      <c r="O141" s="536">
        <v>0</v>
      </c>
      <c r="P141" s="536">
        <v>0</v>
      </c>
      <c r="Q141" s="536">
        <v>0.29598455908713855</v>
      </c>
      <c r="R141" s="584">
        <v>-0.5</v>
      </c>
      <c r="S141" s="536">
        <v>-4.8980187923074563E-2</v>
      </c>
      <c r="T141" s="584"/>
      <c r="U141" s="536">
        <v>0.25</v>
      </c>
      <c r="V141" s="536">
        <v>0.25</v>
      </c>
      <c r="W141" s="536">
        <v>0.44178986517284391</v>
      </c>
      <c r="X141" s="536">
        <v>0.27300000000000002</v>
      </c>
      <c r="Y141" s="536">
        <v>0.35499999999999998</v>
      </c>
      <c r="Z141" s="536">
        <v>0.293281408302066</v>
      </c>
      <c r="AA141" s="536">
        <v>0.30821999999999999</v>
      </c>
      <c r="AB141" s="536">
        <v>0.28969238927380392</v>
      </c>
      <c r="AC141" s="584">
        <v>0.3</v>
      </c>
      <c r="AD141" s="584">
        <v>0.3</v>
      </c>
      <c r="AE141" s="584">
        <v>0.3</v>
      </c>
      <c r="AF141" s="584">
        <v>0.3</v>
      </c>
      <c r="AG141" s="584">
        <v>0.3</v>
      </c>
      <c r="AH141" s="584">
        <v>0.3</v>
      </c>
      <c r="AI141" s="584">
        <v>0.3</v>
      </c>
      <c r="AJ141" s="584">
        <v>0.3</v>
      </c>
      <c r="AK141" s="584">
        <v>0.3</v>
      </c>
      <c r="AL141" s="584">
        <v>0.3</v>
      </c>
    </row>
    <row r="142" spans="1:38" s="528" customFormat="1" ht="12">
      <c r="A142" s="507"/>
      <c r="B142" s="532"/>
      <c r="C142" s="507" t="s">
        <v>224</v>
      </c>
      <c r="E142" s="583">
        <v>0</v>
      </c>
      <c r="F142" s="583">
        <v>0</v>
      </c>
      <c r="G142" s="583">
        <v>0</v>
      </c>
      <c r="H142" s="583">
        <v>0</v>
      </c>
      <c r="I142" s="535">
        <v>0</v>
      </c>
      <c r="J142" s="536">
        <v>0</v>
      </c>
      <c r="K142" s="536">
        <v>0.5145827898294616</v>
      </c>
      <c r="L142" s="536">
        <v>0.51864893293947933</v>
      </c>
      <c r="M142" s="536">
        <v>0.51564487407784276</v>
      </c>
      <c r="N142" s="536">
        <v>0</v>
      </c>
      <c r="O142" s="536">
        <v>-2.8092073482641505E-2</v>
      </c>
      <c r="P142" s="536">
        <v>0</v>
      </c>
      <c r="Q142" s="536">
        <v>-0.43383014099720596</v>
      </c>
      <c r="R142" s="584">
        <v>6.180788050476436E-3</v>
      </c>
      <c r="S142" s="536">
        <v>-0.2185579625555793</v>
      </c>
      <c r="T142" s="584"/>
      <c r="U142" s="536">
        <v>0.25</v>
      </c>
      <c r="V142" s="536">
        <v>0.25</v>
      </c>
      <c r="W142" s="536">
        <v>-0.23131307718479838</v>
      </c>
      <c r="X142" s="536">
        <v>-9.0999999999999998E-2</v>
      </c>
      <c r="Y142" s="536">
        <v>0.22</v>
      </c>
      <c r="Z142" s="536">
        <v>-0.37953079941501233</v>
      </c>
      <c r="AA142" s="536">
        <v>7.7840000000000006E-2</v>
      </c>
      <c r="AB142" s="536">
        <v>0.40743403088397351</v>
      </c>
      <c r="AC142" s="584">
        <v>0.35</v>
      </c>
      <c r="AD142" s="584">
        <v>0.35</v>
      </c>
      <c r="AE142" s="584">
        <v>0.35</v>
      </c>
      <c r="AF142" s="584">
        <v>0.35</v>
      </c>
      <c r="AG142" s="584">
        <v>0.35</v>
      </c>
      <c r="AH142" s="584">
        <f>31.5258215962441%-2.5%</f>
        <v>0.290258215962441</v>
      </c>
      <c r="AI142" s="584">
        <f>31.5258215962441%-2.5%</f>
        <v>0.290258215962441</v>
      </c>
      <c r="AJ142" s="584">
        <f>31.5258215962441%-2.5%</f>
        <v>0.290258215962441</v>
      </c>
      <c r="AK142" s="584">
        <f>31.5258215962441%-2.5%</f>
        <v>0.290258215962441</v>
      </c>
      <c r="AL142" s="584">
        <f>31.5258215962441%-2.5%</f>
        <v>0.290258215962441</v>
      </c>
    </row>
    <row r="143" spans="1:38" s="528" customFormat="1" ht="12">
      <c r="A143" s="507"/>
      <c r="B143" s="532"/>
      <c r="C143" s="507" t="s">
        <v>241</v>
      </c>
      <c r="E143" s="583">
        <v>0.35</v>
      </c>
      <c r="F143" s="583">
        <v>0.35</v>
      </c>
      <c r="G143" s="583">
        <v>0.35</v>
      </c>
      <c r="H143" s="583">
        <v>0.35</v>
      </c>
      <c r="I143" s="535">
        <v>0</v>
      </c>
      <c r="J143" s="536">
        <v>0.32549808665874896</v>
      </c>
      <c r="K143" s="536">
        <v>0.22678628989508001</v>
      </c>
      <c r="L143" s="536">
        <v>0.24111982972357515</v>
      </c>
      <c r="M143" s="536">
        <v>0.2711864406779661</v>
      </c>
      <c r="N143" s="536">
        <v>0.23914418303159796</v>
      </c>
      <c r="O143" s="536">
        <v>0.26139716738096441</v>
      </c>
      <c r="P143" s="536">
        <v>0.14297989802743552</v>
      </c>
      <c r="Q143" s="536">
        <v>0.1611085313906849</v>
      </c>
      <c r="R143" s="584">
        <v>0.26001511715797432</v>
      </c>
      <c r="S143" s="536">
        <v>0.22294722913705145</v>
      </c>
      <c r="T143" s="584"/>
      <c r="U143" s="536">
        <v>0.24</v>
      </c>
      <c r="V143" s="536">
        <v>0.24</v>
      </c>
      <c r="W143" s="536">
        <v>0.23341384850441696</v>
      </c>
      <c r="X143" s="536">
        <v>0.26200000000000001</v>
      </c>
      <c r="Y143" s="536">
        <v>0.27400000000000002</v>
      </c>
      <c r="Z143" s="536">
        <v>0.34630733896321469</v>
      </c>
      <c r="AA143" s="536">
        <v>0.32</v>
      </c>
      <c r="AB143" s="536">
        <v>0.33876033698020969</v>
      </c>
      <c r="AC143" s="584">
        <v>0.32</v>
      </c>
      <c r="AD143" s="584">
        <v>0.32</v>
      </c>
      <c r="AE143" s="584">
        <v>0.32</v>
      </c>
      <c r="AF143" s="584">
        <v>0.32</v>
      </c>
      <c r="AG143" s="584">
        <v>0.32</v>
      </c>
      <c r="AH143" s="584">
        <v>0.3</v>
      </c>
      <c r="AI143" s="584">
        <v>0.3</v>
      </c>
      <c r="AJ143" s="584">
        <v>0.3</v>
      </c>
      <c r="AK143" s="584">
        <v>0.3</v>
      </c>
      <c r="AL143" s="584">
        <v>0.3</v>
      </c>
    </row>
    <row r="144" spans="1:38" s="528" customFormat="1" ht="12">
      <c r="A144" s="507"/>
      <c r="B144" s="532"/>
      <c r="C144" s="507" t="s">
        <v>225</v>
      </c>
      <c r="E144" s="583"/>
      <c r="F144" s="583"/>
      <c r="G144" s="583"/>
      <c r="H144" s="583"/>
      <c r="I144" s="535"/>
      <c r="J144" s="536"/>
      <c r="K144" s="536"/>
      <c r="L144" s="536">
        <v>0</v>
      </c>
      <c r="M144" s="536">
        <v>0</v>
      </c>
      <c r="N144" s="536">
        <v>0</v>
      </c>
      <c r="O144" s="536">
        <v>0</v>
      </c>
      <c r="P144" s="536">
        <v>0</v>
      </c>
      <c r="Q144" s="536">
        <v>0</v>
      </c>
      <c r="R144" s="584">
        <v>0</v>
      </c>
      <c r="S144" s="536">
        <v>0</v>
      </c>
      <c r="T144" s="584"/>
      <c r="U144" s="536">
        <v>0</v>
      </c>
      <c r="V144" s="536">
        <v>0</v>
      </c>
      <c r="W144" s="536">
        <v>0</v>
      </c>
      <c r="X144" s="536">
        <f>33.076/185.695</f>
        <v>0.17812003554215247</v>
      </c>
      <c r="Y144" s="536"/>
      <c r="Z144" s="536">
        <v>0.55444032373404528</v>
      </c>
      <c r="AA144" s="536">
        <v>0.34499999999999997</v>
      </c>
      <c r="AB144" s="536">
        <v>0.80330737076344394</v>
      </c>
      <c r="AC144" s="584">
        <v>0.7</v>
      </c>
      <c r="AD144" s="584">
        <v>0.7</v>
      </c>
      <c r="AE144" s="584">
        <v>0.7</v>
      </c>
      <c r="AF144" s="584">
        <v>0.7</v>
      </c>
      <c r="AG144" s="584">
        <v>0.7</v>
      </c>
      <c r="AH144" s="584">
        <v>0.3</v>
      </c>
      <c r="AI144" s="584">
        <v>0.3</v>
      </c>
      <c r="AJ144" s="584">
        <v>0.3</v>
      </c>
      <c r="AK144" s="584">
        <v>0.3</v>
      </c>
      <c r="AL144" s="584">
        <v>0.3</v>
      </c>
    </row>
    <row r="145" spans="1:38" s="528" customFormat="1" ht="12">
      <c r="A145" s="507"/>
      <c r="B145" s="532"/>
      <c r="C145" s="507" t="s">
        <v>226</v>
      </c>
      <c r="E145" s="583"/>
      <c r="F145" s="583"/>
      <c r="G145" s="583"/>
      <c r="H145" s="583"/>
      <c r="I145" s="535"/>
      <c r="J145" s="536"/>
      <c r="K145" s="536"/>
      <c r="L145" s="536">
        <v>0</v>
      </c>
      <c r="M145" s="536">
        <v>0</v>
      </c>
      <c r="N145" s="536">
        <v>0</v>
      </c>
      <c r="O145" s="536">
        <v>0</v>
      </c>
      <c r="P145" s="536">
        <v>0</v>
      </c>
      <c r="Q145" s="536">
        <v>0</v>
      </c>
      <c r="R145" s="584">
        <v>0</v>
      </c>
      <c r="S145" s="536">
        <v>0</v>
      </c>
      <c r="T145" s="584"/>
      <c r="U145" s="536">
        <v>0</v>
      </c>
      <c r="V145" s="536">
        <v>0</v>
      </c>
      <c r="W145" s="536">
        <v>0</v>
      </c>
      <c r="X145" s="536"/>
      <c r="Y145" s="536"/>
      <c r="Z145" s="536"/>
      <c r="AA145" s="536">
        <v>0</v>
      </c>
      <c r="AB145" s="536"/>
      <c r="AC145" s="584"/>
      <c r="AD145" s="584"/>
      <c r="AE145" s="584"/>
      <c r="AF145" s="584"/>
      <c r="AG145" s="584"/>
      <c r="AH145" s="584">
        <v>0.3</v>
      </c>
      <c r="AI145" s="584">
        <v>0.3</v>
      </c>
      <c r="AJ145" s="584">
        <v>0.3</v>
      </c>
      <c r="AK145" s="584">
        <v>0.3</v>
      </c>
      <c r="AL145" s="584">
        <v>0.3</v>
      </c>
    </row>
    <row r="146" spans="1:38" s="528" customFormat="1" ht="12">
      <c r="A146" s="533"/>
      <c r="B146" s="532"/>
      <c r="C146" s="533" t="s">
        <v>242</v>
      </c>
      <c r="E146" s="583"/>
      <c r="F146" s="583"/>
      <c r="G146" s="583"/>
      <c r="H146" s="583"/>
      <c r="I146" s="535"/>
      <c r="J146" s="536"/>
      <c r="K146" s="536"/>
      <c r="L146" s="536">
        <v>0.20981795068207379</v>
      </c>
      <c r="M146" s="536">
        <v>0.24597056762438682</v>
      </c>
      <c r="N146" s="536">
        <v>0</v>
      </c>
      <c r="O146" s="536">
        <v>-3.8425833441051153E-2</v>
      </c>
      <c r="P146" s="536">
        <v>0</v>
      </c>
      <c r="Q146" s="536">
        <v>-0.17223234507773788</v>
      </c>
      <c r="R146" s="584">
        <v>-0.17223234507773788</v>
      </c>
      <c r="S146" s="536">
        <v>0.20664821701142763</v>
      </c>
      <c r="T146" s="584"/>
      <c r="U146" s="536">
        <v>0</v>
      </c>
      <c r="V146" s="536">
        <v>0</v>
      </c>
      <c r="W146" s="536">
        <v>0</v>
      </c>
      <c r="X146" s="536"/>
      <c r="Y146" s="536"/>
      <c r="Z146" s="536"/>
      <c r="AA146" s="536">
        <v>0</v>
      </c>
      <c r="AB146" s="536"/>
      <c r="AC146" s="584"/>
      <c r="AD146" s="584"/>
      <c r="AE146" s="584"/>
      <c r="AF146" s="584"/>
      <c r="AG146" s="584"/>
      <c r="AH146" s="584">
        <v>0</v>
      </c>
      <c r="AI146" s="584">
        <v>0</v>
      </c>
      <c r="AJ146" s="584">
        <v>0</v>
      </c>
      <c r="AK146" s="584">
        <v>0</v>
      </c>
      <c r="AL146" s="584">
        <v>0</v>
      </c>
    </row>
    <row r="147" spans="1:38" s="528" customFormat="1" ht="12">
      <c r="A147" s="507"/>
      <c r="B147" s="532"/>
      <c r="C147" s="507" t="s">
        <v>243</v>
      </c>
      <c r="E147" s="583">
        <v>0</v>
      </c>
      <c r="F147" s="583">
        <v>0</v>
      </c>
      <c r="G147" s="583">
        <v>0</v>
      </c>
      <c r="H147" s="583">
        <v>0</v>
      </c>
      <c r="I147" s="535">
        <v>0</v>
      </c>
      <c r="J147" s="536">
        <v>0</v>
      </c>
      <c r="K147" s="536">
        <v>0.40267391796963514</v>
      </c>
      <c r="L147" s="536">
        <v>0.39887645161259916</v>
      </c>
      <c r="M147" s="536">
        <v>0.40109639104613981</v>
      </c>
      <c r="N147" s="536">
        <v>0.34965252821147169</v>
      </c>
      <c r="O147" s="536">
        <v>0.35770605060417149</v>
      </c>
      <c r="P147" s="536">
        <v>0.28663748665862698</v>
      </c>
      <c r="Q147" s="536">
        <v>0.23493308416799677</v>
      </c>
      <c r="R147" s="584">
        <v>0.27</v>
      </c>
      <c r="S147" s="536">
        <v>0.21937439684140611</v>
      </c>
      <c r="T147" s="584"/>
      <c r="U147" s="536">
        <v>0.36</v>
      </c>
      <c r="V147" s="536">
        <v>0.36</v>
      </c>
      <c r="W147" s="536">
        <v>0.38246018551174898</v>
      </c>
      <c r="X147" s="536">
        <v>0.22500000000000001</v>
      </c>
      <c r="Y147" s="536">
        <v>0.28599999999999998</v>
      </c>
      <c r="Z147" s="536">
        <v>0.24363718752360106</v>
      </c>
      <c r="AA147" s="536">
        <v>0</v>
      </c>
      <c r="AB147" s="536"/>
      <c r="AC147" s="584"/>
      <c r="AD147" s="584"/>
      <c r="AE147" s="584"/>
      <c r="AF147" s="584"/>
      <c r="AG147" s="584"/>
      <c r="AH147" s="584">
        <v>0.35</v>
      </c>
      <c r="AI147" s="584">
        <v>0.35</v>
      </c>
      <c r="AJ147" s="584">
        <v>0.35</v>
      </c>
      <c r="AK147" s="584">
        <v>0.35</v>
      </c>
      <c r="AL147" s="584">
        <v>0.35</v>
      </c>
    </row>
    <row r="148" spans="1:38" s="528" customFormat="1" ht="12">
      <c r="A148" s="507"/>
      <c r="B148" s="532"/>
      <c r="C148" s="507" t="s">
        <v>262</v>
      </c>
      <c r="E148" s="583"/>
      <c r="F148" s="583"/>
      <c r="G148" s="583"/>
      <c r="H148" s="583"/>
      <c r="I148" s="535"/>
      <c r="J148" s="536"/>
      <c r="K148" s="536"/>
      <c r="L148" s="536"/>
      <c r="M148" s="536"/>
      <c r="N148" s="536"/>
      <c r="O148" s="536"/>
      <c r="P148" s="536"/>
      <c r="Q148" s="536"/>
      <c r="R148" s="584"/>
      <c r="S148" s="536"/>
      <c r="T148" s="584"/>
      <c r="U148" s="536"/>
      <c r="V148" s="536"/>
      <c r="W148" s="536"/>
      <c r="X148" s="536"/>
      <c r="Y148" s="536"/>
      <c r="Z148" s="536"/>
      <c r="AA148" s="536">
        <v>0</v>
      </c>
      <c r="AB148" s="536"/>
      <c r="AC148" s="584"/>
      <c r="AD148" s="584"/>
      <c r="AE148" s="584"/>
      <c r="AF148" s="584"/>
      <c r="AG148" s="584"/>
      <c r="AH148" s="584">
        <v>0.35</v>
      </c>
      <c r="AI148" s="584">
        <v>0.35</v>
      </c>
      <c r="AJ148" s="584">
        <v>0.35</v>
      </c>
      <c r="AK148" s="584">
        <v>0.35</v>
      </c>
      <c r="AL148" s="584">
        <v>0.35</v>
      </c>
    </row>
    <row r="149" spans="1:38" s="528" customFormat="1" ht="12">
      <c r="A149" s="507"/>
      <c r="B149" s="532"/>
      <c r="C149" s="533" t="s">
        <v>245</v>
      </c>
      <c r="E149" s="583">
        <v>0</v>
      </c>
      <c r="F149" s="583">
        <v>0</v>
      </c>
      <c r="G149" s="583">
        <v>0</v>
      </c>
      <c r="H149" s="583">
        <v>0</v>
      </c>
      <c r="I149" s="535">
        <v>0</v>
      </c>
      <c r="J149" s="536">
        <v>0</v>
      </c>
      <c r="K149" s="536">
        <v>0.29157103867506107</v>
      </c>
      <c r="L149" s="536">
        <v>0</v>
      </c>
      <c r="M149" s="536">
        <v>0.24597056762438682</v>
      </c>
      <c r="N149" s="536">
        <v>0</v>
      </c>
      <c r="O149" s="536">
        <v>0</v>
      </c>
      <c r="P149" s="536">
        <v>0</v>
      </c>
      <c r="Q149" s="536">
        <v>0</v>
      </c>
      <c r="R149" s="584">
        <v>0</v>
      </c>
      <c r="S149" s="536">
        <v>0</v>
      </c>
      <c r="T149" s="584"/>
      <c r="U149" s="536">
        <v>0.35</v>
      </c>
      <c r="V149" s="536">
        <v>0.35</v>
      </c>
      <c r="W149" s="536">
        <v>0.35</v>
      </c>
      <c r="X149" s="536"/>
      <c r="Y149" s="536"/>
      <c r="Z149" s="536"/>
      <c r="AA149" s="536">
        <v>0</v>
      </c>
      <c r="AB149" s="536"/>
      <c r="AC149" s="584"/>
      <c r="AD149" s="584"/>
      <c r="AE149" s="584"/>
      <c r="AF149" s="584"/>
      <c r="AG149" s="584"/>
      <c r="AH149" s="584">
        <v>0.4</v>
      </c>
      <c r="AI149" s="584">
        <v>0.4</v>
      </c>
      <c r="AJ149" s="584">
        <v>0.4</v>
      </c>
      <c r="AK149" s="584">
        <v>0.4</v>
      </c>
      <c r="AL149" s="584">
        <v>0.4</v>
      </c>
    </row>
    <row r="150" spans="1:38" s="528" customFormat="1" ht="12">
      <c r="A150" s="507"/>
      <c r="B150" s="532"/>
      <c r="C150" s="507" t="s">
        <v>246</v>
      </c>
      <c r="E150" s="583">
        <v>0.34467219097484425</v>
      </c>
      <c r="F150" s="583">
        <v>0.32975177005831852</v>
      </c>
      <c r="G150" s="583">
        <f>3205.3503309758%/100</f>
        <v>0.32053503309758002</v>
      </c>
      <c r="H150" s="583">
        <f>3559.23453425642%/100</f>
        <v>0.35592345342564202</v>
      </c>
      <c r="I150" s="535">
        <v>0.33313873608406186</v>
      </c>
      <c r="J150" s="535">
        <v>0.31530972568751764</v>
      </c>
      <c r="K150" s="536">
        <v>0.32408689844064897</v>
      </c>
      <c r="L150" s="536">
        <v>0.32488322403319275</v>
      </c>
      <c r="M150" s="536">
        <v>0.31755675054390214</v>
      </c>
      <c r="N150" s="536">
        <v>0.31505883265402901</v>
      </c>
      <c r="O150" s="536">
        <v>0.34570351878853073</v>
      </c>
      <c r="P150" s="536">
        <v>0.3077797075116423</v>
      </c>
      <c r="Q150" s="536">
        <v>0.30628473262915418</v>
      </c>
      <c r="R150" s="584">
        <v>0.30500113834712</v>
      </c>
      <c r="S150" s="536">
        <v>0.30444045886390575</v>
      </c>
      <c r="T150" s="584"/>
      <c r="U150" s="536">
        <v>0.31</v>
      </c>
      <c r="V150" s="536">
        <v>0.31</v>
      </c>
      <c r="W150" s="536">
        <v>0.34625341841385598</v>
      </c>
      <c r="X150" s="536">
        <v>0.34899999999999998</v>
      </c>
      <c r="Y150" s="536">
        <v>0.33600000000000002</v>
      </c>
      <c r="Z150" s="536">
        <v>0.34538250671591725</v>
      </c>
      <c r="AA150" s="536">
        <v>0.33566000000000001</v>
      </c>
      <c r="AB150" s="536">
        <v>0.35300623003131287</v>
      </c>
      <c r="AC150" s="584">
        <v>0.32</v>
      </c>
      <c r="AD150" s="584">
        <v>0.32</v>
      </c>
      <c r="AE150" s="584">
        <v>0.32</v>
      </c>
      <c r="AF150" s="584">
        <v>0.32</v>
      </c>
      <c r="AG150" s="584">
        <v>0.32</v>
      </c>
      <c r="AH150" s="584">
        <v>0.32</v>
      </c>
      <c r="AI150" s="584">
        <v>0.32</v>
      </c>
      <c r="AJ150" s="584">
        <v>0.32</v>
      </c>
      <c r="AK150" s="584">
        <v>0.32</v>
      </c>
      <c r="AL150" s="584">
        <v>0.32</v>
      </c>
    </row>
    <row r="151" spans="1:38" s="528" customFormat="1" ht="12">
      <c r="A151" s="507"/>
      <c r="B151" s="532"/>
      <c r="C151" s="507" t="s">
        <v>247</v>
      </c>
      <c r="E151" s="583">
        <v>0.26582740267055238</v>
      </c>
      <c r="F151" s="583">
        <v>0.20986605134147829</v>
      </c>
      <c r="G151" s="583">
        <f>952.067352524308%/100</f>
        <v>9.5206735252430799E-2</v>
      </c>
      <c r="H151" s="583">
        <f>1322.18657174884%/100</f>
        <v>0.13221865717488399</v>
      </c>
      <c r="I151" s="535">
        <v>0.25558900437887705</v>
      </c>
      <c r="J151" s="535">
        <v>8.9078611824911696E-2</v>
      </c>
      <c r="K151" s="536">
        <v>0.17863420134642699</v>
      </c>
      <c r="L151" s="536">
        <v>0.3082148544144318</v>
      </c>
      <c r="M151" s="536">
        <v>0.2282508050150707</v>
      </c>
      <c r="N151" s="536">
        <v>0.27903642562188358</v>
      </c>
      <c r="O151" s="536">
        <v>0.28926447380762088</v>
      </c>
      <c r="P151" s="536">
        <v>0.27679041726316916</v>
      </c>
      <c r="Q151" s="536">
        <v>0.24775483028343021</v>
      </c>
      <c r="R151" s="584">
        <v>0.25</v>
      </c>
      <c r="S151" s="536">
        <v>0.25705030820996122</v>
      </c>
      <c r="T151" s="584"/>
      <c r="U151" s="536">
        <v>0.28000000000000003</v>
      </c>
      <c r="V151" s="536">
        <v>0.28000000000000003</v>
      </c>
      <c r="W151" s="536">
        <v>0.27862917126414605</v>
      </c>
      <c r="X151" s="536">
        <v>0.28899999999999998</v>
      </c>
      <c r="Y151" s="536">
        <v>0.23799999999999999</v>
      </c>
      <c r="Z151" s="536">
        <v>0.34040832568363155</v>
      </c>
      <c r="AA151" s="536">
        <v>0.34011999999999998</v>
      </c>
      <c r="AB151" s="536">
        <v>0.24752175994911021</v>
      </c>
      <c r="AC151" s="584">
        <v>0.34</v>
      </c>
      <c r="AD151" s="584">
        <v>0.34</v>
      </c>
      <c r="AE151" s="584">
        <v>0.34</v>
      </c>
      <c r="AF151" s="584">
        <v>0.34</v>
      </c>
      <c r="AG151" s="584">
        <v>0.34</v>
      </c>
      <c r="AH151" s="584">
        <v>0.3</v>
      </c>
      <c r="AI151" s="584">
        <v>0.3</v>
      </c>
      <c r="AJ151" s="584">
        <v>0.3</v>
      </c>
      <c r="AK151" s="584">
        <v>0.3</v>
      </c>
      <c r="AL151" s="584">
        <v>0.3</v>
      </c>
    </row>
    <row r="152" spans="1:38" s="528" customFormat="1" ht="12">
      <c r="A152" s="507"/>
      <c r="B152" s="532"/>
      <c r="C152" s="507" t="s">
        <v>248</v>
      </c>
      <c r="E152" s="583">
        <v>0</v>
      </c>
      <c r="F152" s="583">
        <v>0</v>
      </c>
      <c r="G152" s="583">
        <v>0</v>
      </c>
      <c r="H152" s="583">
        <v>0</v>
      </c>
      <c r="I152" s="535">
        <v>0</v>
      </c>
      <c r="J152" s="535">
        <v>0</v>
      </c>
      <c r="K152" s="536">
        <v>0</v>
      </c>
      <c r="L152" s="536">
        <v>0</v>
      </c>
      <c r="M152" s="536">
        <v>0</v>
      </c>
      <c r="N152" s="536">
        <v>0</v>
      </c>
      <c r="O152" s="536">
        <v>0</v>
      </c>
      <c r="P152" s="536">
        <v>0</v>
      </c>
      <c r="Q152" s="536">
        <v>0</v>
      </c>
      <c r="R152" s="584">
        <v>0</v>
      </c>
      <c r="S152" s="536">
        <v>0</v>
      </c>
      <c r="T152" s="584"/>
      <c r="U152" s="536">
        <v>0.2</v>
      </c>
      <c r="V152" s="536">
        <v>0.2</v>
      </c>
      <c r="W152" s="536">
        <v>0.2</v>
      </c>
      <c r="X152" s="536">
        <v>0.22340807291494999</v>
      </c>
      <c r="Y152" s="536"/>
      <c r="Z152" s="536">
        <v>0.14525688190160818</v>
      </c>
      <c r="AA152" s="536">
        <v>0.16</v>
      </c>
      <c r="AB152" s="536">
        <v>0.27761491667672095</v>
      </c>
      <c r="AC152" s="584">
        <v>0.16</v>
      </c>
      <c r="AD152" s="584">
        <v>0.16</v>
      </c>
      <c r="AE152" s="584">
        <v>0.16</v>
      </c>
      <c r="AF152" s="584">
        <v>0.16</v>
      </c>
      <c r="AG152" s="584">
        <v>0.16</v>
      </c>
      <c r="AH152" s="584">
        <v>0.23</v>
      </c>
      <c r="AI152" s="584">
        <v>0.23</v>
      </c>
      <c r="AJ152" s="584">
        <v>0.23</v>
      </c>
      <c r="AK152" s="584">
        <v>0.23</v>
      </c>
      <c r="AL152" s="584">
        <v>0.23</v>
      </c>
    </row>
    <row r="153" spans="1:38" s="528" customFormat="1" ht="12">
      <c r="A153" s="533"/>
      <c r="B153" s="532"/>
      <c r="C153" s="507" t="s">
        <v>230</v>
      </c>
      <c r="E153" s="583">
        <v>0.13155100493383901</v>
      </c>
      <c r="F153" s="583">
        <v>0.17477233561175159</v>
      </c>
      <c r="G153" s="583">
        <f>1111.92862276304%/100</f>
        <v>0.11119286227630401</v>
      </c>
      <c r="H153" s="583">
        <f>1458.30511395761%/100</f>
        <v>0.145830511395761</v>
      </c>
      <c r="I153" s="535">
        <v>-5.5861691076659337E-2</v>
      </c>
      <c r="J153" s="535">
        <v>-0.47745758267797739</v>
      </c>
      <c r="K153" s="536">
        <v>-0.224103235141424</v>
      </c>
      <c r="L153" s="536">
        <v>-0.18580734494635892</v>
      </c>
      <c r="M153" s="536">
        <v>-0.25088566508399818</v>
      </c>
      <c r="N153" s="536">
        <v>1.9848611776816436E-2</v>
      </c>
      <c r="O153" s="536">
        <v>-4.3320374132200218E-2</v>
      </c>
      <c r="P153" s="536">
        <v>6.4965010358186234E-2</v>
      </c>
      <c r="Q153" s="536">
        <v>5.2635447286179256E-2</v>
      </c>
      <c r="R153" s="584">
        <v>0.08</v>
      </c>
      <c r="S153" s="536">
        <v>-3.9468224449054297E-2</v>
      </c>
      <c r="T153" s="584"/>
      <c r="U153" s="536">
        <v>0.08</v>
      </c>
      <c r="V153" s="536">
        <v>0.08</v>
      </c>
      <c r="W153" s="536">
        <v>0.10332547967549739</v>
      </c>
      <c r="X153" s="536">
        <v>0.16600000000000001</v>
      </c>
      <c r="Y153" s="536">
        <v>0.17599999999999999</v>
      </c>
      <c r="Z153" s="536">
        <v>9.2169958792404319E-2</v>
      </c>
      <c r="AA153" s="536">
        <v>0.17923</v>
      </c>
      <c r="AB153" s="536">
        <v>2.652041482143758E-2</v>
      </c>
      <c r="AC153" s="584">
        <v>0.1</v>
      </c>
      <c r="AD153" s="584">
        <v>0.1</v>
      </c>
      <c r="AE153" s="584">
        <v>0.1</v>
      </c>
      <c r="AF153" s="584">
        <v>0.1</v>
      </c>
      <c r="AG153" s="584">
        <v>0.1</v>
      </c>
      <c r="AH153" s="584">
        <v>0.1</v>
      </c>
      <c r="AI153" s="584">
        <v>0.1</v>
      </c>
      <c r="AJ153" s="584">
        <v>0.1</v>
      </c>
      <c r="AK153" s="584">
        <v>0.1</v>
      </c>
      <c r="AL153" s="584">
        <v>0.1</v>
      </c>
    </row>
    <row r="154" spans="1:38" s="528" customFormat="1" ht="12">
      <c r="A154" s="533"/>
      <c r="B154" s="532"/>
      <c r="C154" s="533" t="s">
        <v>249</v>
      </c>
      <c r="E154" s="583"/>
      <c r="F154" s="583"/>
      <c r="G154" s="583"/>
      <c r="H154" s="583"/>
      <c r="I154" s="535"/>
      <c r="J154" s="535"/>
      <c r="K154" s="536"/>
      <c r="L154" s="536"/>
      <c r="M154" s="536"/>
      <c r="N154" s="536"/>
      <c r="O154" s="536"/>
      <c r="P154" s="536"/>
      <c r="Q154" s="536">
        <v>0</v>
      </c>
      <c r="R154" s="584">
        <v>0</v>
      </c>
      <c r="S154" s="536">
        <v>0</v>
      </c>
      <c r="T154" s="584"/>
      <c r="U154" s="536">
        <v>0</v>
      </c>
      <c r="V154" s="536">
        <v>0</v>
      </c>
      <c r="W154" s="536">
        <v>0</v>
      </c>
      <c r="X154" s="536">
        <v>0.57779955893163437</v>
      </c>
      <c r="Y154" s="536">
        <v>0.57999999999999996</v>
      </c>
      <c r="Z154" s="536">
        <v>0.36868224760452928</v>
      </c>
      <c r="AA154" s="536">
        <v>0.29419000000000001</v>
      </c>
      <c r="AB154" s="536">
        <v>0.39573707495870697</v>
      </c>
      <c r="AC154" s="584">
        <v>0</v>
      </c>
      <c r="AD154" s="584">
        <v>0</v>
      </c>
      <c r="AE154" s="584">
        <v>0</v>
      </c>
      <c r="AF154" s="584">
        <v>0</v>
      </c>
      <c r="AG154" s="584">
        <v>0</v>
      </c>
      <c r="AH154" s="584">
        <v>0</v>
      </c>
      <c r="AI154" s="584">
        <v>0</v>
      </c>
      <c r="AJ154" s="584">
        <v>0</v>
      </c>
      <c r="AK154" s="584">
        <v>0</v>
      </c>
      <c r="AL154" s="584">
        <v>0</v>
      </c>
    </row>
    <row r="155" spans="1:38" s="528" customFormat="1" ht="12">
      <c r="A155" s="533"/>
      <c r="B155" s="532"/>
      <c r="C155" s="533" t="s">
        <v>250</v>
      </c>
      <c r="E155" s="583"/>
      <c r="F155" s="583"/>
      <c r="G155" s="583"/>
      <c r="H155" s="583"/>
      <c r="I155" s="535"/>
      <c r="J155" s="535"/>
      <c r="K155" s="536"/>
      <c r="L155" s="536"/>
      <c r="M155" s="536"/>
      <c r="N155" s="536"/>
      <c r="O155" s="536"/>
      <c r="P155" s="536"/>
      <c r="Q155" s="536">
        <v>0.46789286866731206</v>
      </c>
      <c r="R155" s="584">
        <v>0.59099999999999997</v>
      </c>
      <c r="S155" s="536">
        <v>0.58181333031977078</v>
      </c>
      <c r="T155" s="584"/>
      <c r="U155" s="536">
        <v>0.47299999999999998</v>
      </c>
      <c r="V155" s="536">
        <v>0.47299999999999998</v>
      </c>
      <c r="W155" s="536">
        <v>0.76270000000000004</v>
      </c>
      <c r="X155" s="536">
        <v>0.76600000000000001</v>
      </c>
      <c r="Y155" s="536">
        <f>X155</f>
        <v>0.76600000000000001</v>
      </c>
      <c r="Z155" s="536">
        <v>1</v>
      </c>
      <c r="AA155" s="536">
        <v>0.60285</v>
      </c>
      <c r="AB155" s="536">
        <v>1</v>
      </c>
      <c r="AC155" s="584">
        <v>0.47</v>
      </c>
      <c r="AD155" s="584">
        <v>0.47</v>
      </c>
      <c r="AE155" s="584">
        <v>0.47</v>
      </c>
      <c r="AF155" s="584">
        <v>0.47</v>
      </c>
      <c r="AG155" s="584">
        <v>0.47</v>
      </c>
      <c r="AH155" s="584">
        <v>0.47</v>
      </c>
      <c r="AI155" s="584">
        <v>0.47</v>
      </c>
      <c r="AJ155" s="584">
        <v>0.47</v>
      </c>
      <c r="AK155" s="584">
        <v>0.47</v>
      </c>
      <c r="AL155" s="584">
        <v>0.47</v>
      </c>
    </row>
    <row r="156" spans="1:38" s="528" customFormat="1" ht="12">
      <c r="A156" s="533"/>
      <c r="B156" s="532"/>
      <c r="C156" s="533" t="s">
        <v>251</v>
      </c>
      <c r="E156" s="583"/>
      <c r="F156" s="583"/>
      <c r="G156" s="583"/>
      <c r="H156" s="583"/>
      <c r="I156" s="535"/>
      <c r="J156" s="535"/>
      <c r="K156" s="536"/>
      <c r="L156" s="536"/>
      <c r="M156" s="536"/>
      <c r="N156" s="536"/>
      <c r="O156" s="536"/>
      <c r="P156" s="536"/>
      <c r="Q156" s="536">
        <v>4.6648790624637594E-2</v>
      </c>
      <c r="R156" s="584">
        <v>4.6514148756149995E-2</v>
      </c>
      <c r="S156" s="536">
        <v>1.8831210003082757E-2</v>
      </c>
      <c r="T156" s="584"/>
      <c r="U156" s="536">
        <v>4.7619047619047616E-2</v>
      </c>
      <c r="V156" s="536">
        <v>4.7619047619047616E-2</v>
      </c>
      <c r="W156" s="536">
        <v>6.4600000000000005E-2</v>
      </c>
      <c r="X156" s="536">
        <v>0.54277455004124842</v>
      </c>
      <c r="Y156" s="536">
        <v>0.54277455004124842</v>
      </c>
      <c r="Z156" s="536">
        <v>5.9377556205260987E-2</v>
      </c>
      <c r="AA156" s="536">
        <v>0.05</v>
      </c>
      <c r="AB156" s="536">
        <v>0.03</v>
      </c>
      <c r="AC156" s="584">
        <v>0.03</v>
      </c>
      <c r="AD156" s="584">
        <v>0.03</v>
      </c>
      <c r="AE156" s="584">
        <v>0.03</v>
      </c>
      <c r="AF156" s="584">
        <v>0.03</v>
      </c>
      <c r="AG156" s="584">
        <v>0.03</v>
      </c>
      <c r="AH156" s="584">
        <v>0.03</v>
      </c>
      <c r="AI156" s="584">
        <v>0.03</v>
      </c>
      <c r="AJ156" s="584">
        <v>0.03</v>
      </c>
      <c r="AK156" s="584">
        <v>0.03</v>
      </c>
      <c r="AL156" s="584">
        <v>0.03</v>
      </c>
    </row>
    <row r="157" spans="1:38" s="528" customFormat="1" ht="12">
      <c r="A157" s="533"/>
      <c r="B157" s="532"/>
      <c r="C157" s="533" t="s">
        <v>227</v>
      </c>
      <c r="E157" s="583"/>
      <c r="F157" s="583"/>
      <c r="G157" s="583"/>
      <c r="H157" s="583"/>
      <c r="I157" s="535"/>
      <c r="J157" s="535"/>
      <c r="K157" s="536"/>
      <c r="L157" s="536"/>
      <c r="M157" s="536"/>
      <c r="N157" s="536"/>
      <c r="O157" s="536"/>
      <c r="P157" s="536"/>
      <c r="Q157" s="536"/>
      <c r="R157" s="584"/>
      <c r="S157" s="536"/>
      <c r="T157" s="584"/>
      <c r="U157" s="536"/>
      <c r="V157" s="536"/>
      <c r="W157" s="536"/>
      <c r="X157" s="536"/>
      <c r="Y157" s="536"/>
      <c r="Z157" s="536">
        <v>0.13561999999999999</v>
      </c>
      <c r="AA157" s="536">
        <v>0</v>
      </c>
      <c r="AB157" s="536">
        <v>0.11335325290521138</v>
      </c>
      <c r="AC157" s="584">
        <v>0.25</v>
      </c>
      <c r="AD157" s="584">
        <v>0.25</v>
      </c>
      <c r="AE157" s="584">
        <v>0.25</v>
      </c>
      <c r="AF157" s="584">
        <v>0.25</v>
      </c>
      <c r="AG157" s="584">
        <v>0.25</v>
      </c>
      <c r="AH157" s="584">
        <v>0.3</v>
      </c>
      <c r="AI157" s="584">
        <v>0.3</v>
      </c>
      <c r="AJ157" s="584">
        <v>0.3</v>
      </c>
      <c r="AK157" s="584">
        <v>0.3</v>
      </c>
      <c r="AL157" s="584">
        <v>0.3</v>
      </c>
    </row>
    <row r="158" spans="1:38" s="528" customFormat="1" ht="12">
      <c r="A158" s="533"/>
      <c r="B158" s="532"/>
      <c r="C158" s="533" t="s">
        <v>228</v>
      </c>
      <c r="E158" s="583"/>
      <c r="F158" s="583"/>
      <c r="G158" s="583"/>
      <c r="H158" s="583"/>
      <c r="I158" s="535"/>
      <c r="J158" s="535"/>
      <c r="K158" s="536"/>
      <c r="L158" s="536"/>
      <c r="M158" s="536"/>
      <c r="N158" s="536"/>
      <c r="O158" s="536"/>
      <c r="P158" s="536"/>
      <c r="Q158" s="536"/>
      <c r="R158" s="584"/>
      <c r="S158" s="536"/>
      <c r="T158" s="584"/>
      <c r="U158" s="536"/>
      <c r="V158" s="536"/>
      <c r="W158" s="536"/>
      <c r="X158" s="536">
        <v>0.80119150579859055</v>
      </c>
      <c r="Y158" s="536"/>
      <c r="Z158" s="536">
        <v>-0.30721405542023272</v>
      </c>
      <c r="AA158" s="536">
        <v>0.23200000000000001</v>
      </c>
      <c r="AB158" s="536">
        <v>0.44897620753847306</v>
      </c>
      <c r="AC158" s="584">
        <v>0.24</v>
      </c>
      <c r="AD158" s="584">
        <v>0.24</v>
      </c>
      <c r="AE158" s="584">
        <v>0.24</v>
      </c>
      <c r="AF158" s="584">
        <v>0.24</v>
      </c>
      <c r="AG158" s="584">
        <v>0.24</v>
      </c>
      <c r="AH158" s="584">
        <v>0.3</v>
      </c>
      <c r="AI158" s="584">
        <v>0.3</v>
      </c>
      <c r="AJ158" s="584">
        <v>0.3</v>
      </c>
      <c r="AK158" s="584">
        <v>0.3</v>
      </c>
      <c r="AL158" s="584">
        <v>0.3</v>
      </c>
    </row>
    <row r="159" spans="1:38" s="528" customFormat="1" ht="12">
      <c r="A159" s="533"/>
      <c r="B159" s="532"/>
      <c r="C159" s="533" t="s">
        <v>252</v>
      </c>
      <c r="E159" s="583"/>
      <c r="F159" s="583"/>
      <c r="G159" s="583"/>
      <c r="H159" s="583"/>
      <c r="I159" s="535"/>
      <c r="J159" s="535"/>
      <c r="K159" s="536"/>
      <c r="L159" s="536"/>
      <c r="M159" s="536"/>
      <c r="N159" s="536"/>
      <c r="O159" s="536"/>
      <c r="P159" s="536"/>
      <c r="Q159" s="536">
        <v>0.29874213836477997</v>
      </c>
      <c r="R159" s="584">
        <v>0.29899999999999999</v>
      </c>
      <c r="S159" s="536">
        <v>0.34634797242414478</v>
      </c>
      <c r="T159" s="584"/>
      <c r="U159" s="536">
        <v>0.29899999999999999</v>
      </c>
      <c r="V159" s="536">
        <v>0.29899999999999999</v>
      </c>
      <c r="W159" s="536">
        <v>0.31540000000000001</v>
      </c>
      <c r="X159" s="536">
        <v>0.29329656401411164</v>
      </c>
      <c r="Y159" s="536">
        <v>1</v>
      </c>
      <c r="Z159" s="536">
        <v>0.74</v>
      </c>
      <c r="AA159" s="536">
        <v>0</v>
      </c>
      <c r="AB159" s="536">
        <v>0.3</v>
      </c>
      <c r="AC159" s="584">
        <v>0.3</v>
      </c>
      <c r="AD159" s="584">
        <v>0.3</v>
      </c>
      <c r="AE159" s="584">
        <v>0.3</v>
      </c>
      <c r="AF159" s="584">
        <v>0.3</v>
      </c>
      <c r="AG159" s="584">
        <v>0.3</v>
      </c>
      <c r="AH159" s="584">
        <v>0.3</v>
      </c>
      <c r="AI159" s="584">
        <v>0.3</v>
      </c>
      <c r="AJ159" s="584">
        <v>0.3</v>
      </c>
      <c r="AK159" s="584">
        <v>0.3</v>
      </c>
      <c r="AL159" s="584">
        <v>0.3</v>
      </c>
    </row>
    <row r="160" spans="1:38" s="528" customFormat="1" ht="12">
      <c r="A160" s="533"/>
      <c r="B160" s="532"/>
      <c r="C160" s="533" t="s">
        <v>253</v>
      </c>
      <c r="E160" s="583"/>
      <c r="F160" s="583"/>
      <c r="G160" s="583"/>
      <c r="H160" s="583"/>
      <c r="I160" s="535"/>
      <c r="J160" s="535"/>
      <c r="K160" s="536"/>
      <c r="L160" s="536"/>
      <c r="M160" s="536"/>
      <c r="N160" s="536"/>
      <c r="O160" s="536"/>
      <c r="P160" s="536"/>
      <c r="Q160" s="536">
        <v>1</v>
      </c>
      <c r="R160" s="584">
        <v>1</v>
      </c>
      <c r="S160" s="536">
        <v>1</v>
      </c>
      <c r="T160" s="584"/>
      <c r="U160" s="536">
        <v>1</v>
      </c>
      <c r="V160" s="536">
        <v>1</v>
      </c>
      <c r="W160" s="536">
        <v>-0.40479999999999999</v>
      </c>
      <c r="X160" s="536"/>
      <c r="Y160" s="536"/>
      <c r="Z160" s="536">
        <v>1</v>
      </c>
      <c r="AA160" s="536">
        <v>1</v>
      </c>
      <c r="AB160" s="536">
        <v>1</v>
      </c>
      <c r="AC160" s="584">
        <v>1</v>
      </c>
      <c r="AD160" s="584">
        <v>1</v>
      </c>
      <c r="AE160" s="584">
        <v>1</v>
      </c>
      <c r="AF160" s="584">
        <v>1</v>
      </c>
      <c r="AG160" s="584">
        <v>1</v>
      </c>
      <c r="AH160" s="584">
        <v>1</v>
      </c>
      <c r="AI160" s="584">
        <v>1</v>
      </c>
      <c r="AJ160" s="584">
        <v>1</v>
      </c>
      <c r="AK160" s="584">
        <v>1</v>
      </c>
      <c r="AL160" s="584">
        <v>1</v>
      </c>
    </row>
    <row r="161" spans="1:38" s="528" customFormat="1" ht="12">
      <c r="A161" s="533"/>
      <c r="B161" s="532"/>
      <c r="C161" s="533" t="s">
        <v>254</v>
      </c>
      <c r="E161" s="583"/>
      <c r="F161" s="583"/>
      <c r="G161" s="583"/>
      <c r="H161" s="583"/>
      <c r="I161" s="535"/>
      <c r="J161" s="535"/>
      <c r="K161" s="536"/>
      <c r="L161" s="536"/>
      <c r="M161" s="536"/>
      <c r="N161" s="536"/>
      <c r="O161" s="536"/>
      <c r="P161" s="536"/>
      <c r="Q161" s="536"/>
      <c r="R161" s="584"/>
      <c r="S161" s="536"/>
      <c r="T161" s="584"/>
      <c r="U161" s="584"/>
      <c r="V161" s="584"/>
      <c r="W161" s="584"/>
      <c r="X161" s="584"/>
      <c r="Y161" s="584"/>
      <c r="Z161" s="584"/>
      <c r="AA161" s="584"/>
      <c r="AB161" s="584"/>
      <c r="AC161" s="584"/>
      <c r="AD161" s="584"/>
      <c r="AE161" s="584"/>
      <c r="AF161" s="584"/>
      <c r="AG161" s="584"/>
      <c r="AH161" s="584"/>
      <c r="AI161" s="584"/>
      <c r="AJ161" s="584"/>
      <c r="AK161" s="584"/>
      <c r="AL161" s="584"/>
    </row>
    <row r="162" spans="1:38" s="528" customFormat="1" ht="12">
      <c r="A162" s="533"/>
      <c r="B162" s="532"/>
      <c r="C162" s="507" t="s">
        <v>263</v>
      </c>
      <c r="E162" s="583">
        <v>0.26954521052903624</v>
      </c>
      <c r="F162" s="583">
        <v>0.43765669975571325</v>
      </c>
      <c r="G162" s="583">
        <f>702.127349662365%/100</f>
        <v>7.0212734966236492E-2</v>
      </c>
      <c r="H162" s="583">
        <f>1950.80874747442%/100</f>
        <v>0.19508087474744201</v>
      </c>
      <c r="I162" s="585">
        <v>0.3447952728894918</v>
      </c>
      <c r="J162" s="585">
        <v>0.3751123082052919</v>
      </c>
      <c r="K162" s="586">
        <v>0.29638657456993001</v>
      </c>
      <c r="L162" s="586">
        <v>0.32536277401449337</v>
      </c>
      <c r="M162" s="586">
        <v>0.31271278221982707</v>
      </c>
      <c r="N162" s="586">
        <v>0.34432164405332732</v>
      </c>
      <c r="O162" s="586">
        <v>0.31153999489892337</v>
      </c>
      <c r="P162" s="536">
        <v>0</v>
      </c>
      <c r="Q162" s="536">
        <v>0</v>
      </c>
      <c r="R162" s="584">
        <v>0</v>
      </c>
      <c r="S162" s="586">
        <v>0</v>
      </c>
      <c r="T162" s="584"/>
      <c r="U162" s="536">
        <v>0</v>
      </c>
      <c r="V162" s="536">
        <v>0</v>
      </c>
      <c r="W162" s="536">
        <v>0</v>
      </c>
      <c r="X162" s="536">
        <v>0</v>
      </c>
      <c r="Y162" s="536">
        <v>0</v>
      </c>
      <c r="Z162" s="536">
        <v>0</v>
      </c>
      <c r="AA162" s="536">
        <v>0</v>
      </c>
      <c r="AB162" s="536">
        <v>0</v>
      </c>
      <c r="AC162" s="587">
        <v>0</v>
      </c>
      <c r="AD162" s="587">
        <v>0</v>
      </c>
      <c r="AE162" s="587">
        <v>0</v>
      </c>
      <c r="AF162" s="587">
        <v>0</v>
      </c>
      <c r="AG162" s="587">
        <v>0</v>
      </c>
      <c r="AH162" s="587">
        <v>0</v>
      </c>
      <c r="AI162" s="587">
        <v>0</v>
      </c>
      <c r="AJ162" s="587">
        <v>0</v>
      </c>
      <c r="AK162" s="587">
        <v>0</v>
      </c>
      <c r="AL162" s="587">
        <v>0</v>
      </c>
    </row>
    <row r="163" spans="1:38" s="528" customFormat="1" thickBot="1">
      <c r="B163" s="544"/>
      <c r="C163" s="545"/>
      <c r="D163" s="546"/>
      <c r="E163" s="588"/>
      <c r="F163" s="588"/>
      <c r="G163" s="588"/>
      <c r="H163" s="588"/>
      <c r="I163" s="588"/>
      <c r="J163" s="588"/>
      <c r="K163" s="589"/>
      <c r="L163" s="589"/>
      <c r="M163" s="590"/>
      <c r="N163" s="590"/>
      <c r="O163" s="589"/>
      <c r="P163" s="589"/>
      <c r="Q163" s="589"/>
      <c r="R163" s="590"/>
      <c r="S163" s="589"/>
      <c r="T163" s="590"/>
      <c r="U163" s="590"/>
      <c r="V163" s="590"/>
      <c r="W163" s="590"/>
      <c r="X163" s="591"/>
      <c r="Y163" s="591"/>
      <c r="Z163" s="591"/>
      <c r="AA163" s="591"/>
      <c r="AB163" s="591"/>
      <c r="AC163" s="591"/>
      <c r="AD163" s="591"/>
      <c r="AE163" s="591"/>
      <c r="AF163" s="591"/>
      <c r="AG163" s="591"/>
      <c r="AH163" s="591"/>
      <c r="AI163" s="591"/>
      <c r="AJ163" s="591"/>
      <c r="AK163" s="591"/>
      <c r="AL163" s="591"/>
    </row>
    <row r="164" spans="1:38" s="528" customFormat="1" ht="12" customHeight="1" thickBot="1">
      <c r="C164" s="507"/>
      <c r="E164" s="592"/>
      <c r="F164" s="592"/>
      <c r="G164" s="592"/>
      <c r="H164" s="592"/>
      <c r="I164" s="592"/>
      <c r="J164" s="592"/>
      <c r="K164" s="593"/>
      <c r="L164" s="593"/>
      <c r="M164" s="594"/>
      <c r="N164" s="594"/>
      <c r="O164" s="593"/>
      <c r="P164" s="593"/>
      <c r="Q164" s="593"/>
      <c r="R164" s="594"/>
      <c r="S164" s="593"/>
      <c r="T164" s="594"/>
      <c r="U164" s="594"/>
      <c r="V164" s="594"/>
      <c r="W164" s="594"/>
      <c r="X164" s="594"/>
      <c r="Y164" s="595"/>
      <c r="Z164" s="595"/>
      <c r="AA164" s="595"/>
      <c r="AB164" s="595"/>
      <c r="AC164" s="595"/>
      <c r="AD164" s="595"/>
      <c r="AE164" s="595"/>
      <c r="AF164" s="595"/>
      <c r="AG164" s="595"/>
      <c r="AH164" s="595"/>
      <c r="AI164" s="595"/>
      <c r="AJ164" s="595"/>
      <c r="AK164" s="595"/>
      <c r="AL164" s="595"/>
    </row>
    <row r="165" spans="1:38" s="528" customFormat="1" ht="3.75" customHeight="1">
      <c r="B165" s="529"/>
      <c r="C165" s="530"/>
      <c r="D165" s="531"/>
      <c r="E165" s="596"/>
      <c r="F165" s="596"/>
      <c r="G165" s="596"/>
      <c r="H165" s="596"/>
      <c r="I165" s="596"/>
      <c r="J165" s="596"/>
      <c r="K165" s="597"/>
      <c r="L165" s="597"/>
      <c r="M165" s="598"/>
      <c r="N165" s="598"/>
      <c r="O165" s="597"/>
      <c r="P165" s="597"/>
      <c r="Q165" s="597"/>
      <c r="R165" s="598"/>
      <c r="S165" s="597"/>
      <c r="T165" s="598"/>
      <c r="U165" s="598"/>
      <c r="V165" s="598"/>
      <c r="W165" s="598"/>
      <c r="X165" s="598"/>
      <c r="Y165" s="599"/>
      <c r="Z165" s="599"/>
      <c r="AA165" s="599"/>
      <c r="AB165" s="599"/>
      <c r="AC165" s="599"/>
      <c r="AD165" s="599"/>
      <c r="AE165" s="599"/>
      <c r="AF165" s="599"/>
      <c r="AG165" s="599"/>
      <c r="AH165" s="599"/>
      <c r="AI165" s="599"/>
      <c r="AJ165" s="599"/>
      <c r="AK165" s="599"/>
      <c r="AL165" s="599"/>
    </row>
    <row r="166" spans="1:38" s="528" customFormat="1" ht="12">
      <c r="B166" s="532"/>
      <c r="C166" s="506" t="s">
        <v>264</v>
      </c>
      <c r="E166" s="592"/>
      <c r="F166" s="592"/>
      <c r="G166" s="592"/>
      <c r="H166" s="592"/>
      <c r="I166" s="592"/>
      <c r="J166" s="592"/>
      <c r="K166" s="593"/>
      <c r="L166" s="593"/>
      <c r="M166" s="594"/>
      <c r="N166" s="594"/>
      <c r="O166" s="593"/>
      <c r="P166" s="593"/>
      <c r="Q166" s="593"/>
      <c r="R166" s="594"/>
      <c r="S166" s="593"/>
      <c r="T166" s="594"/>
      <c r="U166" s="594"/>
      <c r="V166" s="594"/>
      <c r="W166" s="594"/>
      <c r="X166" s="594"/>
      <c r="Y166" s="595"/>
      <c r="Z166" s="595"/>
      <c r="AA166" s="595"/>
      <c r="AB166" s="595"/>
      <c r="AC166" s="595"/>
      <c r="AD166" s="595"/>
      <c r="AE166" s="595"/>
      <c r="AF166" s="595"/>
      <c r="AG166" s="595"/>
      <c r="AH166" s="595"/>
      <c r="AI166" s="595"/>
      <c r="AJ166" s="595"/>
      <c r="AK166" s="595"/>
      <c r="AL166" s="595"/>
    </row>
    <row r="167" spans="1:38" s="528" customFormat="1" ht="12">
      <c r="A167" s="507"/>
      <c r="B167" s="532"/>
      <c r="C167" s="507" t="s">
        <v>237</v>
      </c>
      <c r="E167" s="600">
        <v>16.766588623023999</v>
      </c>
      <c r="F167" s="600">
        <v>16.766588623023999</v>
      </c>
      <c r="G167" s="600">
        <v>14.275838637793372</v>
      </c>
      <c r="H167" s="600">
        <v>15.185191384369903</v>
      </c>
      <c r="I167" s="601">
        <v>14.062247774434875</v>
      </c>
      <c r="J167" s="601">
        <v>16.161609161890077</v>
      </c>
      <c r="K167" s="602">
        <v>18.338217835786107</v>
      </c>
      <c r="L167" s="602">
        <v>16.450055512544399</v>
      </c>
      <c r="M167" s="602">
        <v>17.932365049816188</v>
      </c>
      <c r="N167" s="602">
        <v>26.923763661087175</v>
      </c>
      <c r="O167" s="602">
        <v>20.928590514245101</v>
      </c>
      <c r="P167" s="602">
        <v>21.807258214271005</v>
      </c>
      <c r="Q167" s="602">
        <v>20.949217347992473</v>
      </c>
      <c r="R167" s="603">
        <v>20.4264752454344</v>
      </c>
      <c r="S167" s="602">
        <v>18.322399258735839</v>
      </c>
      <c r="T167" s="603"/>
      <c r="U167" s="602">
        <v>18</v>
      </c>
      <c r="V167" s="602">
        <v>18</v>
      </c>
      <c r="W167" s="602">
        <v>18.524076231198901</v>
      </c>
      <c r="X167" s="602">
        <v>20.7</v>
      </c>
      <c r="Y167" s="602">
        <v>20</v>
      </c>
      <c r="Z167" s="602">
        <v>14.718420937111899</v>
      </c>
      <c r="AA167" s="602">
        <v>13.704000000000001</v>
      </c>
      <c r="AB167" s="602">
        <v>11.899759868775574</v>
      </c>
      <c r="AC167" s="603">
        <v>13</v>
      </c>
      <c r="AD167" s="603">
        <v>13</v>
      </c>
      <c r="AE167" s="603">
        <v>13</v>
      </c>
      <c r="AF167" s="603">
        <v>13</v>
      </c>
      <c r="AG167" s="603">
        <v>13</v>
      </c>
      <c r="AH167" s="603">
        <v>13</v>
      </c>
      <c r="AI167" s="603">
        <v>13</v>
      </c>
      <c r="AJ167" s="603">
        <v>13</v>
      </c>
      <c r="AK167" s="603">
        <v>13</v>
      </c>
      <c r="AL167" s="603">
        <v>13</v>
      </c>
    </row>
    <row r="168" spans="1:38" s="528" customFormat="1" ht="12">
      <c r="A168" s="507"/>
      <c r="B168" s="532"/>
      <c r="C168" s="507" t="s">
        <v>238</v>
      </c>
      <c r="E168" s="600">
        <v>18.0153813004077</v>
      </c>
      <c r="F168" s="600">
        <v>18.0153813004077</v>
      </c>
      <c r="G168" s="600">
        <v>15.298069773967645</v>
      </c>
      <c r="H168" s="600">
        <v>13.753796942774679</v>
      </c>
      <c r="I168" s="601">
        <v>14.374242504817069</v>
      </c>
      <c r="J168" s="601">
        <v>17.558436125890999</v>
      </c>
      <c r="K168" s="602">
        <v>26.665482760848409</v>
      </c>
      <c r="L168" s="602">
        <v>24.274043477335152</v>
      </c>
      <c r="M168" s="602">
        <v>25.150893362172233</v>
      </c>
      <c r="N168" s="602">
        <v>15.283223795581147</v>
      </c>
      <c r="O168" s="602">
        <v>14.847405647643688</v>
      </c>
      <c r="P168" s="602">
        <v>15.626912606807947</v>
      </c>
      <c r="Q168" s="602">
        <v>14.834291122804</v>
      </c>
      <c r="R168" s="603">
        <v>14.475233145957599</v>
      </c>
      <c r="S168" s="602">
        <v>13.889839768643341</v>
      </c>
      <c r="T168" s="603"/>
      <c r="U168" s="602">
        <v>13.9</v>
      </c>
      <c r="V168" s="602">
        <v>13.9</v>
      </c>
      <c r="W168" s="602">
        <v>17.226036724813333</v>
      </c>
      <c r="X168" s="602">
        <v>18.3</v>
      </c>
      <c r="Y168" s="602">
        <v>18.3</v>
      </c>
      <c r="Z168" s="602">
        <v>21.3</v>
      </c>
      <c r="AA168" s="602">
        <v>20.77</v>
      </c>
      <c r="AB168" s="602">
        <v>21.87009794405488</v>
      </c>
      <c r="AC168" s="603">
        <v>22</v>
      </c>
      <c r="AD168" s="603">
        <v>22</v>
      </c>
      <c r="AE168" s="603">
        <v>22</v>
      </c>
      <c r="AF168" s="603">
        <v>22</v>
      </c>
      <c r="AG168" s="603">
        <v>22</v>
      </c>
      <c r="AH168" s="603">
        <v>22</v>
      </c>
      <c r="AI168" s="603">
        <v>22</v>
      </c>
      <c r="AJ168" s="603">
        <v>22</v>
      </c>
      <c r="AK168" s="603">
        <v>22</v>
      </c>
      <c r="AL168" s="603">
        <v>22</v>
      </c>
    </row>
    <row r="169" spans="1:38" s="528" customFormat="1" ht="12">
      <c r="A169" s="507"/>
      <c r="B169" s="532"/>
      <c r="C169" s="507" t="s">
        <v>239</v>
      </c>
      <c r="E169" s="600">
        <v>22.084966364795999</v>
      </c>
      <c r="F169" s="600">
        <v>22.084966364795999</v>
      </c>
      <c r="G169" s="600">
        <v>20.894133080246487</v>
      </c>
      <c r="H169" s="600">
        <v>17.954758843331987</v>
      </c>
      <c r="I169" s="601">
        <v>14.518312655977367</v>
      </c>
      <c r="J169" s="601">
        <v>20.876843058428562</v>
      </c>
      <c r="K169" s="602">
        <v>15.618148033390044</v>
      </c>
      <c r="L169" s="602">
        <v>16.225171326873205</v>
      </c>
      <c r="M169" s="602">
        <v>16.429622030139932</v>
      </c>
      <c r="N169" s="602">
        <v>23.514287947459554</v>
      </c>
      <c r="O169" s="602">
        <v>16.985150935788063</v>
      </c>
      <c r="P169" s="602">
        <v>13.088829749169751</v>
      </c>
      <c r="Q169" s="602">
        <v>12.362349479806532</v>
      </c>
      <c r="R169" s="603">
        <v>13.271421409906331</v>
      </c>
      <c r="S169" s="602">
        <v>12.823534523682575</v>
      </c>
      <c r="T169" s="603"/>
      <c r="U169" s="602">
        <v>15</v>
      </c>
      <c r="V169" s="602">
        <v>15</v>
      </c>
      <c r="W169" s="602">
        <v>16.643173567788271</v>
      </c>
      <c r="X169" s="602">
        <v>14.5</v>
      </c>
      <c r="Y169" s="602">
        <v>15.3</v>
      </c>
      <c r="Z169" s="602">
        <v>18.741</v>
      </c>
      <c r="AA169" s="602">
        <v>16.373999999999999</v>
      </c>
      <c r="AB169" s="602">
        <v>21.26798100869927</v>
      </c>
      <c r="AC169" s="603">
        <v>22</v>
      </c>
      <c r="AD169" s="603">
        <v>22</v>
      </c>
      <c r="AE169" s="603">
        <v>22</v>
      </c>
      <c r="AF169" s="603">
        <v>22</v>
      </c>
      <c r="AG169" s="603">
        <v>22</v>
      </c>
      <c r="AH169" s="603">
        <v>22</v>
      </c>
      <c r="AI169" s="603">
        <v>22</v>
      </c>
      <c r="AJ169" s="603">
        <v>22</v>
      </c>
      <c r="AK169" s="603">
        <v>22</v>
      </c>
      <c r="AL169" s="603">
        <v>22</v>
      </c>
    </row>
    <row r="170" spans="1:38" s="528" customFormat="1" ht="12">
      <c r="A170" s="507"/>
      <c r="B170" s="532"/>
      <c r="C170" s="507" t="s">
        <v>240</v>
      </c>
      <c r="E170" s="600">
        <v>15</v>
      </c>
      <c r="F170" s="600">
        <v>15</v>
      </c>
      <c r="G170" s="600">
        <v>0</v>
      </c>
      <c r="H170" s="600">
        <v>0</v>
      </c>
      <c r="I170" s="601">
        <v>15</v>
      </c>
      <c r="J170" s="601">
        <v>15.940996873457802</v>
      </c>
      <c r="K170" s="602">
        <v>17.106898887325698</v>
      </c>
      <c r="L170" s="602">
        <v>22.296949009465617</v>
      </c>
      <c r="M170" s="602">
        <v>23.927710843373497</v>
      </c>
      <c r="N170" s="602">
        <v>31.653666980403848</v>
      </c>
      <c r="O170" s="602">
        <v>21.194355930574147</v>
      </c>
      <c r="P170" s="602">
        <v>35.106697829682616</v>
      </c>
      <c r="Q170" s="602">
        <v>29.865172557099601</v>
      </c>
      <c r="R170" s="603">
        <v>23.002175489485101</v>
      </c>
      <c r="S170" s="602">
        <v>29.381938986843359</v>
      </c>
      <c r="T170" s="603"/>
      <c r="U170" s="602">
        <v>25</v>
      </c>
      <c r="V170" s="602">
        <v>25</v>
      </c>
      <c r="W170" s="602">
        <v>33.936608007829491</v>
      </c>
      <c r="X170" s="602">
        <v>16</v>
      </c>
      <c r="Y170" s="602">
        <v>12.5</v>
      </c>
      <c r="Z170" s="602">
        <v>21.826000000000001</v>
      </c>
      <c r="AA170" s="602">
        <v>16.552</v>
      </c>
      <c r="AB170" s="602">
        <v>18.77198123650302</v>
      </c>
      <c r="AC170" s="603">
        <v>20</v>
      </c>
      <c r="AD170" s="603">
        <v>20</v>
      </c>
      <c r="AE170" s="603">
        <v>20</v>
      </c>
      <c r="AF170" s="603">
        <v>20</v>
      </c>
      <c r="AG170" s="603">
        <v>20</v>
      </c>
      <c r="AH170" s="603">
        <v>20</v>
      </c>
      <c r="AI170" s="603">
        <v>20</v>
      </c>
      <c r="AJ170" s="603">
        <v>20</v>
      </c>
      <c r="AK170" s="603">
        <v>20</v>
      </c>
      <c r="AL170" s="603">
        <v>20</v>
      </c>
    </row>
    <row r="171" spans="1:38" s="528" customFormat="1" ht="12">
      <c r="A171" s="507"/>
      <c r="B171" s="532"/>
      <c r="C171" s="507" t="s">
        <v>223</v>
      </c>
      <c r="E171" s="600">
        <v>10</v>
      </c>
      <c r="F171" s="600">
        <v>10</v>
      </c>
      <c r="G171" s="600">
        <v>0</v>
      </c>
      <c r="H171" s="600">
        <v>0</v>
      </c>
      <c r="I171" s="601">
        <v>30</v>
      </c>
      <c r="J171" s="601">
        <v>30</v>
      </c>
      <c r="K171" s="602">
        <v>30</v>
      </c>
      <c r="L171" s="602">
        <v>30</v>
      </c>
      <c r="M171" s="602">
        <v>100</v>
      </c>
      <c r="N171" s="602">
        <v>0</v>
      </c>
      <c r="O171" s="602">
        <v>35</v>
      </c>
      <c r="P171" s="602">
        <v>0</v>
      </c>
      <c r="Q171" s="602">
        <v>207.02953316239601</v>
      </c>
      <c r="R171" s="603">
        <v>45</v>
      </c>
      <c r="S171" s="602">
        <v>215.88222432051242</v>
      </c>
      <c r="T171" s="603"/>
      <c r="U171" s="602">
        <v>65</v>
      </c>
      <c r="V171" s="602">
        <v>65</v>
      </c>
      <c r="W171" s="602">
        <v>32.101092943807977</v>
      </c>
      <c r="X171" s="602">
        <v>51.4</v>
      </c>
      <c r="Y171" s="602">
        <v>36.1</v>
      </c>
      <c r="Z171" s="602">
        <v>30.227</v>
      </c>
      <c r="AA171" s="602">
        <v>27.949000000000002</v>
      </c>
      <c r="AB171" s="602">
        <v>23.336293208430476</v>
      </c>
      <c r="AC171" s="603">
        <v>23</v>
      </c>
      <c r="AD171" s="603">
        <v>23</v>
      </c>
      <c r="AE171" s="603">
        <v>23</v>
      </c>
      <c r="AF171" s="603">
        <v>23</v>
      </c>
      <c r="AG171" s="603">
        <v>23</v>
      </c>
      <c r="AH171" s="603">
        <v>23</v>
      </c>
      <c r="AI171" s="603">
        <v>23</v>
      </c>
      <c r="AJ171" s="603">
        <v>23</v>
      </c>
      <c r="AK171" s="603">
        <v>23</v>
      </c>
      <c r="AL171" s="603">
        <v>23</v>
      </c>
    </row>
    <row r="172" spans="1:38" s="528" customFormat="1" ht="12">
      <c r="A172" s="507"/>
      <c r="B172" s="532"/>
      <c r="C172" s="507" t="s">
        <v>224</v>
      </c>
      <c r="E172" s="600">
        <v>10</v>
      </c>
      <c r="F172" s="600">
        <v>10</v>
      </c>
      <c r="G172" s="600">
        <v>0</v>
      </c>
      <c r="H172" s="600">
        <v>0</v>
      </c>
      <c r="I172" s="601">
        <v>30</v>
      </c>
      <c r="J172" s="601">
        <v>30</v>
      </c>
      <c r="K172" s="602">
        <v>24.828287899999999</v>
      </c>
      <c r="L172" s="602">
        <v>26.355133586106316</v>
      </c>
      <c r="M172" s="602">
        <v>33.172220808954464</v>
      </c>
      <c r="N172" s="602">
        <v>0</v>
      </c>
      <c r="O172" s="602">
        <v>529.68298547551558</v>
      </c>
      <c r="P172" s="602">
        <v>0</v>
      </c>
      <c r="Q172" s="602">
        <v>234.480333250576</v>
      </c>
      <c r="R172" s="603">
        <v>60.056657223796002</v>
      </c>
      <c r="S172" s="602">
        <v>158.80408504663058</v>
      </c>
      <c r="T172" s="603"/>
      <c r="U172" s="602">
        <v>40</v>
      </c>
      <c r="V172" s="602">
        <v>40</v>
      </c>
      <c r="W172" s="602">
        <v>56.239892678462923</v>
      </c>
      <c r="X172" s="602">
        <v>55.8</v>
      </c>
      <c r="Y172" s="602">
        <v>16.600000000000001</v>
      </c>
      <c r="Z172" s="602">
        <v>56.506999999999998</v>
      </c>
      <c r="AA172" s="602">
        <v>53.094999999999999</v>
      </c>
      <c r="AB172" s="602">
        <v>64.350139860980519</v>
      </c>
      <c r="AC172" s="603">
        <v>50</v>
      </c>
      <c r="AD172" s="603">
        <v>50</v>
      </c>
      <c r="AE172" s="603">
        <v>50</v>
      </c>
      <c r="AF172" s="603">
        <v>50</v>
      </c>
      <c r="AG172" s="603">
        <v>50</v>
      </c>
      <c r="AH172" s="603">
        <v>50</v>
      </c>
      <c r="AI172" s="603">
        <v>50</v>
      </c>
      <c r="AJ172" s="603">
        <v>50</v>
      </c>
      <c r="AK172" s="603">
        <v>50</v>
      </c>
      <c r="AL172" s="603">
        <v>50</v>
      </c>
    </row>
    <row r="173" spans="1:38" s="528" customFormat="1" ht="12">
      <c r="A173" s="507"/>
      <c r="B173" s="532"/>
      <c r="C173" s="507" t="s">
        <v>241</v>
      </c>
      <c r="E173" s="600">
        <v>10</v>
      </c>
      <c r="F173" s="600">
        <v>10</v>
      </c>
      <c r="G173" s="600">
        <v>0</v>
      </c>
      <c r="H173" s="600">
        <v>0</v>
      </c>
      <c r="I173" s="601">
        <v>10</v>
      </c>
      <c r="J173" s="601">
        <v>17.807516638234972</v>
      </c>
      <c r="K173" s="602">
        <v>21.108913584193733</v>
      </c>
      <c r="L173" s="602">
        <v>18.518917643337815</v>
      </c>
      <c r="M173" s="602">
        <v>20.16949152542373</v>
      </c>
      <c r="N173" s="602">
        <v>16.42173584811114</v>
      </c>
      <c r="O173" s="602">
        <v>17.279458516382284</v>
      </c>
      <c r="P173" s="602">
        <v>27.729676391676094</v>
      </c>
      <c r="Q173" s="602">
        <v>26.923230828770357</v>
      </c>
      <c r="R173" s="603">
        <v>20</v>
      </c>
      <c r="S173" s="602">
        <v>17.459101789760076</v>
      </c>
      <c r="T173" s="603"/>
      <c r="U173" s="602">
        <v>18</v>
      </c>
      <c r="V173" s="602">
        <v>18</v>
      </c>
      <c r="W173" s="602">
        <v>11.923057896326132</v>
      </c>
      <c r="X173" s="602">
        <v>9.1</v>
      </c>
      <c r="Y173" s="602">
        <v>11</v>
      </c>
      <c r="Z173" s="602">
        <v>11.021000000000001</v>
      </c>
      <c r="AA173" s="602">
        <v>10.936</v>
      </c>
      <c r="AB173" s="602">
        <v>10.308842637309182</v>
      </c>
      <c r="AC173" s="603">
        <v>10</v>
      </c>
      <c r="AD173" s="603">
        <v>10</v>
      </c>
      <c r="AE173" s="603">
        <v>10</v>
      </c>
      <c r="AF173" s="603">
        <v>10</v>
      </c>
      <c r="AG173" s="603">
        <v>10</v>
      </c>
      <c r="AH173" s="603">
        <v>10</v>
      </c>
      <c r="AI173" s="603">
        <v>10</v>
      </c>
      <c r="AJ173" s="603">
        <v>10</v>
      </c>
      <c r="AK173" s="603">
        <v>10</v>
      </c>
      <c r="AL173" s="603">
        <v>10</v>
      </c>
    </row>
    <row r="174" spans="1:38" s="528" customFormat="1" ht="12">
      <c r="A174" s="507"/>
      <c r="B174" s="532"/>
      <c r="C174" s="507" t="s">
        <v>225</v>
      </c>
      <c r="E174" s="600"/>
      <c r="F174" s="600"/>
      <c r="G174" s="600"/>
      <c r="H174" s="600"/>
      <c r="I174" s="601"/>
      <c r="J174" s="601"/>
      <c r="K174" s="602"/>
      <c r="L174" s="602">
        <v>0</v>
      </c>
      <c r="M174" s="602">
        <v>0</v>
      </c>
      <c r="N174" s="602">
        <v>0</v>
      </c>
      <c r="O174" s="602">
        <v>0</v>
      </c>
      <c r="P174" s="602">
        <v>0</v>
      </c>
      <c r="Q174" s="602">
        <v>0</v>
      </c>
      <c r="R174" s="603">
        <v>35</v>
      </c>
      <c r="S174" s="602">
        <v>0</v>
      </c>
      <c r="T174" s="604"/>
      <c r="U174" s="602">
        <v>0</v>
      </c>
      <c r="V174" s="602">
        <v>0</v>
      </c>
      <c r="W174" s="602">
        <v>0</v>
      </c>
      <c r="X174" s="602">
        <v>717.07</v>
      </c>
      <c r="Y174" s="602"/>
      <c r="Z174" s="602">
        <v>199.91200000000001</v>
      </c>
      <c r="AA174" s="602">
        <v>44.143999999999998</v>
      </c>
      <c r="AB174" s="602">
        <v>99.085254547877724</v>
      </c>
      <c r="AC174" s="603">
        <v>75</v>
      </c>
      <c r="AD174" s="603">
        <v>75</v>
      </c>
      <c r="AE174" s="603">
        <v>75</v>
      </c>
      <c r="AF174" s="603">
        <v>75</v>
      </c>
      <c r="AG174" s="603">
        <v>75</v>
      </c>
      <c r="AH174" s="603">
        <v>75</v>
      </c>
      <c r="AI174" s="603">
        <v>75</v>
      </c>
      <c r="AJ174" s="603">
        <v>75</v>
      </c>
      <c r="AK174" s="603">
        <v>75</v>
      </c>
      <c r="AL174" s="603">
        <v>75</v>
      </c>
    </row>
    <row r="175" spans="1:38" s="528" customFormat="1" ht="12">
      <c r="A175" s="507"/>
      <c r="B175" s="532"/>
      <c r="C175" s="507" t="s">
        <v>226</v>
      </c>
      <c r="E175" s="600"/>
      <c r="F175" s="600"/>
      <c r="G175" s="600"/>
      <c r="H175" s="600"/>
      <c r="I175" s="601"/>
      <c r="J175" s="601"/>
      <c r="K175" s="602"/>
      <c r="L175" s="602">
        <v>0</v>
      </c>
      <c r="M175" s="602">
        <v>0</v>
      </c>
      <c r="N175" s="602">
        <v>0</v>
      </c>
      <c r="O175" s="602">
        <v>0</v>
      </c>
      <c r="P175" s="602">
        <v>0</v>
      </c>
      <c r="Q175" s="602">
        <v>0</v>
      </c>
      <c r="R175" s="603">
        <v>15</v>
      </c>
      <c r="S175" s="602">
        <v>0</v>
      </c>
      <c r="T175" s="603"/>
      <c r="U175" s="602">
        <v>0</v>
      </c>
      <c r="V175" s="602">
        <v>0</v>
      </c>
      <c r="W175" s="602">
        <v>0</v>
      </c>
      <c r="X175" s="602"/>
      <c r="Y175" s="602"/>
      <c r="Z175" s="602"/>
      <c r="AA175" s="602">
        <v>0</v>
      </c>
      <c r="AB175" s="602"/>
      <c r="AC175" s="603"/>
      <c r="AD175" s="603"/>
      <c r="AE175" s="603"/>
      <c r="AF175" s="603"/>
      <c r="AG175" s="603"/>
      <c r="AH175" s="603">
        <v>22</v>
      </c>
      <c r="AI175" s="603">
        <v>22</v>
      </c>
      <c r="AJ175" s="603">
        <v>22</v>
      </c>
      <c r="AK175" s="603">
        <v>22</v>
      </c>
      <c r="AL175" s="603">
        <v>22</v>
      </c>
    </row>
    <row r="176" spans="1:38" s="528" customFormat="1" ht="12">
      <c r="A176" s="533"/>
      <c r="B176" s="532"/>
      <c r="C176" s="533" t="s">
        <v>242</v>
      </c>
      <c r="E176" s="600"/>
      <c r="F176" s="600"/>
      <c r="G176" s="600"/>
      <c r="H176" s="600"/>
      <c r="I176" s="601"/>
      <c r="J176" s="601"/>
      <c r="K176" s="602"/>
      <c r="L176" s="602">
        <v>0</v>
      </c>
      <c r="M176" s="602">
        <v>17.133847231955151</v>
      </c>
      <c r="N176" s="602">
        <v>0</v>
      </c>
      <c r="O176" s="602">
        <v>31.925952909748261</v>
      </c>
      <c r="P176" s="602">
        <v>0</v>
      </c>
      <c r="Q176" s="602">
        <v>32.060124085395302</v>
      </c>
      <c r="R176" s="603">
        <v>32.060124085395302</v>
      </c>
      <c r="S176" s="602">
        <v>28.373365461701873</v>
      </c>
      <c r="T176" s="603"/>
      <c r="U176" s="602">
        <v>0</v>
      </c>
      <c r="V176" s="602">
        <v>0</v>
      </c>
      <c r="W176" s="602">
        <v>0</v>
      </c>
      <c r="X176" s="602"/>
      <c r="Y176" s="602"/>
      <c r="Z176" s="602"/>
      <c r="AA176" s="602">
        <v>0</v>
      </c>
      <c r="AB176" s="602"/>
      <c r="AC176" s="603"/>
      <c r="AD176" s="603"/>
      <c r="AE176" s="603"/>
      <c r="AF176" s="603"/>
      <c r="AG176" s="603"/>
      <c r="AH176" s="603">
        <v>0</v>
      </c>
      <c r="AI176" s="603">
        <v>0</v>
      </c>
      <c r="AJ176" s="603">
        <v>0</v>
      </c>
      <c r="AK176" s="603">
        <v>0</v>
      </c>
      <c r="AL176" s="603">
        <v>0</v>
      </c>
    </row>
    <row r="177" spans="1:38" s="528" customFormat="1" ht="12">
      <c r="A177" s="507"/>
      <c r="B177" s="532"/>
      <c r="C177" s="507" t="s">
        <v>243</v>
      </c>
      <c r="E177" s="600">
        <v>0</v>
      </c>
      <c r="F177" s="600">
        <v>0</v>
      </c>
      <c r="G177" s="600">
        <v>0</v>
      </c>
      <c r="H177" s="600">
        <v>0</v>
      </c>
      <c r="I177" s="601">
        <v>0</v>
      </c>
      <c r="J177" s="601">
        <v>0</v>
      </c>
      <c r="K177" s="602">
        <v>26.8751416270111</v>
      </c>
      <c r="L177" s="602">
        <v>23.970341303290134</v>
      </c>
      <c r="M177" s="602">
        <v>25.38449824881986</v>
      </c>
      <c r="N177" s="602">
        <v>24.377083292852408</v>
      </c>
      <c r="O177" s="602">
        <v>27.67835890992837</v>
      </c>
      <c r="P177" s="602">
        <v>28.379111576673321</v>
      </c>
      <c r="Q177" s="602">
        <v>28.264276244832502</v>
      </c>
      <c r="R177" s="603">
        <v>28.148148148148099</v>
      </c>
      <c r="S177" s="602">
        <v>31.550741549856021</v>
      </c>
      <c r="T177" s="603"/>
      <c r="U177" s="602">
        <v>25.4</v>
      </c>
      <c r="V177" s="602">
        <v>25.4</v>
      </c>
      <c r="W177" s="602">
        <v>36.003186811609758</v>
      </c>
      <c r="X177" s="602">
        <v>25.3</v>
      </c>
      <c r="Y177" s="602">
        <v>21.4</v>
      </c>
      <c r="Z177" s="602">
        <v>22.018000000000001</v>
      </c>
      <c r="AA177" s="602">
        <v>0</v>
      </c>
      <c r="AB177" s="602"/>
      <c r="AC177" s="603"/>
      <c r="AD177" s="603"/>
      <c r="AE177" s="603"/>
      <c r="AF177" s="603"/>
      <c r="AG177" s="603"/>
      <c r="AH177" s="603">
        <v>25</v>
      </c>
      <c r="AI177" s="603">
        <v>25</v>
      </c>
      <c r="AJ177" s="603">
        <v>25</v>
      </c>
      <c r="AK177" s="603">
        <v>25</v>
      </c>
      <c r="AL177" s="603">
        <v>25</v>
      </c>
    </row>
    <row r="178" spans="1:38" s="528" customFormat="1" ht="12">
      <c r="A178" s="507"/>
      <c r="B178" s="532"/>
      <c r="C178" s="507" t="s">
        <v>265</v>
      </c>
      <c r="E178" s="600"/>
      <c r="F178" s="600"/>
      <c r="G178" s="600"/>
      <c r="H178" s="600"/>
      <c r="I178" s="601"/>
      <c r="J178" s="601"/>
      <c r="K178" s="602"/>
      <c r="L178" s="602"/>
      <c r="M178" s="602"/>
      <c r="N178" s="602"/>
      <c r="O178" s="602"/>
      <c r="P178" s="602"/>
      <c r="Q178" s="602"/>
      <c r="R178" s="603"/>
      <c r="S178" s="602"/>
      <c r="T178" s="603"/>
      <c r="U178" s="602"/>
      <c r="V178" s="602"/>
      <c r="W178" s="602">
        <v>0</v>
      </c>
      <c r="X178" s="602"/>
      <c r="Y178" s="602"/>
      <c r="Z178" s="602"/>
      <c r="AA178" s="602">
        <v>0</v>
      </c>
      <c r="AB178" s="602"/>
      <c r="AC178" s="603"/>
      <c r="AD178" s="603"/>
      <c r="AE178" s="603"/>
      <c r="AF178" s="603"/>
      <c r="AG178" s="603"/>
      <c r="AH178" s="603">
        <v>25</v>
      </c>
      <c r="AI178" s="603">
        <v>25</v>
      </c>
      <c r="AJ178" s="603">
        <v>25</v>
      </c>
      <c r="AK178" s="603">
        <v>25</v>
      </c>
      <c r="AL178" s="603">
        <v>25</v>
      </c>
    </row>
    <row r="179" spans="1:38" s="528" customFormat="1" ht="12">
      <c r="A179" s="507"/>
      <c r="B179" s="532"/>
      <c r="C179" s="533" t="s">
        <v>245</v>
      </c>
      <c r="E179" s="600">
        <v>0</v>
      </c>
      <c r="F179" s="600">
        <v>0</v>
      </c>
      <c r="G179" s="600">
        <v>0</v>
      </c>
      <c r="H179" s="600">
        <v>0</v>
      </c>
      <c r="I179" s="601">
        <v>0</v>
      </c>
      <c r="J179" s="601">
        <v>0</v>
      </c>
      <c r="K179" s="602">
        <v>14.128260397605683</v>
      </c>
      <c r="L179" s="602">
        <v>14.128260397605683</v>
      </c>
      <c r="M179" s="602">
        <v>17.133847231955151</v>
      </c>
      <c r="N179" s="602">
        <v>0</v>
      </c>
      <c r="O179" s="602">
        <v>0</v>
      </c>
      <c r="P179" s="602">
        <v>0</v>
      </c>
      <c r="Q179" s="602">
        <v>0</v>
      </c>
      <c r="R179" s="603">
        <v>14</v>
      </c>
      <c r="S179" s="602">
        <v>0</v>
      </c>
      <c r="T179" s="603"/>
      <c r="U179" s="602"/>
      <c r="V179" s="602"/>
      <c r="W179" s="602">
        <v>0</v>
      </c>
      <c r="X179" s="602"/>
      <c r="Y179" s="602"/>
      <c r="Z179" s="602"/>
      <c r="AA179" s="602">
        <v>0</v>
      </c>
      <c r="AB179" s="602"/>
      <c r="AC179" s="603"/>
      <c r="AD179" s="603"/>
      <c r="AE179" s="603"/>
      <c r="AF179" s="603"/>
      <c r="AG179" s="603"/>
      <c r="AH179" s="603">
        <v>30</v>
      </c>
      <c r="AI179" s="603">
        <v>30</v>
      </c>
      <c r="AJ179" s="603">
        <v>30</v>
      </c>
      <c r="AK179" s="603">
        <v>30</v>
      </c>
      <c r="AL179" s="603">
        <v>30</v>
      </c>
    </row>
    <row r="180" spans="1:38" s="528" customFormat="1" ht="12">
      <c r="A180" s="507"/>
      <c r="B180" s="532"/>
      <c r="C180" s="507" t="s">
        <v>246</v>
      </c>
      <c r="E180" s="600">
        <v>18.922787342244099</v>
      </c>
      <c r="F180" s="600">
        <v>18.922787342244099</v>
      </c>
      <c r="G180" s="600">
        <v>16.776022466849895</v>
      </c>
      <c r="H180" s="600">
        <v>19.746402157473188</v>
      </c>
      <c r="I180" s="601">
        <v>18.401275729654056</v>
      </c>
      <c r="J180" s="601">
        <v>20.201115048897066</v>
      </c>
      <c r="K180" s="602">
        <v>19.407590036497023</v>
      </c>
      <c r="L180" s="602">
        <v>20.962975856242775</v>
      </c>
      <c r="M180" s="602">
        <v>19.375230901851321</v>
      </c>
      <c r="N180" s="602">
        <v>18.004376330445986</v>
      </c>
      <c r="O180" s="602">
        <v>18.592646446471651</v>
      </c>
      <c r="P180" s="602">
        <v>19.813342522680351</v>
      </c>
      <c r="Q180" s="602">
        <v>20.570744970299714</v>
      </c>
      <c r="R180" s="603">
        <v>20.600288381270399</v>
      </c>
      <c r="S180" s="602">
        <v>20.341462393109577</v>
      </c>
      <c r="T180" s="603"/>
      <c r="U180" s="602">
        <v>20</v>
      </c>
      <c r="V180" s="602">
        <v>20</v>
      </c>
      <c r="W180" s="602">
        <v>22.391978122151322</v>
      </c>
      <c r="X180" s="602">
        <v>20.399999999999999</v>
      </c>
      <c r="Y180" s="602">
        <v>19.5</v>
      </c>
      <c r="Z180" s="602">
        <v>18.515000000000001</v>
      </c>
      <c r="AA180" s="602">
        <v>17.878</v>
      </c>
      <c r="AB180" s="602">
        <v>18.054291488909797</v>
      </c>
      <c r="AC180" s="603">
        <v>18</v>
      </c>
      <c r="AD180" s="603">
        <v>18</v>
      </c>
      <c r="AE180" s="603">
        <v>18</v>
      </c>
      <c r="AF180" s="603">
        <v>18</v>
      </c>
      <c r="AG180" s="603">
        <v>18</v>
      </c>
      <c r="AH180" s="603">
        <v>18</v>
      </c>
      <c r="AI180" s="603">
        <v>18</v>
      </c>
      <c r="AJ180" s="603">
        <v>18</v>
      </c>
      <c r="AK180" s="603">
        <v>18</v>
      </c>
      <c r="AL180" s="603">
        <v>18</v>
      </c>
    </row>
    <row r="181" spans="1:38" s="528" customFormat="1" ht="12">
      <c r="A181" s="507"/>
      <c r="B181" s="532"/>
      <c r="C181" s="507" t="s">
        <v>247</v>
      </c>
      <c r="E181" s="600">
        <v>9.11143847299385</v>
      </c>
      <c r="F181" s="600">
        <v>9.11143847299385</v>
      </c>
      <c r="G181" s="600">
        <v>13.430124466870016</v>
      </c>
      <c r="H181" s="600">
        <v>11.08687867112574</v>
      </c>
      <c r="I181" s="601">
        <v>14.990245631896922</v>
      </c>
      <c r="J181" s="601">
        <v>20.967489444268299</v>
      </c>
      <c r="K181" s="602">
        <v>16.132307667773809</v>
      </c>
      <c r="L181" s="602">
        <v>15.118727217371921</v>
      </c>
      <c r="M181" s="602">
        <v>15.141345106032734</v>
      </c>
      <c r="N181" s="602">
        <v>13.203439535096148</v>
      </c>
      <c r="O181" s="602">
        <v>13.277448574893794</v>
      </c>
      <c r="P181" s="602">
        <v>10.947575915519282</v>
      </c>
      <c r="Q181" s="602">
        <v>10.827721961315003</v>
      </c>
      <c r="R181" s="603">
        <v>10.731377080561195</v>
      </c>
      <c r="S181" s="602">
        <v>10.531079989892529</v>
      </c>
      <c r="T181" s="603"/>
      <c r="U181" s="602">
        <v>13</v>
      </c>
      <c r="V181" s="602">
        <v>13</v>
      </c>
      <c r="W181" s="602">
        <v>11.861185757535104</v>
      </c>
      <c r="X181" s="602">
        <v>10.6</v>
      </c>
      <c r="Y181" s="602">
        <v>11.4</v>
      </c>
      <c r="Z181" s="602">
        <v>9.9260000000000002</v>
      </c>
      <c r="AA181" s="602">
        <v>7.77</v>
      </c>
      <c r="AB181" s="602">
        <v>14.872588590422897</v>
      </c>
      <c r="AC181" s="603">
        <v>15</v>
      </c>
      <c r="AD181" s="603">
        <v>15</v>
      </c>
      <c r="AE181" s="603">
        <v>15</v>
      </c>
      <c r="AF181" s="603">
        <v>15</v>
      </c>
      <c r="AG181" s="603">
        <v>15</v>
      </c>
      <c r="AH181" s="603">
        <v>15</v>
      </c>
      <c r="AI181" s="603">
        <v>15</v>
      </c>
      <c r="AJ181" s="603">
        <v>15</v>
      </c>
      <c r="AK181" s="603">
        <v>15</v>
      </c>
      <c r="AL181" s="603">
        <v>15</v>
      </c>
    </row>
    <row r="182" spans="1:38" s="528" customFormat="1" ht="12">
      <c r="A182" s="507"/>
      <c r="B182" s="532"/>
      <c r="C182" s="507" t="s">
        <v>248</v>
      </c>
      <c r="E182" s="600">
        <v>0</v>
      </c>
      <c r="F182" s="600">
        <v>0</v>
      </c>
      <c r="G182" s="600">
        <v>0</v>
      </c>
      <c r="H182" s="600">
        <v>0</v>
      </c>
      <c r="I182" s="601">
        <v>0</v>
      </c>
      <c r="J182" s="601">
        <v>0</v>
      </c>
      <c r="K182" s="602">
        <v>0</v>
      </c>
      <c r="L182" s="602">
        <v>0</v>
      </c>
      <c r="M182" s="602">
        <v>0</v>
      </c>
      <c r="N182" s="602">
        <v>0</v>
      </c>
      <c r="O182" s="602">
        <v>0</v>
      </c>
      <c r="P182" s="602">
        <v>0</v>
      </c>
      <c r="Q182" s="602">
        <v>0</v>
      </c>
      <c r="R182" s="603">
        <v>10</v>
      </c>
      <c r="S182" s="602">
        <v>0</v>
      </c>
      <c r="T182" s="603"/>
      <c r="U182" s="602">
        <v>15</v>
      </c>
      <c r="V182" s="602">
        <v>15</v>
      </c>
      <c r="W182" s="602">
        <v>15</v>
      </c>
      <c r="X182" s="602">
        <v>13.891999999999999</v>
      </c>
      <c r="Y182" s="602"/>
      <c r="Z182" s="602">
        <v>5.6959999999999997</v>
      </c>
      <c r="AA182" s="602">
        <v>4.2320000000000002</v>
      </c>
      <c r="AB182" s="602">
        <v>8.1520205325878248</v>
      </c>
      <c r="AC182" s="603">
        <v>8</v>
      </c>
      <c r="AD182" s="603">
        <v>8</v>
      </c>
      <c r="AE182" s="603">
        <v>8</v>
      </c>
      <c r="AF182" s="603">
        <v>8</v>
      </c>
      <c r="AG182" s="603">
        <v>8</v>
      </c>
      <c r="AH182" s="603">
        <v>8</v>
      </c>
      <c r="AI182" s="603">
        <v>8</v>
      </c>
      <c r="AJ182" s="603">
        <v>8</v>
      </c>
      <c r="AK182" s="603">
        <v>8</v>
      </c>
      <c r="AL182" s="603">
        <v>8</v>
      </c>
    </row>
    <row r="183" spans="1:38" s="528" customFormat="1" ht="12">
      <c r="A183" s="533"/>
      <c r="B183" s="532"/>
      <c r="C183" s="507" t="s">
        <v>230</v>
      </c>
      <c r="E183" s="600">
        <v>9.1879715774168407</v>
      </c>
      <c r="F183" s="600">
        <v>9.1879715774168407</v>
      </c>
      <c r="G183" s="600">
        <v>16.890605579048739</v>
      </c>
      <c r="H183" s="600">
        <v>14.706205745016835</v>
      </c>
      <c r="I183" s="601">
        <v>21.890434668723728</v>
      </c>
      <c r="J183" s="601">
        <v>32.185090877978887</v>
      </c>
      <c r="K183" s="602">
        <v>14.895610905957149</v>
      </c>
      <c r="L183" s="602">
        <v>14.62336235356492</v>
      </c>
      <c r="M183" s="602">
        <v>14.617159726322186</v>
      </c>
      <c r="N183" s="602">
        <v>10.028033942820635</v>
      </c>
      <c r="O183" s="602">
        <v>9.8781106133762488</v>
      </c>
      <c r="P183" s="602">
        <v>8.2608932461830786</v>
      </c>
      <c r="Q183" s="602">
        <v>8.5901008754496306</v>
      </c>
      <c r="R183" s="603">
        <v>8.6506252198729214</v>
      </c>
      <c r="S183" s="602">
        <v>9.1383718025201421</v>
      </c>
      <c r="T183" s="603"/>
      <c r="U183" s="602">
        <v>7.8</v>
      </c>
      <c r="V183" s="602">
        <v>7.8</v>
      </c>
      <c r="W183" s="602">
        <v>9.1206064166305119</v>
      </c>
      <c r="X183" s="602">
        <v>10.4</v>
      </c>
      <c r="Y183" s="602">
        <v>9.6999999999999993</v>
      </c>
      <c r="Z183" s="602">
        <v>12.895</v>
      </c>
      <c r="AA183" s="602">
        <v>12.247999999999999</v>
      </c>
      <c r="AB183" s="602">
        <v>10.845379683238441</v>
      </c>
      <c r="AC183" s="603">
        <v>12</v>
      </c>
      <c r="AD183" s="603">
        <v>12</v>
      </c>
      <c r="AE183" s="603">
        <v>12</v>
      </c>
      <c r="AF183" s="603">
        <v>12</v>
      </c>
      <c r="AG183" s="603">
        <v>12</v>
      </c>
      <c r="AH183" s="603">
        <v>12</v>
      </c>
      <c r="AI183" s="603">
        <v>12</v>
      </c>
      <c r="AJ183" s="603">
        <v>12</v>
      </c>
      <c r="AK183" s="603">
        <v>12</v>
      </c>
      <c r="AL183" s="603">
        <v>12</v>
      </c>
    </row>
    <row r="184" spans="1:38" s="528" customFormat="1" ht="12">
      <c r="A184" s="533"/>
      <c r="B184" s="532"/>
      <c r="C184" s="533" t="s">
        <v>249</v>
      </c>
      <c r="E184" s="600"/>
      <c r="F184" s="600"/>
      <c r="G184" s="600"/>
      <c r="H184" s="600"/>
      <c r="I184" s="601"/>
      <c r="J184" s="601"/>
      <c r="K184" s="602"/>
      <c r="L184" s="602"/>
      <c r="M184" s="602"/>
      <c r="N184" s="602"/>
      <c r="O184" s="602"/>
      <c r="P184" s="602"/>
      <c r="Q184" s="602">
        <v>0</v>
      </c>
      <c r="R184" s="603">
        <v>0</v>
      </c>
      <c r="S184" s="602">
        <v>0</v>
      </c>
      <c r="T184" s="603"/>
      <c r="U184" s="602">
        <v>0</v>
      </c>
      <c r="V184" s="602">
        <v>0</v>
      </c>
      <c r="W184" s="602">
        <v>0</v>
      </c>
      <c r="X184" s="602">
        <v>15.637</v>
      </c>
      <c r="Y184" s="602">
        <v>16</v>
      </c>
      <c r="Z184" s="602">
        <v>30.867999999999999</v>
      </c>
      <c r="AA184" s="602">
        <v>15.487</v>
      </c>
      <c r="AB184" s="602">
        <v>32.212120238145424</v>
      </c>
      <c r="AC184" s="603">
        <v>0</v>
      </c>
      <c r="AD184" s="603">
        <v>0</v>
      </c>
      <c r="AE184" s="603">
        <v>0</v>
      </c>
      <c r="AF184" s="603">
        <v>0</v>
      </c>
      <c r="AG184" s="603">
        <v>0</v>
      </c>
      <c r="AH184" s="603">
        <v>0</v>
      </c>
      <c r="AI184" s="603">
        <v>0</v>
      </c>
      <c r="AJ184" s="603">
        <v>0</v>
      </c>
      <c r="AK184" s="603">
        <v>0</v>
      </c>
      <c r="AL184" s="603">
        <v>0</v>
      </c>
    </row>
    <row r="185" spans="1:38" s="528" customFormat="1" ht="12">
      <c r="A185" s="533"/>
      <c r="B185" s="532"/>
      <c r="C185" s="533" t="s">
        <v>250</v>
      </c>
      <c r="E185" s="600"/>
      <c r="F185" s="600"/>
      <c r="G185" s="600"/>
      <c r="H185" s="600"/>
      <c r="I185" s="601"/>
      <c r="J185" s="601"/>
      <c r="K185" s="602"/>
      <c r="L185" s="602"/>
      <c r="M185" s="602"/>
      <c r="N185" s="602"/>
      <c r="O185" s="602"/>
      <c r="P185" s="602"/>
      <c r="Q185" s="602">
        <v>80.864795095191994</v>
      </c>
      <c r="R185" s="603">
        <v>81</v>
      </c>
      <c r="S185" s="602">
        <v>68.911907427753178</v>
      </c>
      <c r="T185" s="603"/>
      <c r="U185" s="602">
        <v>81.2</v>
      </c>
      <c r="V185" s="602">
        <v>81.2</v>
      </c>
      <c r="W185" s="602">
        <v>76.569999999999993</v>
      </c>
      <c r="X185" s="602">
        <f>X216/X122*100</f>
        <v>91.935200520398723</v>
      </c>
      <c r="Y185" s="602">
        <f>Y216/Y122*100</f>
        <v>91.935200520398723</v>
      </c>
      <c r="Z185" s="602">
        <v>91.65</v>
      </c>
      <c r="AA185" s="602">
        <v>58.316000000000003</v>
      </c>
      <c r="AB185" s="602">
        <v>92.519146854902885</v>
      </c>
      <c r="AC185" s="603">
        <v>90</v>
      </c>
      <c r="AD185" s="603">
        <v>90</v>
      </c>
      <c r="AE185" s="603">
        <v>90</v>
      </c>
      <c r="AF185" s="603">
        <v>90</v>
      </c>
      <c r="AG185" s="603">
        <v>90</v>
      </c>
      <c r="AH185" s="603">
        <v>90</v>
      </c>
      <c r="AI185" s="603">
        <v>90</v>
      </c>
      <c r="AJ185" s="603">
        <v>90</v>
      </c>
      <c r="AK185" s="603">
        <v>90</v>
      </c>
      <c r="AL185" s="603">
        <v>90</v>
      </c>
    </row>
    <row r="186" spans="1:38" s="528" customFormat="1" ht="12">
      <c r="A186" s="533"/>
      <c r="B186" s="532"/>
      <c r="C186" s="533" t="s">
        <v>251</v>
      </c>
      <c r="E186" s="600"/>
      <c r="F186" s="600"/>
      <c r="G186" s="600"/>
      <c r="H186" s="600"/>
      <c r="I186" s="601"/>
      <c r="J186" s="601"/>
      <c r="K186" s="602"/>
      <c r="L186" s="602"/>
      <c r="M186" s="602"/>
      <c r="N186" s="602"/>
      <c r="O186" s="602"/>
      <c r="P186" s="602"/>
      <c r="Q186" s="602">
        <v>2.9887650486288901</v>
      </c>
      <c r="R186" s="603">
        <v>2.9887650486288901</v>
      </c>
      <c r="S186" s="602">
        <v>2.8211013186001108</v>
      </c>
      <c r="T186" s="603"/>
      <c r="U186" s="602">
        <v>2.9887650486288901</v>
      </c>
      <c r="V186" s="602">
        <v>2.9887650486288901</v>
      </c>
      <c r="W186" s="602">
        <v>2.4300000000000002</v>
      </c>
      <c r="X186" s="602">
        <f>0.0290509063678219*100</f>
        <v>2.90509063678219</v>
      </c>
      <c r="Y186" s="602">
        <f>Y217/Y123*100</f>
        <v>2.9050906367821936</v>
      </c>
      <c r="Z186" s="602">
        <v>1.9670000000000001</v>
      </c>
      <c r="AA186" s="602">
        <v>1.9</v>
      </c>
      <c r="AB186" s="602">
        <v>2.9887650486288901</v>
      </c>
      <c r="AC186" s="603">
        <v>2.9887650486288901</v>
      </c>
      <c r="AD186" s="603">
        <v>2.9887650486288901</v>
      </c>
      <c r="AE186" s="603">
        <v>2.9887650486288901</v>
      </c>
      <c r="AF186" s="603">
        <v>2.9887650486288901</v>
      </c>
      <c r="AG186" s="603">
        <v>2.9887650486288901</v>
      </c>
      <c r="AH186" s="603">
        <v>2.9887650486288901</v>
      </c>
      <c r="AI186" s="603">
        <v>2.9887650486288901</v>
      </c>
      <c r="AJ186" s="603">
        <v>2.9887650486288901</v>
      </c>
      <c r="AK186" s="603">
        <v>2.9887650486288901</v>
      </c>
      <c r="AL186" s="603">
        <v>2.9887650486288901</v>
      </c>
    </row>
    <row r="187" spans="1:38" s="528" customFormat="1" ht="12">
      <c r="A187" s="533"/>
      <c r="B187" s="532"/>
      <c r="C187" s="533" t="s">
        <v>227</v>
      </c>
      <c r="E187" s="600"/>
      <c r="F187" s="600"/>
      <c r="G187" s="600"/>
      <c r="H187" s="600"/>
      <c r="I187" s="601"/>
      <c r="J187" s="601"/>
      <c r="K187" s="602"/>
      <c r="L187" s="602"/>
      <c r="M187" s="602"/>
      <c r="N187" s="602"/>
      <c r="O187" s="602"/>
      <c r="P187" s="602"/>
      <c r="Q187" s="602"/>
      <c r="R187" s="603"/>
      <c r="S187" s="602"/>
      <c r="T187" s="603"/>
      <c r="U187" s="602"/>
      <c r="V187" s="602"/>
      <c r="W187" s="602"/>
      <c r="X187" s="602">
        <f>208.9/616*100</f>
        <v>33.912337662337663</v>
      </c>
      <c r="Y187" s="602"/>
      <c r="Z187" s="602">
        <v>51.81</v>
      </c>
      <c r="AA187" s="602">
        <v>0</v>
      </c>
      <c r="AB187" s="602">
        <v>11.435010888514968</v>
      </c>
      <c r="AC187" s="603">
        <v>12</v>
      </c>
      <c r="AD187" s="603">
        <v>12</v>
      </c>
      <c r="AE187" s="603">
        <v>12</v>
      </c>
      <c r="AF187" s="603">
        <v>12</v>
      </c>
      <c r="AG187" s="603">
        <v>12</v>
      </c>
      <c r="AH187" s="603">
        <v>12</v>
      </c>
      <c r="AI187" s="603">
        <v>12</v>
      </c>
      <c r="AJ187" s="603">
        <v>12</v>
      </c>
      <c r="AK187" s="603">
        <v>12</v>
      </c>
      <c r="AL187" s="603">
        <v>12</v>
      </c>
    </row>
    <row r="188" spans="1:38" s="528" customFormat="1" ht="12">
      <c r="A188" s="533"/>
      <c r="B188" s="532"/>
      <c r="C188" s="533" t="s">
        <v>228</v>
      </c>
      <c r="E188" s="600"/>
      <c r="F188" s="600"/>
      <c r="G188" s="600"/>
      <c r="H188" s="600"/>
      <c r="I188" s="601"/>
      <c r="J188" s="601"/>
      <c r="K188" s="602"/>
      <c r="L188" s="602"/>
      <c r="M188" s="602"/>
      <c r="N188" s="602"/>
      <c r="O188" s="602"/>
      <c r="P188" s="602"/>
      <c r="Q188" s="602"/>
      <c r="R188" s="603"/>
      <c r="S188" s="602"/>
      <c r="T188" s="603"/>
      <c r="U188" s="602"/>
      <c r="V188" s="602"/>
      <c r="W188" s="602"/>
      <c r="X188" s="602">
        <v>302.83100000000002</v>
      </c>
      <c r="Y188" s="602"/>
      <c r="Z188" s="602">
        <v>51.082000000000001</v>
      </c>
      <c r="AA188" s="602">
        <v>14</v>
      </c>
      <c r="AB188" s="602">
        <v>14.268339719128681</v>
      </c>
      <c r="AC188" s="603">
        <v>15</v>
      </c>
      <c r="AD188" s="603">
        <v>15</v>
      </c>
      <c r="AE188" s="603">
        <v>15</v>
      </c>
      <c r="AF188" s="603">
        <v>15</v>
      </c>
      <c r="AG188" s="603">
        <v>15</v>
      </c>
      <c r="AH188" s="603">
        <v>15</v>
      </c>
      <c r="AI188" s="603">
        <v>15</v>
      </c>
      <c r="AJ188" s="603">
        <v>15</v>
      </c>
      <c r="AK188" s="603">
        <v>15</v>
      </c>
      <c r="AL188" s="603">
        <v>15</v>
      </c>
    </row>
    <row r="189" spans="1:38" s="528" customFormat="1" ht="12">
      <c r="A189" s="533"/>
      <c r="B189" s="532"/>
      <c r="C189" s="533" t="s">
        <v>252</v>
      </c>
      <c r="E189" s="600"/>
      <c r="F189" s="600"/>
      <c r="G189" s="600"/>
      <c r="H189" s="600"/>
      <c r="I189" s="601"/>
      <c r="J189" s="601"/>
      <c r="K189" s="602"/>
      <c r="L189" s="602"/>
      <c r="M189" s="602"/>
      <c r="N189" s="602"/>
      <c r="O189" s="602"/>
      <c r="P189" s="602"/>
      <c r="Q189" s="602">
        <v>69.811320754717002</v>
      </c>
      <c r="R189" s="603">
        <v>69</v>
      </c>
      <c r="S189" s="602">
        <v>86.935104934526748</v>
      </c>
      <c r="T189" s="603"/>
      <c r="U189" s="602">
        <v>69</v>
      </c>
      <c r="V189" s="602">
        <v>69</v>
      </c>
      <c r="W189" s="602">
        <v>151.19</v>
      </c>
      <c r="X189" s="602">
        <f>0.300769296712226*100</f>
        <v>30.076929671222601</v>
      </c>
      <c r="Y189" s="602"/>
      <c r="Z189" s="602">
        <v>111</v>
      </c>
      <c r="AA189" s="602">
        <v>0</v>
      </c>
      <c r="AB189" s="602">
        <v>30</v>
      </c>
      <c r="AC189" s="603">
        <v>30</v>
      </c>
      <c r="AD189" s="603">
        <v>30</v>
      </c>
      <c r="AE189" s="603">
        <v>30</v>
      </c>
      <c r="AF189" s="603">
        <v>30</v>
      </c>
      <c r="AG189" s="603">
        <v>30</v>
      </c>
      <c r="AH189" s="603">
        <v>30</v>
      </c>
      <c r="AI189" s="603">
        <v>30</v>
      </c>
      <c r="AJ189" s="603">
        <v>30</v>
      </c>
      <c r="AK189" s="603">
        <v>30</v>
      </c>
      <c r="AL189" s="603">
        <v>30</v>
      </c>
    </row>
    <row r="190" spans="1:38" s="528" customFormat="1" ht="12">
      <c r="A190" s="533"/>
      <c r="B190" s="532"/>
      <c r="C190" s="533" t="s">
        <v>253</v>
      </c>
      <c r="E190" s="600"/>
      <c r="F190" s="600"/>
      <c r="G190" s="600"/>
      <c r="H190" s="600"/>
      <c r="I190" s="601"/>
      <c r="J190" s="601"/>
      <c r="K190" s="602"/>
      <c r="L190" s="602"/>
      <c r="M190" s="602"/>
      <c r="N190" s="602"/>
      <c r="O190" s="602"/>
      <c r="P190" s="602"/>
      <c r="Q190" s="602">
        <v>95.008787346221396</v>
      </c>
      <c r="R190" s="603">
        <v>95.008787346221396</v>
      </c>
      <c r="S190" s="602">
        <v>89.312780261142521</v>
      </c>
      <c r="T190" s="603"/>
      <c r="U190" s="602">
        <v>95.008787346221396</v>
      </c>
      <c r="V190" s="602">
        <v>95.008787346221396</v>
      </c>
      <c r="W190" s="602">
        <v>73.790000000000006</v>
      </c>
      <c r="X190" s="602">
        <f>0.476859365609972*100</f>
        <v>47.685936560997199</v>
      </c>
      <c r="Y190" s="602">
        <f>Y221/Y127*100</f>
        <v>47.685936560997199</v>
      </c>
      <c r="Z190" s="602">
        <v>121.925</v>
      </c>
      <c r="AA190" s="602">
        <v>115.40900000000001</v>
      </c>
      <c r="AB190" s="602">
        <v>58.150275053287515</v>
      </c>
      <c r="AC190" s="603">
        <v>60</v>
      </c>
      <c r="AD190" s="603">
        <v>60</v>
      </c>
      <c r="AE190" s="603">
        <v>60</v>
      </c>
      <c r="AF190" s="603">
        <v>60</v>
      </c>
      <c r="AG190" s="603">
        <v>60</v>
      </c>
      <c r="AH190" s="603">
        <v>60</v>
      </c>
      <c r="AI190" s="603">
        <v>60</v>
      </c>
      <c r="AJ190" s="603">
        <v>60</v>
      </c>
      <c r="AK190" s="603">
        <v>60</v>
      </c>
      <c r="AL190" s="603">
        <v>60</v>
      </c>
    </row>
    <row r="191" spans="1:38" s="528" customFormat="1" ht="12">
      <c r="A191" s="533"/>
      <c r="B191" s="532"/>
      <c r="C191" s="533" t="s">
        <v>254</v>
      </c>
      <c r="E191" s="600"/>
      <c r="F191" s="600"/>
      <c r="G191" s="600"/>
      <c r="H191" s="600"/>
      <c r="I191" s="601"/>
      <c r="J191" s="601"/>
      <c r="K191" s="602"/>
      <c r="L191" s="602"/>
      <c r="M191" s="602"/>
      <c r="N191" s="602"/>
      <c r="O191" s="602"/>
      <c r="P191" s="602"/>
      <c r="Q191" s="602"/>
      <c r="R191" s="603"/>
      <c r="S191" s="602"/>
      <c r="T191" s="603"/>
      <c r="U191" s="602"/>
      <c r="V191" s="602"/>
      <c r="W191" s="602"/>
      <c r="X191" s="602"/>
      <c r="Y191" s="602"/>
      <c r="Z191" s="602"/>
      <c r="AA191" s="602"/>
      <c r="AB191" s="603"/>
      <c r="AC191" s="603"/>
      <c r="AD191" s="603"/>
      <c r="AE191" s="603"/>
      <c r="AF191" s="603"/>
      <c r="AG191" s="603"/>
      <c r="AH191" s="603"/>
      <c r="AI191" s="603"/>
      <c r="AJ191" s="603"/>
      <c r="AK191" s="603"/>
      <c r="AL191" s="603"/>
    </row>
    <row r="192" spans="1:38" s="528" customFormat="1" ht="12">
      <c r="A192" s="533"/>
      <c r="B192" s="532"/>
      <c r="C192" s="507" t="s">
        <v>263</v>
      </c>
      <c r="E192" s="600">
        <v>21.043597852283799</v>
      </c>
      <c r="F192" s="600">
        <v>21.043597852283799</v>
      </c>
      <c r="G192" s="600">
        <v>42.975835368133936</v>
      </c>
      <c r="H192" s="600">
        <v>49.424428741136794</v>
      </c>
      <c r="I192" s="605">
        <v>29.096491339776907</v>
      </c>
      <c r="J192" s="605">
        <v>29.375566433680106</v>
      </c>
      <c r="K192" s="606">
        <v>27.303785632988387</v>
      </c>
      <c r="L192" s="606">
        <v>24.968634182544147</v>
      </c>
      <c r="M192" s="606">
        <v>24.362754496603255</v>
      </c>
      <c r="N192" s="606">
        <v>21.509057630625307</v>
      </c>
      <c r="O192" s="606">
        <v>21.91586651040172</v>
      </c>
      <c r="P192" s="606">
        <v>0</v>
      </c>
      <c r="Q192" s="602">
        <v>0</v>
      </c>
      <c r="R192" s="603">
        <v>0</v>
      </c>
      <c r="S192" s="606">
        <v>0</v>
      </c>
      <c r="T192" s="603"/>
      <c r="U192" s="606">
        <v>0</v>
      </c>
      <c r="V192" s="606">
        <v>0</v>
      </c>
      <c r="W192" s="606">
        <v>0</v>
      </c>
      <c r="X192" s="606">
        <v>0</v>
      </c>
      <c r="Y192" s="606">
        <v>0</v>
      </c>
      <c r="Z192" s="606">
        <v>0</v>
      </c>
      <c r="AA192" s="606">
        <v>0</v>
      </c>
      <c r="AB192" s="603">
        <v>0</v>
      </c>
      <c r="AC192" s="603">
        <v>0</v>
      </c>
      <c r="AD192" s="603">
        <v>0</v>
      </c>
      <c r="AE192" s="603">
        <v>0</v>
      </c>
      <c r="AF192" s="603">
        <v>0</v>
      </c>
      <c r="AG192" s="603">
        <v>0</v>
      </c>
      <c r="AH192" s="603">
        <v>0</v>
      </c>
      <c r="AI192" s="603">
        <v>0</v>
      </c>
      <c r="AJ192" s="603">
        <v>0</v>
      </c>
      <c r="AK192" s="603">
        <v>0</v>
      </c>
      <c r="AL192" s="603">
        <v>0</v>
      </c>
    </row>
    <row r="193" spans="1:38" s="528" customFormat="1" thickBot="1">
      <c r="B193" s="544"/>
      <c r="C193" s="607"/>
      <c r="D193" s="546"/>
      <c r="E193" s="588"/>
      <c r="F193" s="588"/>
      <c r="G193" s="588"/>
      <c r="H193" s="588"/>
      <c r="I193" s="588"/>
      <c r="J193" s="588"/>
      <c r="K193" s="589"/>
      <c r="L193" s="589"/>
      <c r="M193" s="590"/>
      <c r="N193" s="590"/>
      <c r="O193" s="589"/>
      <c r="P193" s="589"/>
      <c r="Q193" s="589"/>
      <c r="R193" s="590"/>
      <c r="S193" s="589"/>
      <c r="T193" s="590"/>
      <c r="U193" s="590"/>
      <c r="V193" s="590"/>
      <c r="W193" s="590"/>
      <c r="X193" s="591"/>
      <c r="Y193" s="591"/>
      <c r="Z193" s="591"/>
      <c r="AA193" s="591"/>
      <c r="AB193" s="591"/>
      <c r="AC193" s="591"/>
      <c r="AD193" s="591"/>
      <c r="AE193" s="591"/>
      <c r="AF193" s="591"/>
      <c r="AG193" s="591"/>
      <c r="AH193" s="591"/>
      <c r="AI193" s="591"/>
      <c r="AJ193" s="591"/>
      <c r="AK193" s="591"/>
      <c r="AL193" s="591"/>
    </row>
    <row r="194" spans="1:38" s="528" customFormat="1" ht="6.75" customHeight="1">
      <c r="C194" s="507"/>
      <c r="E194" s="592"/>
      <c r="F194" s="592"/>
      <c r="G194" s="592"/>
      <c r="H194" s="592"/>
      <c r="I194" s="592"/>
      <c r="J194" s="592"/>
      <c r="K194" s="593"/>
      <c r="L194" s="593"/>
      <c r="M194" s="594"/>
      <c r="N194" s="594"/>
      <c r="O194" s="593"/>
      <c r="P194" s="593"/>
      <c r="Q194" s="593"/>
      <c r="R194" s="594"/>
      <c r="S194" s="593"/>
      <c r="T194" s="594"/>
      <c r="U194" s="594"/>
      <c r="V194" s="594"/>
      <c r="W194" s="594"/>
      <c r="X194" s="595"/>
      <c r="Y194" s="595"/>
      <c r="Z194" s="595"/>
      <c r="AA194" s="595"/>
      <c r="AB194" s="595"/>
      <c r="AC194" s="595"/>
      <c r="AD194" s="595"/>
      <c r="AE194" s="595"/>
      <c r="AF194" s="595"/>
      <c r="AG194" s="595"/>
      <c r="AH194" s="595"/>
      <c r="AI194" s="595"/>
      <c r="AJ194" s="595"/>
      <c r="AK194" s="595"/>
      <c r="AL194" s="595"/>
    </row>
    <row r="195" spans="1:38" s="528" customFormat="1" thickBot="1">
      <c r="C195" s="507"/>
      <c r="E195" s="592"/>
      <c r="F195" s="592"/>
      <c r="G195" s="592"/>
      <c r="H195" s="592"/>
      <c r="I195" s="592"/>
      <c r="J195" s="592"/>
      <c r="K195" s="593"/>
      <c r="L195" s="593"/>
      <c r="M195" s="594"/>
      <c r="N195" s="594"/>
      <c r="O195" s="593"/>
      <c r="P195" s="593"/>
      <c r="Q195" s="593"/>
      <c r="R195" s="594"/>
      <c r="S195" s="593"/>
      <c r="T195" s="594"/>
      <c r="U195" s="594"/>
      <c r="V195" s="594"/>
      <c r="W195" s="594"/>
      <c r="X195" s="595"/>
      <c r="Y195" s="595"/>
      <c r="Z195" s="595"/>
      <c r="AA195" s="595"/>
      <c r="AB195" s="595"/>
      <c r="AC195" s="595"/>
      <c r="AD195" s="595"/>
      <c r="AE195" s="595"/>
      <c r="AF195" s="595"/>
      <c r="AG195" s="595"/>
      <c r="AH195" s="595"/>
      <c r="AI195" s="595"/>
      <c r="AJ195" s="595"/>
      <c r="AK195" s="595"/>
      <c r="AL195" s="595"/>
    </row>
    <row r="196" spans="1:38" s="528" customFormat="1" ht="3.75" customHeight="1">
      <c r="B196" s="529"/>
      <c r="C196" s="530"/>
      <c r="D196" s="531"/>
      <c r="E196" s="596"/>
      <c r="F196" s="596"/>
      <c r="G196" s="596"/>
      <c r="H196" s="596"/>
      <c r="I196" s="596"/>
      <c r="J196" s="596"/>
      <c r="K196" s="597"/>
      <c r="L196" s="597"/>
      <c r="M196" s="598"/>
      <c r="N196" s="598"/>
      <c r="O196" s="597"/>
      <c r="P196" s="597"/>
      <c r="Q196" s="597"/>
      <c r="R196" s="598"/>
      <c r="S196" s="597"/>
      <c r="T196" s="598"/>
      <c r="U196" s="598"/>
      <c r="V196" s="598"/>
      <c r="W196" s="598"/>
      <c r="X196" s="599"/>
      <c r="Y196" s="599"/>
      <c r="Z196" s="599"/>
      <c r="AA196" s="599"/>
      <c r="AB196" s="599"/>
      <c r="AC196" s="599"/>
      <c r="AD196" s="599"/>
      <c r="AE196" s="599"/>
      <c r="AF196" s="599"/>
      <c r="AG196" s="599"/>
      <c r="AH196" s="599"/>
      <c r="AI196" s="599"/>
      <c r="AJ196" s="599"/>
      <c r="AK196" s="599"/>
      <c r="AL196" s="599"/>
    </row>
    <row r="197" spans="1:38" s="528" customFormat="1" ht="12">
      <c r="B197" s="532"/>
      <c r="C197" s="506" t="s">
        <v>264</v>
      </c>
      <c r="D197" s="540"/>
      <c r="J197" s="516"/>
      <c r="K197" s="516"/>
      <c r="L197" s="516"/>
      <c r="M197" s="581"/>
      <c r="N197" s="581"/>
      <c r="O197" s="516"/>
      <c r="P197" s="516"/>
      <c r="Q197" s="516"/>
      <c r="R197" s="581"/>
      <c r="S197" s="516"/>
      <c r="T197" s="581"/>
      <c r="U197" s="581"/>
      <c r="V197" s="581"/>
      <c r="W197" s="581"/>
      <c r="X197" s="582"/>
      <c r="Y197" s="582"/>
      <c r="Z197" s="582"/>
      <c r="AA197" s="582"/>
      <c r="AB197" s="582"/>
      <c r="AC197" s="582"/>
      <c r="AD197" s="582"/>
      <c r="AE197" s="582"/>
      <c r="AF197" s="582"/>
      <c r="AG197" s="582"/>
      <c r="AH197" s="582"/>
      <c r="AI197" s="582"/>
      <c r="AJ197" s="582"/>
      <c r="AK197" s="582"/>
      <c r="AL197" s="582"/>
    </row>
    <row r="198" spans="1:38" s="528" customFormat="1" ht="12">
      <c r="A198" s="507"/>
      <c r="B198" s="532"/>
      <c r="C198" s="507" t="s">
        <v>237</v>
      </c>
      <c r="E198" s="608">
        <f t="shared" ref="E198:W208" si="56">(E167/100)*E104</f>
        <v>8614.3379027372703</v>
      </c>
      <c r="F198" s="608">
        <f t="shared" si="56"/>
        <v>11795.100583749449</v>
      </c>
      <c r="G198" s="608">
        <f t="shared" si="56"/>
        <v>15826.495911170445</v>
      </c>
      <c r="H198" s="608">
        <f t="shared" si="56"/>
        <v>18657.923710000003</v>
      </c>
      <c r="I198" s="608">
        <f t="shared" si="56"/>
        <v>20460.711134280486</v>
      </c>
      <c r="J198" s="609">
        <f t="shared" si="56"/>
        <v>20297.693015086003</v>
      </c>
      <c r="K198" s="609">
        <f t="shared" si="56"/>
        <v>15093.575121575159</v>
      </c>
      <c r="L198" s="609">
        <f t="shared" si="56"/>
        <v>19897.297704278735</v>
      </c>
      <c r="M198" s="609">
        <f t="shared" si="56"/>
        <v>20570.933243246142</v>
      </c>
      <c r="N198" s="609">
        <f t="shared" si="56"/>
        <v>4860.3527235457841</v>
      </c>
      <c r="O198" s="609">
        <f t="shared" si="56"/>
        <v>22546.164797212281</v>
      </c>
      <c r="P198" s="609">
        <f t="shared" si="56"/>
        <v>12306.594406446495</v>
      </c>
      <c r="Q198" s="609">
        <f t="shared" si="56"/>
        <v>19441.243274502594</v>
      </c>
      <c r="R198" s="609">
        <f t="shared" si="56"/>
        <v>25735.500000000011</v>
      </c>
      <c r="S198" s="609">
        <f t="shared" si="56"/>
        <v>24781.175452189393</v>
      </c>
      <c r="T198" s="609">
        <f t="shared" si="56"/>
        <v>0</v>
      </c>
      <c r="U198" s="609">
        <f t="shared" si="56"/>
        <v>27720</v>
      </c>
      <c r="V198" s="609">
        <f t="shared" si="56"/>
        <v>27720</v>
      </c>
      <c r="W198" s="609">
        <f t="shared" si="56"/>
        <v>28035.029310778707</v>
      </c>
      <c r="X198" s="609">
        <v>24462</v>
      </c>
      <c r="Y198" s="609">
        <v>29308</v>
      </c>
      <c r="Z198" s="608">
        <f>(Z167/100)*Z104</f>
        <v>14964.512935180408</v>
      </c>
      <c r="AA198" s="608">
        <f>(AA167/100)*AA104</f>
        <v>18585.227759999998</v>
      </c>
      <c r="AB198" s="608">
        <f>(AB167/100)*AB104</f>
        <v>13038.988601007</v>
      </c>
      <c r="AC198" s="608">
        <f t="shared" ref="AC198:AL213" si="57">(AC167/100)*AC104</f>
        <v>16381.2448095318</v>
      </c>
      <c r="AD198" s="608">
        <f t="shared" si="57"/>
        <v>17691.744394294343</v>
      </c>
      <c r="AE198" s="608">
        <f t="shared" si="57"/>
        <v>19107.08394583789</v>
      </c>
      <c r="AF198" s="608">
        <f t="shared" si="57"/>
        <v>20635.650661504922</v>
      </c>
      <c r="AG198" s="608">
        <f t="shared" si="57"/>
        <v>22286.502714425314</v>
      </c>
      <c r="AH198" s="608">
        <f t="shared" si="57"/>
        <v>23400.827850146579</v>
      </c>
      <c r="AI198" s="608">
        <f t="shared" si="57"/>
        <v>24570.869242653913</v>
      </c>
      <c r="AJ198" s="608">
        <f t="shared" si="57"/>
        <v>25799.41270478661</v>
      </c>
      <c r="AK198" s="608">
        <f t="shared" si="57"/>
        <v>27089.383340025939</v>
      </c>
      <c r="AL198" s="608">
        <f t="shared" si="57"/>
        <v>28443.852507027237</v>
      </c>
    </row>
    <row r="199" spans="1:38" s="528" customFormat="1" ht="12">
      <c r="A199" s="507"/>
      <c r="B199" s="532"/>
      <c r="C199" s="507" t="s">
        <v>238</v>
      </c>
      <c r="E199" s="608">
        <f t="shared" si="56"/>
        <v>5173.8373556640881</v>
      </c>
      <c r="F199" s="608">
        <f t="shared" si="56"/>
        <v>6053.825678354453</v>
      </c>
      <c r="G199" s="608">
        <f t="shared" si="56"/>
        <v>6503.93</v>
      </c>
      <c r="H199" s="608">
        <f t="shared" si="56"/>
        <v>8636.369999999999</v>
      </c>
      <c r="I199" s="608">
        <f t="shared" si="56"/>
        <v>12604.054540348847</v>
      </c>
      <c r="J199" s="609">
        <f t="shared" si="56"/>
        <v>11108.279999999999</v>
      </c>
      <c r="K199" s="609">
        <f t="shared" si="56"/>
        <v>8907.2199999999993</v>
      </c>
      <c r="L199" s="609">
        <f t="shared" si="56"/>
        <v>11400.79</v>
      </c>
      <c r="M199" s="609">
        <f t="shared" si="56"/>
        <v>11639.467083333333</v>
      </c>
      <c r="N199" s="609">
        <f t="shared" si="56"/>
        <v>2747.73</v>
      </c>
      <c r="O199" s="609">
        <f t="shared" si="56"/>
        <v>10716.93139</v>
      </c>
      <c r="P199" s="609">
        <f t="shared" si="56"/>
        <v>6724.778629999998</v>
      </c>
      <c r="Q199" s="609">
        <f t="shared" si="56"/>
        <v>10097.127989999986</v>
      </c>
      <c r="R199" s="609">
        <f t="shared" si="56"/>
        <v>13500.127989999984</v>
      </c>
      <c r="S199" s="609">
        <f t="shared" si="56"/>
        <v>13106.053170000001</v>
      </c>
      <c r="T199" s="609">
        <f t="shared" si="56"/>
        <v>0</v>
      </c>
      <c r="U199" s="609">
        <f t="shared" si="56"/>
        <v>13900.000000000002</v>
      </c>
      <c r="V199" s="609">
        <f t="shared" si="56"/>
        <v>13900.000000000002</v>
      </c>
      <c r="W199" s="609">
        <f t="shared" si="56"/>
        <v>14168.463160000003</v>
      </c>
      <c r="X199" s="609">
        <v>13700</v>
      </c>
      <c r="Y199" s="609">
        <v>14016</v>
      </c>
      <c r="Z199" s="608">
        <f t="shared" ref="Z199:AB204" si="58">(Z168/100)*Z105</f>
        <v>11219.349</v>
      </c>
      <c r="AA199" s="608">
        <f t="shared" si="58"/>
        <v>12151.6962</v>
      </c>
      <c r="AB199" s="608">
        <f t="shared" si="58"/>
        <v>10694.409380000001</v>
      </c>
      <c r="AC199" s="608">
        <f t="shared" si="57"/>
        <v>12371.620740160004</v>
      </c>
      <c r="AD199" s="608">
        <f t="shared" si="57"/>
        <v>13856.215228979203</v>
      </c>
      <c r="AE199" s="608">
        <f t="shared" si="57"/>
        <v>15518.961056456708</v>
      </c>
      <c r="AF199" s="608">
        <f t="shared" si="57"/>
        <v>17381.236383231513</v>
      </c>
      <c r="AG199" s="608">
        <f t="shared" si="57"/>
        <v>19466.984749219297</v>
      </c>
      <c r="AH199" s="608">
        <f t="shared" si="57"/>
        <v>20148.329215441969</v>
      </c>
      <c r="AI199" s="608">
        <f t="shared" si="57"/>
        <v>20853.520737982439</v>
      </c>
      <c r="AJ199" s="608">
        <f t="shared" si="57"/>
        <v>21583.393963811821</v>
      </c>
      <c r="AK199" s="608">
        <f t="shared" si="57"/>
        <v>22338.812752545233</v>
      </c>
      <c r="AL199" s="608">
        <f t="shared" si="57"/>
        <v>23120.671198884313</v>
      </c>
    </row>
    <row r="200" spans="1:38" s="528" customFormat="1" ht="12">
      <c r="A200" s="507"/>
      <c r="B200" s="532"/>
      <c r="C200" s="507" t="s">
        <v>239</v>
      </c>
      <c r="E200" s="608">
        <f t="shared" si="56"/>
        <v>5028.0842922731053</v>
      </c>
      <c r="F200" s="608">
        <f t="shared" si="56"/>
        <v>7769.4310387638734</v>
      </c>
      <c r="G200" s="608">
        <f t="shared" si="56"/>
        <v>7900.7183444998773</v>
      </c>
      <c r="H200" s="608">
        <f t="shared" si="56"/>
        <v>7150.7075529627291</v>
      </c>
      <c r="I200" s="608">
        <f t="shared" si="56"/>
        <v>5663.3034008436516</v>
      </c>
      <c r="J200" s="609">
        <f t="shared" si="56"/>
        <v>7141.0511351960704</v>
      </c>
      <c r="K200" s="609">
        <f t="shared" si="56"/>
        <v>5590.5315991104471</v>
      </c>
      <c r="L200" s="609">
        <f t="shared" si="56"/>
        <v>8087.6637006682658</v>
      </c>
      <c r="M200" s="609">
        <f t="shared" si="56"/>
        <v>7602.8960616428003</v>
      </c>
      <c r="N200" s="609">
        <f t="shared" si="56"/>
        <v>2768.9998601968587</v>
      </c>
      <c r="O200" s="609">
        <f t="shared" si="56"/>
        <v>10165.996981825861</v>
      </c>
      <c r="P200" s="609">
        <f t="shared" si="56"/>
        <v>5059.6146629587647</v>
      </c>
      <c r="Q200" s="609">
        <f t="shared" si="56"/>
        <v>7559.6944240918456</v>
      </c>
      <c r="R200" s="609">
        <f t="shared" si="56"/>
        <v>10432.352884615384</v>
      </c>
      <c r="S200" s="609">
        <f t="shared" si="56"/>
        <v>10606.245514531995</v>
      </c>
      <c r="T200" s="609">
        <f t="shared" si="56"/>
        <v>0</v>
      </c>
      <c r="U200" s="609">
        <f t="shared" si="56"/>
        <v>12000</v>
      </c>
      <c r="V200" s="609">
        <f t="shared" si="56"/>
        <v>12000</v>
      </c>
      <c r="W200" s="609">
        <f t="shared" si="56"/>
        <v>9018.4848645763177</v>
      </c>
      <c r="X200" s="609">
        <v>9703</v>
      </c>
      <c r="Y200" s="609">
        <v>9042</v>
      </c>
      <c r="Z200" s="608">
        <f t="shared" si="58"/>
        <v>7482.9064799999996</v>
      </c>
      <c r="AA200" s="608">
        <f t="shared" si="58"/>
        <v>8187</v>
      </c>
      <c r="AB200" s="608">
        <f t="shared" si="58"/>
        <v>7844.1048597575427</v>
      </c>
      <c r="AC200" s="608">
        <f t="shared" si="57"/>
        <v>9574.6259165838819</v>
      </c>
      <c r="AD200" s="608">
        <f t="shared" si="57"/>
        <v>10532.08850824227</v>
      </c>
      <c r="AE200" s="608">
        <f t="shared" si="57"/>
        <v>11585.297359066497</v>
      </c>
      <c r="AF200" s="608">
        <f t="shared" si="57"/>
        <v>12743.827094973147</v>
      </c>
      <c r="AG200" s="608">
        <f t="shared" si="57"/>
        <v>14018.209804470462</v>
      </c>
      <c r="AH200" s="608">
        <f t="shared" si="57"/>
        <v>14859.302392738689</v>
      </c>
      <c r="AI200" s="608">
        <f t="shared" si="57"/>
        <v>15750.860536303009</v>
      </c>
      <c r="AJ200" s="608">
        <f t="shared" si="57"/>
        <v>16695.912168481191</v>
      </c>
      <c r="AK200" s="608">
        <f t="shared" si="57"/>
        <v>17697.666898590065</v>
      </c>
      <c r="AL200" s="608">
        <f t="shared" si="57"/>
        <v>18759.526912505469</v>
      </c>
    </row>
    <row r="201" spans="1:38" s="528" customFormat="1" ht="12">
      <c r="A201" s="507"/>
      <c r="B201" s="532"/>
      <c r="C201" s="507" t="s">
        <v>240</v>
      </c>
      <c r="E201" s="608">
        <f t="shared" si="56"/>
        <v>0</v>
      </c>
      <c r="F201" s="608">
        <f t="shared" si="56"/>
        <v>0</v>
      </c>
      <c r="G201" s="608">
        <f t="shared" si="56"/>
        <v>0</v>
      </c>
      <c r="H201" s="608">
        <f t="shared" si="56"/>
        <v>0</v>
      </c>
      <c r="I201" s="608">
        <f t="shared" si="56"/>
        <v>0</v>
      </c>
      <c r="J201" s="609">
        <f t="shared" si="56"/>
        <v>683.39713679459567</v>
      </c>
      <c r="K201" s="609">
        <f t="shared" si="56"/>
        <v>532.56678419166053</v>
      </c>
      <c r="L201" s="609">
        <f t="shared" si="56"/>
        <v>1017.5016889893693</v>
      </c>
      <c r="M201" s="609">
        <f t="shared" si="56"/>
        <v>993</v>
      </c>
      <c r="N201" s="609">
        <f t="shared" si="56"/>
        <v>190.53477356636887</v>
      </c>
      <c r="O201" s="609">
        <f t="shared" si="56"/>
        <v>1094.2421108701892</v>
      </c>
      <c r="P201" s="609">
        <f t="shared" si="56"/>
        <v>269.97352532321605</v>
      </c>
      <c r="Q201" s="609">
        <f t="shared" si="56"/>
        <v>456.05057572921561</v>
      </c>
      <c r="R201" s="609">
        <f t="shared" si="56"/>
        <v>690.06526468455297</v>
      </c>
      <c r="S201" s="609">
        <f t="shared" si="56"/>
        <v>658.85548457450795</v>
      </c>
      <c r="T201" s="609">
        <f t="shared" si="56"/>
        <v>0</v>
      </c>
      <c r="U201" s="609">
        <f t="shared" si="56"/>
        <v>750</v>
      </c>
      <c r="V201" s="609">
        <f t="shared" si="56"/>
        <v>750</v>
      </c>
      <c r="W201" s="609">
        <f t="shared" si="56"/>
        <v>796.43729076553234</v>
      </c>
      <c r="X201" s="609">
        <f>1123*0.52</f>
        <v>583.96</v>
      </c>
      <c r="Y201" s="609">
        <f>1440*0.52</f>
        <v>748.80000000000007</v>
      </c>
      <c r="Z201" s="608">
        <f t="shared" si="58"/>
        <v>676.60599999999999</v>
      </c>
      <c r="AA201" s="608">
        <f t="shared" si="58"/>
        <v>823.62752</v>
      </c>
      <c r="AB201" s="608">
        <f t="shared" si="58"/>
        <v>564.75588716540005</v>
      </c>
      <c r="AC201" s="608">
        <f t="shared" si="57"/>
        <v>637.8029392350312</v>
      </c>
      <c r="AD201" s="608">
        <f t="shared" si="57"/>
        <v>676.07111558913311</v>
      </c>
      <c r="AE201" s="608">
        <f t="shared" si="57"/>
        <v>716.63538252448097</v>
      </c>
      <c r="AF201" s="608">
        <f t="shared" si="57"/>
        <v>759.63350547594985</v>
      </c>
      <c r="AG201" s="608">
        <f t="shared" si="57"/>
        <v>805.2115158045068</v>
      </c>
      <c r="AH201" s="608">
        <f t="shared" si="57"/>
        <v>837.41997643668719</v>
      </c>
      <c r="AI201" s="608">
        <f t="shared" si="57"/>
        <v>870.91677549415454</v>
      </c>
      <c r="AJ201" s="608">
        <f t="shared" si="57"/>
        <v>905.75344651392084</v>
      </c>
      <c r="AK201" s="608">
        <f t="shared" si="57"/>
        <v>941.98358437447769</v>
      </c>
      <c r="AL201" s="608">
        <f t="shared" si="57"/>
        <v>979.66292774945691</v>
      </c>
    </row>
    <row r="202" spans="1:38" s="528" customFormat="1" ht="12">
      <c r="A202" s="507"/>
      <c r="B202" s="532"/>
      <c r="C202" s="507" t="s">
        <v>223</v>
      </c>
      <c r="E202" s="608">
        <v>0</v>
      </c>
      <c r="F202" s="608">
        <f t="shared" si="56"/>
        <v>0</v>
      </c>
      <c r="G202" s="608">
        <f t="shared" si="56"/>
        <v>0</v>
      </c>
      <c r="H202" s="608">
        <f t="shared" si="56"/>
        <v>0</v>
      </c>
      <c r="I202" s="608">
        <f t="shared" si="56"/>
        <v>0</v>
      </c>
      <c r="J202" s="608">
        <f t="shared" si="56"/>
        <v>0</v>
      </c>
      <c r="K202" s="609">
        <v>322.31100565539998</v>
      </c>
      <c r="L202" s="609">
        <v>477.12461449580002</v>
      </c>
      <c r="M202" s="609">
        <f>+K202/9*12-3</f>
        <v>426.74800754053331</v>
      </c>
      <c r="N202" s="609">
        <v>0</v>
      </c>
      <c r="O202" s="609">
        <f>(O171/100)*O108+797</f>
        <v>797</v>
      </c>
      <c r="P202" s="609">
        <f>(P171/100)*P108+797</f>
        <v>797</v>
      </c>
      <c r="Q202" s="610">
        <f t="shared" si="56"/>
        <v>0</v>
      </c>
      <c r="R202" s="609">
        <f t="shared" si="56"/>
        <v>0</v>
      </c>
      <c r="S202" s="609">
        <f t="shared" si="56"/>
        <v>1190.8372656319998</v>
      </c>
      <c r="T202" s="609">
        <f t="shared" si="56"/>
        <v>0</v>
      </c>
      <c r="U202" s="609">
        <f t="shared" si="56"/>
        <v>1300</v>
      </c>
      <c r="V202" s="609">
        <f t="shared" si="56"/>
        <v>1300</v>
      </c>
      <c r="W202" s="609">
        <f t="shared" si="56"/>
        <v>1044.2135407999999</v>
      </c>
      <c r="X202" s="609">
        <v>1146</v>
      </c>
      <c r="Y202" s="609">
        <v>1152</v>
      </c>
      <c r="Z202" s="608">
        <f t="shared" si="58"/>
        <v>1131.6988799999999</v>
      </c>
      <c r="AA202" s="608">
        <f t="shared" si="58"/>
        <v>1306.33626</v>
      </c>
      <c r="AB202" s="608">
        <f t="shared" si="58"/>
        <v>1834.144</v>
      </c>
      <c r="AC202" s="608">
        <f t="shared" si="57"/>
        <v>2187.3322838418808</v>
      </c>
      <c r="AD202" s="608">
        <f t="shared" si="57"/>
        <v>2624.798740610257</v>
      </c>
      <c r="AE202" s="608">
        <f t="shared" si="57"/>
        <v>3149.7584887323083</v>
      </c>
      <c r="AF202" s="608">
        <f t="shared" si="57"/>
        <v>3779.7101864787692</v>
      </c>
      <c r="AG202" s="608">
        <f t="shared" si="57"/>
        <v>4535.652223774523</v>
      </c>
      <c r="AH202" s="608">
        <f t="shared" si="57"/>
        <v>5442.7826685294267</v>
      </c>
      <c r="AI202" s="608">
        <f t="shared" si="57"/>
        <v>6531.3392022353119</v>
      </c>
      <c r="AJ202" s="608">
        <f t="shared" si="57"/>
        <v>7837.6070426823744</v>
      </c>
      <c r="AK202" s="608">
        <f t="shared" si="57"/>
        <v>9405.1284512188486</v>
      </c>
      <c r="AL202" s="608">
        <f t="shared" si="57"/>
        <v>11286.154141462617</v>
      </c>
    </row>
    <row r="203" spans="1:38" s="528" customFormat="1" ht="12">
      <c r="A203" s="507"/>
      <c r="B203" s="532"/>
      <c r="C203" s="507" t="s">
        <v>224</v>
      </c>
      <c r="E203" s="608">
        <v>0</v>
      </c>
      <c r="F203" s="608">
        <f t="shared" si="56"/>
        <v>0</v>
      </c>
      <c r="G203" s="608">
        <f t="shared" si="56"/>
        <v>0</v>
      </c>
      <c r="H203" s="608">
        <f t="shared" si="56"/>
        <v>0</v>
      </c>
      <c r="I203" s="608">
        <f t="shared" si="56"/>
        <v>0</v>
      </c>
      <c r="J203" s="608">
        <f t="shared" si="56"/>
        <v>0</v>
      </c>
      <c r="K203" s="609">
        <f t="shared" si="56"/>
        <v>975.92843358805123</v>
      </c>
      <c r="L203" s="609">
        <f t="shared" si="56"/>
        <v>1344.7662573505886</v>
      </c>
      <c r="M203" s="609">
        <f t="shared" si="56"/>
        <v>1303.9043861224072</v>
      </c>
      <c r="N203" s="609">
        <f t="shared" si="56"/>
        <v>0</v>
      </c>
      <c r="O203" s="609">
        <f t="shared" si="56"/>
        <v>2099.392776042338</v>
      </c>
      <c r="P203" s="609">
        <f t="shared" si="56"/>
        <v>0</v>
      </c>
      <c r="Q203" s="610">
        <f t="shared" si="56"/>
        <v>0</v>
      </c>
      <c r="R203" s="609">
        <f t="shared" si="56"/>
        <v>0</v>
      </c>
      <c r="S203" s="609">
        <f t="shared" si="56"/>
        <v>2726.5059711024869</v>
      </c>
      <c r="T203" s="609">
        <f t="shared" si="56"/>
        <v>0</v>
      </c>
      <c r="U203" s="609">
        <f t="shared" si="56"/>
        <v>3000</v>
      </c>
      <c r="V203" s="609">
        <f t="shared" si="56"/>
        <v>3000</v>
      </c>
      <c r="W203" s="609">
        <f t="shared" si="56"/>
        <v>3042.5170430751537</v>
      </c>
      <c r="X203" s="609">
        <v>1797</v>
      </c>
      <c r="Y203" s="609">
        <v>2001</v>
      </c>
      <c r="Z203" s="608">
        <f t="shared" si="58"/>
        <v>1600.84331</v>
      </c>
      <c r="AA203" s="608">
        <f t="shared" si="58"/>
        <v>1820.0966000000001</v>
      </c>
      <c r="AB203" s="608">
        <f t="shared" si="58"/>
        <v>1311.3506772336905</v>
      </c>
      <c r="AC203" s="608">
        <f t="shared" si="57"/>
        <v>1141.1884742400578</v>
      </c>
      <c r="AD203" s="608">
        <f t="shared" si="57"/>
        <v>1255.3073216640635</v>
      </c>
      <c r="AE203" s="608">
        <f t="shared" si="57"/>
        <v>1443.603419913673</v>
      </c>
      <c r="AF203" s="608">
        <f t="shared" si="57"/>
        <v>1660.1439329007239</v>
      </c>
      <c r="AG203" s="608">
        <f t="shared" si="57"/>
        <v>1909.1655228358325</v>
      </c>
      <c r="AH203" s="608">
        <f t="shared" si="57"/>
        <v>2100.082075119416</v>
      </c>
      <c r="AI203" s="608">
        <f t="shared" si="57"/>
        <v>2310.0902826313577</v>
      </c>
      <c r="AJ203" s="608">
        <f t="shared" si="57"/>
        <v>2541.0993108944936</v>
      </c>
      <c r="AK203" s="608">
        <f t="shared" si="57"/>
        <v>2795.2092419839432</v>
      </c>
      <c r="AL203" s="608">
        <f t="shared" si="57"/>
        <v>3074.7301661823376</v>
      </c>
    </row>
    <row r="204" spans="1:38" s="528" customFormat="1" ht="12">
      <c r="A204" s="507"/>
      <c r="B204" s="532"/>
      <c r="C204" s="507" t="s">
        <v>241</v>
      </c>
      <c r="E204" s="608">
        <v>0</v>
      </c>
      <c r="F204" s="608">
        <f t="shared" si="56"/>
        <v>0</v>
      </c>
      <c r="G204" s="608">
        <f t="shared" si="56"/>
        <v>0</v>
      </c>
      <c r="H204" s="608">
        <f t="shared" si="56"/>
        <v>0</v>
      </c>
      <c r="I204" s="608">
        <f t="shared" si="56"/>
        <v>0</v>
      </c>
      <c r="J204" s="608">
        <f t="shared" si="56"/>
        <v>648.53559057830012</v>
      </c>
      <c r="K204" s="609">
        <f t="shared" si="56"/>
        <v>783.40725728999996</v>
      </c>
      <c r="L204" s="609">
        <f t="shared" si="56"/>
        <v>1047.52454261</v>
      </c>
      <c r="M204" s="609">
        <f t="shared" si="56"/>
        <v>1190</v>
      </c>
      <c r="N204" s="609">
        <f t="shared" si="56"/>
        <v>252.07967699999998</v>
      </c>
      <c r="O204" s="609">
        <f t="shared" si="56"/>
        <v>1191.8964961299998</v>
      </c>
      <c r="P204" s="609">
        <f t="shared" si="56"/>
        <v>610.1859573836</v>
      </c>
      <c r="Q204" s="609">
        <f t="shared" si="56"/>
        <v>890.29148136359993</v>
      </c>
      <c r="R204" s="609">
        <f t="shared" si="56"/>
        <v>1323</v>
      </c>
      <c r="S204" s="609">
        <f t="shared" si="56"/>
        <v>1291.5125523735999</v>
      </c>
      <c r="T204" s="609">
        <f t="shared" si="56"/>
        <v>0</v>
      </c>
      <c r="U204" s="609">
        <f t="shared" si="56"/>
        <v>1440</v>
      </c>
      <c r="V204" s="609">
        <f t="shared" si="56"/>
        <v>1440</v>
      </c>
      <c r="W204" s="609">
        <f t="shared" si="56"/>
        <v>1324.8356916672333</v>
      </c>
      <c r="X204" s="609">
        <v>1535</v>
      </c>
      <c r="Y204" s="609">
        <v>1647</v>
      </c>
      <c r="Z204" s="608">
        <f t="shared" si="58"/>
        <v>1345.22326</v>
      </c>
      <c r="AA204" s="608">
        <f t="shared" si="58"/>
        <v>1429.00712</v>
      </c>
      <c r="AB204" s="608">
        <f t="shared" si="58"/>
        <v>1532.044719122455</v>
      </c>
      <c r="AC204" s="608">
        <f t="shared" si="57"/>
        <v>1679.3451927793278</v>
      </c>
      <c r="AD204" s="608">
        <f t="shared" si="57"/>
        <v>1897.6600678406405</v>
      </c>
      <c r="AE204" s="608">
        <f t="shared" si="57"/>
        <v>2144.355876659924</v>
      </c>
      <c r="AF204" s="608">
        <f t="shared" si="57"/>
        <v>2423.1221406257141</v>
      </c>
      <c r="AG204" s="608">
        <f t="shared" si="57"/>
        <v>2738.1280189070567</v>
      </c>
      <c r="AH204" s="608">
        <f t="shared" si="57"/>
        <v>2874.9087682454065</v>
      </c>
      <c r="AI204" s="608">
        <f t="shared" si="57"/>
        <v>3018.5222782364253</v>
      </c>
      <c r="AJ204" s="608">
        <f t="shared" si="57"/>
        <v>3169.3098733600755</v>
      </c>
      <c r="AK204" s="608">
        <f t="shared" si="57"/>
        <v>3327.6299286570716</v>
      </c>
      <c r="AL204" s="608">
        <f t="shared" si="57"/>
        <v>3493.8587214744762</v>
      </c>
    </row>
    <row r="205" spans="1:38" s="528" customFormat="1" ht="12">
      <c r="A205" s="507"/>
      <c r="B205" s="532"/>
      <c r="C205" s="507" t="s">
        <v>225</v>
      </c>
      <c r="E205" s="608"/>
      <c r="F205" s="608"/>
      <c r="G205" s="608"/>
      <c r="H205" s="608"/>
      <c r="I205" s="608"/>
      <c r="J205" s="608"/>
      <c r="K205" s="609"/>
      <c r="L205" s="609">
        <v>0</v>
      </c>
      <c r="M205" s="609">
        <v>0</v>
      </c>
      <c r="N205" s="609">
        <v>0</v>
      </c>
      <c r="O205" s="609">
        <f t="shared" si="56"/>
        <v>0</v>
      </c>
      <c r="P205" s="609">
        <f t="shared" si="56"/>
        <v>0</v>
      </c>
      <c r="Q205" s="609">
        <f t="shared" si="56"/>
        <v>0</v>
      </c>
      <c r="R205" s="609">
        <f t="shared" si="56"/>
        <v>0</v>
      </c>
      <c r="S205" s="609">
        <f t="shared" si="56"/>
        <v>0</v>
      </c>
      <c r="T205" s="609">
        <v>0</v>
      </c>
      <c r="U205" s="609">
        <v>500</v>
      </c>
      <c r="V205" s="609">
        <v>500</v>
      </c>
      <c r="W205" s="609">
        <v>0</v>
      </c>
      <c r="X205" s="609">
        <v>1331.5650000000001</v>
      </c>
      <c r="Y205" s="609">
        <f t="shared" ref="Y205:AB209" si="59">(Y174/100)*Y111</f>
        <v>0</v>
      </c>
      <c r="Z205" s="608">
        <f>(Z174/100)*Z111</f>
        <v>2071.0883199999998</v>
      </c>
      <c r="AA205" s="608">
        <f t="shared" si="59"/>
        <v>2320.2086399999998</v>
      </c>
      <c r="AB205" s="608">
        <f t="shared" si="59"/>
        <v>3448.9792058171433</v>
      </c>
      <c r="AC205" s="608">
        <f t="shared" si="57"/>
        <v>3524.3300951530468</v>
      </c>
      <c r="AD205" s="608">
        <f t="shared" si="57"/>
        <v>4581.62912369896</v>
      </c>
      <c r="AE205" s="608">
        <f t="shared" si="57"/>
        <v>5956.1178608086484</v>
      </c>
      <c r="AF205" s="608">
        <f t="shared" si="57"/>
        <v>7742.9532190512427</v>
      </c>
      <c r="AG205" s="608">
        <f t="shared" si="57"/>
        <v>10065.839184766615</v>
      </c>
      <c r="AH205" s="608">
        <f t="shared" si="57"/>
        <v>12079.007021719939</v>
      </c>
      <c r="AI205" s="608">
        <f t="shared" si="57"/>
        <v>14494.808426063928</v>
      </c>
      <c r="AJ205" s="608">
        <f t="shared" si="57"/>
        <v>17393.770111276714</v>
      </c>
      <c r="AK205" s="608">
        <f t="shared" si="57"/>
        <v>20872.524133532053</v>
      </c>
      <c r="AL205" s="608">
        <f t="shared" si="57"/>
        <v>25047.028960238466</v>
      </c>
    </row>
    <row r="206" spans="1:38" s="528" customFormat="1" ht="12">
      <c r="A206" s="507"/>
      <c r="B206" s="532"/>
      <c r="C206" s="507" t="s">
        <v>226</v>
      </c>
      <c r="E206" s="608"/>
      <c r="F206" s="608"/>
      <c r="G206" s="608"/>
      <c r="H206" s="608"/>
      <c r="I206" s="608"/>
      <c r="J206" s="608"/>
      <c r="K206" s="609"/>
      <c r="L206" s="609">
        <v>0</v>
      </c>
      <c r="M206" s="609">
        <v>0</v>
      </c>
      <c r="N206" s="609">
        <v>0</v>
      </c>
      <c r="O206" s="609">
        <f t="shared" si="56"/>
        <v>0</v>
      </c>
      <c r="P206" s="609">
        <f t="shared" si="56"/>
        <v>0</v>
      </c>
      <c r="Q206" s="609">
        <f t="shared" si="56"/>
        <v>0</v>
      </c>
      <c r="R206" s="609">
        <f t="shared" si="56"/>
        <v>0</v>
      </c>
      <c r="S206" s="609">
        <f t="shared" si="56"/>
        <v>0</v>
      </c>
      <c r="T206" s="609">
        <v>0</v>
      </c>
      <c r="U206" s="609">
        <v>300</v>
      </c>
      <c r="V206" s="609">
        <v>300</v>
      </c>
      <c r="W206" s="609">
        <v>0</v>
      </c>
      <c r="X206" s="609">
        <v>0</v>
      </c>
      <c r="Y206" s="609">
        <v>0</v>
      </c>
      <c r="Z206" s="609"/>
      <c r="AA206" s="608">
        <f t="shared" si="59"/>
        <v>0</v>
      </c>
      <c r="AB206" s="609">
        <f t="shared" si="59"/>
        <v>0</v>
      </c>
      <c r="AC206" s="608">
        <f t="shared" si="57"/>
        <v>0</v>
      </c>
      <c r="AD206" s="608">
        <f t="shared" si="57"/>
        <v>0</v>
      </c>
      <c r="AE206" s="608">
        <f t="shared" si="57"/>
        <v>0</v>
      </c>
      <c r="AF206" s="608">
        <f t="shared" si="57"/>
        <v>0</v>
      </c>
      <c r="AG206" s="608">
        <f t="shared" si="57"/>
        <v>0</v>
      </c>
      <c r="AH206" s="608">
        <f t="shared" si="57"/>
        <v>0</v>
      </c>
      <c r="AI206" s="608">
        <f t="shared" si="57"/>
        <v>0</v>
      </c>
      <c r="AJ206" s="608">
        <f t="shared" si="57"/>
        <v>0</v>
      </c>
      <c r="AK206" s="608">
        <f t="shared" si="57"/>
        <v>0</v>
      </c>
      <c r="AL206" s="608">
        <f t="shared" si="57"/>
        <v>0</v>
      </c>
    </row>
    <row r="207" spans="1:38" s="528" customFormat="1" ht="12">
      <c r="A207" s="533"/>
      <c r="B207" s="532"/>
      <c r="C207" s="533" t="s">
        <v>242</v>
      </c>
      <c r="E207" s="608"/>
      <c r="F207" s="608"/>
      <c r="G207" s="608"/>
      <c r="H207" s="608"/>
      <c r="I207" s="608"/>
      <c r="J207" s="608"/>
      <c r="K207" s="609"/>
      <c r="L207" s="609">
        <v>0</v>
      </c>
      <c r="M207" s="609">
        <f>(M176/100)*M113</f>
        <v>489</v>
      </c>
      <c r="N207" s="609">
        <f>(N176/100)*N113</f>
        <v>0</v>
      </c>
      <c r="O207" s="609">
        <f t="shared" si="56"/>
        <v>815.06000000000017</v>
      </c>
      <c r="P207" s="609">
        <f t="shared" si="56"/>
        <v>0</v>
      </c>
      <c r="Q207" s="609">
        <f t="shared" si="56"/>
        <v>564.80000000000052</v>
      </c>
      <c r="R207" s="609">
        <f t="shared" si="56"/>
        <v>564.89938638466526</v>
      </c>
      <c r="S207" s="609">
        <f t="shared" si="56"/>
        <v>626.43000000000006</v>
      </c>
      <c r="T207" s="609">
        <f t="shared" si="56"/>
        <v>0</v>
      </c>
      <c r="U207" s="609">
        <f>(U176/100)*U113</f>
        <v>0</v>
      </c>
      <c r="V207" s="609">
        <f>(V176/100)*V113</f>
        <v>0</v>
      </c>
      <c r="W207" s="609">
        <f>(W176/100)*W113</f>
        <v>0</v>
      </c>
      <c r="X207" s="609">
        <f>(X176/100)*X113</f>
        <v>0</v>
      </c>
      <c r="Y207" s="609">
        <f>(Y176/100)*Y113</f>
        <v>0</v>
      </c>
      <c r="Z207" s="609"/>
      <c r="AA207" s="608">
        <f t="shared" si="59"/>
        <v>0</v>
      </c>
      <c r="AB207" s="609">
        <f t="shared" si="59"/>
        <v>0</v>
      </c>
      <c r="AC207" s="608">
        <f t="shared" si="57"/>
        <v>0</v>
      </c>
      <c r="AD207" s="608">
        <f t="shared" si="57"/>
        <v>0</v>
      </c>
      <c r="AE207" s="608">
        <f t="shared" si="57"/>
        <v>0</v>
      </c>
      <c r="AF207" s="608">
        <f t="shared" si="57"/>
        <v>0</v>
      </c>
      <c r="AG207" s="608">
        <f t="shared" si="57"/>
        <v>0</v>
      </c>
      <c r="AH207" s="608">
        <f t="shared" si="57"/>
        <v>0</v>
      </c>
      <c r="AI207" s="608">
        <f t="shared" si="57"/>
        <v>0</v>
      </c>
      <c r="AJ207" s="608">
        <f t="shared" si="57"/>
        <v>0</v>
      </c>
      <c r="AK207" s="608">
        <f t="shared" si="57"/>
        <v>0</v>
      </c>
      <c r="AL207" s="608">
        <f t="shared" si="57"/>
        <v>0</v>
      </c>
    </row>
    <row r="208" spans="1:38" s="528" customFormat="1" ht="12">
      <c r="A208" s="507"/>
      <c r="B208" s="532"/>
      <c r="C208" s="507" t="s">
        <v>243</v>
      </c>
      <c r="E208" s="608">
        <v>0</v>
      </c>
      <c r="F208" s="608">
        <v>0</v>
      </c>
      <c r="G208" s="608">
        <v>0</v>
      </c>
      <c r="H208" s="608">
        <v>0</v>
      </c>
      <c r="I208" s="608">
        <v>0</v>
      </c>
      <c r="J208" s="608">
        <v>0</v>
      </c>
      <c r="K208" s="609">
        <f>(K177/100)*K114</f>
        <v>1186</v>
      </c>
      <c r="L208" s="609">
        <f>(L177/100)*L114</f>
        <v>1651.0785399999997</v>
      </c>
      <c r="M208" s="609">
        <f>(M177/100)*M114</f>
        <v>1667.0000000000002</v>
      </c>
      <c r="N208" s="609">
        <f>(N177/100)*N114</f>
        <v>768.54100000000005</v>
      </c>
      <c r="O208" s="609">
        <f t="shared" si="56"/>
        <v>3698.3881299999998</v>
      </c>
      <c r="P208" s="609">
        <f t="shared" si="56"/>
        <v>1996.8015899999998</v>
      </c>
      <c r="Q208" s="609">
        <f>(Q177/100)*Q114</f>
        <v>3047.8422230000047</v>
      </c>
      <c r="R208" s="609">
        <f t="shared" si="56"/>
        <v>3799.9999999999936</v>
      </c>
      <c r="S208" s="609">
        <f t="shared" si="56"/>
        <v>4349.9216430000006</v>
      </c>
      <c r="T208" s="609">
        <f t="shared" si="56"/>
        <v>0</v>
      </c>
      <c r="U208" s="609">
        <f>(U177/100)*U114</f>
        <v>3302</v>
      </c>
      <c r="V208" s="609">
        <f>(V177/100)*V114</f>
        <v>3302</v>
      </c>
      <c r="W208" s="609">
        <f>(W177/100)*W114</f>
        <v>4139.4249999999993</v>
      </c>
      <c r="X208" s="609">
        <v>3119</v>
      </c>
      <c r="Y208" s="609">
        <v>2991</v>
      </c>
      <c r="Z208" s="608">
        <f>(Z177/100)*Z114</f>
        <v>3148.5740000000001</v>
      </c>
      <c r="AA208" s="608">
        <f t="shared" si="59"/>
        <v>0</v>
      </c>
      <c r="AB208" s="608">
        <f t="shared" si="59"/>
        <v>0</v>
      </c>
      <c r="AC208" s="608">
        <f t="shared" si="57"/>
        <v>0</v>
      </c>
      <c r="AD208" s="608">
        <f t="shared" si="57"/>
        <v>0</v>
      </c>
      <c r="AE208" s="608">
        <f t="shared" si="57"/>
        <v>0</v>
      </c>
      <c r="AF208" s="608">
        <f t="shared" si="57"/>
        <v>0</v>
      </c>
      <c r="AG208" s="608">
        <f t="shared" si="57"/>
        <v>0</v>
      </c>
      <c r="AH208" s="608">
        <f t="shared" si="57"/>
        <v>0</v>
      </c>
      <c r="AI208" s="608">
        <f t="shared" si="57"/>
        <v>0</v>
      </c>
      <c r="AJ208" s="608">
        <f t="shared" si="57"/>
        <v>0</v>
      </c>
      <c r="AK208" s="608">
        <f t="shared" si="57"/>
        <v>0</v>
      </c>
      <c r="AL208" s="608">
        <f t="shared" si="57"/>
        <v>0</v>
      </c>
    </row>
    <row r="209" spans="1:38" s="528" customFormat="1" ht="12">
      <c r="A209" s="507"/>
      <c r="B209" s="532"/>
      <c r="C209" s="507" t="s">
        <v>265</v>
      </c>
      <c r="E209" s="608"/>
      <c r="F209" s="608"/>
      <c r="G209" s="608"/>
      <c r="H209" s="608"/>
      <c r="I209" s="608"/>
      <c r="J209" s="608"/>
      <c r="K209" s="609"/>
      <c r="L209" s="609"/>
      <c r="M209" s="609"/>
      <c r="N209" s="609"/>
      <c r="O209" s="609"/>
      <c r="P209" s="609"/>
      <c r="Q209" s="609"/>
      <c r="R209" s="609"/>
      <c r="S209" s="609"/>
      <c r="T209" s="609"/>
      <c r="U209" s="609"/>
      <c r="V209" s="609"/>
      <c r="W209" s="609"/>
      <c r="X209" s="609">
        <f>(X178/100)*X115</f>
        <v>0</v>
      </c>
      <c r="Y209" s="609">
        <f>(Y178/100)*Y115</f>
        <v>0</v>
      </c>
      <c r="Z209" s="609"/>
      <c r="AA209" s="608">
        <f t="shared" si="59"/>
        <v>0</v>
      </c>
      <c r="AB209" s="609">
        <f t="shared" si="59"/>
        <v>0</v>
      </c>
      <c r="AC209" s="608">
        <f t="shared" si="57"/>
        <v>0</v>
      </c>
      <c r="AD209" s="608">
        <f t="shared" si="57"/>
        <v>0</v>
      </c>
      <c r="AE209" s="608">
        <f t="shared" si="57"/>
        <v>0</v>
      </c>
      <c r="AF209" s="608">
        <f t="shared" si="57"/>
        <v>0</v>
      </c>
      <c r="AG209" s="608">
        <f t="shared" si="57"/>
        <v>0</v>
      </c>
      <c r="AH209" s="608">
        <f t="shared" si="57"/>
        <v>0</v>
      </c>
      <c r="AI209" s="608">
        <f t="shared" si="57"/>
        <v>0</v>
      </c>
      <c r="AJ209" s="608">
        <f t="shared" si="57"/>
        <v>0</v>
      </c>
      <c r="AK209" s="608">
        <f t="shared" si="57"/>
        <v>0</v>
      </c>
      <c r="AL209" s="608">
        <f t="shared" si="57"/>
        <v>0</v>
      </c>
    </row>
    <row r="210" spans="1:38" s="528" customFormat="1" ht="12">
      <c r="A210" s="507"/>
      <c r="B210" s="532"/>
      <c r="C210" s="533" t="s">
        <v>245</v>
      </c>
      <c r="E210" s="608">
        <v>0</v>
      </c>
      <c r="F210" s="608">
        <v>0</v>
      </c>
      <c r="G210" s="608">
        <v>0</v>
      </c>
      <c r="H210" s="608">
        <v>0</v>
      </c>
      <c r="I210" s="608">
        <v>0</v>
      </c>
      <c r="J210" s="608">
        <v>0</v>
      </c>
      <c r="K210" s="609">
        <f t="shared" ref="K210:AB212" si="60">(K179/100)*K116</f>
        <v>364.36783565425054</v>
      </c>
      <c r="L210" s="609">
        <f t="shared" si="60"/>
        <v>0</v>
      </c>
      <c r="M210" s="609">
        <f t="shared" si="60"/>
        <v>0</v>
      </c>
      <c r="N210" s="609">
        <f t="shared" si="60"/>
        <v>0</v>
      </c>
      <c r="O210" s="609">
        <f t="shared" si="60"/>
        <v>0</v>
      </c>
      <c r="P210" s="609">
        <f t="shared" si="60"/>
        <v>0</v>
      </c>
      <c r="Q210" s="609">
        <f t="shared" si="60"/>
        <v>0</v>
      </c>
      <c r="R210" s="609">
        <f>(R179/100)*R116</f>
        <v>0</v>
      </c>
      <c r="S210" s="609">
        <f t="shared" ref="S210:W212" si="61">(S179/100)*S116</f>
        <v>0</v>
      </c>
      <c r="T210" s="609">
        <v>0</v>
      </c>
      <c r="U210" s="609">
        <v>1500</v>
      </c>
      <c r="V210" s="609">
        <v>1500</v>
      </c>
      <c r="W210" s="609">
        <v>0</v>
      </c>
      <c r="X210" s="609">
        <v>0</v>
      </c>
      <c r="Y210" s="609">
        <f t="shared" si="60"/>
        <v>0</v>
      </c>
      <c r="Z210" s="609"/>
      <c r="AA210" s="608">
        <f t="shared" si="60"/>
        <v>0</v>
      </c>
      <c r="AB210" s="609">
        <f t="shared" si="60"/>
        <v>0</v>
      </c>
      <c r="AC210" s="608">
        <f t="shared" si="57"/>
        <v>0</v>
      </c>
      <c r="AD210" s="608">
        <f t="shared" si="57"/>
        <v>0</v>
      </c>
      <c r="AE210" s="608">
        <f t="shared" si="57"/>
        <v>0</v>
      </c>
      <c r="AF210" s="608">
        <f t="shared" si="57"/>
        <v>0</v>
      </c>
      <c r="AG210" s="608">
        <f t="shared" si="57"/>
        <v>0</v>
      </c>
      <c r="AH210" s="608">
        <f t="shared" si="57"/>
        <v>0</v>
      </c>
      <c r="AI210" s="608">
        <f t="shared" si="57"/>
        <v>0</v>
      </c>
      <c r="AJ210" s="608">
        <f t="shared" si="57"/>
        <v>0</v>
      </c>
      <c r="AK210" s="608">
        <f t="shared" si="57"/>
        <v>0</v>
      </c>
      <c r="AL210" s="608">
        <f t="shared" si="57"/>
        <v>0</v>
      </c>
    </row>
    <row r="211" spans="1:38" s="528" customFormat="1" ht="12">
      <c r="A211" s="507"/>
      <c r="B211" s="532"/>
      <c r="C211" s="507" t="s">
        <v>246</v>
      </c>
      <c r="E211" s="608">
        <f t="shared" ref="E211:J212" si="62">(E180/100)*E117</f>
        <v>1351.8439277299185</v>
      </c>
      <c r="F211" s="608">
        <f t="shared" si="62"/>
        <v>1812.1201792189627</v>
      </c>
      <c r="G211" s="608">
        <f t="shared" si="62"/>
        <v>2801.7483707350329</v>
      </c>
      <c r="H211" s="608">
        <f t="shared" si="62"/>
        <v>2898.7590740943874</v>
      </c>
      <c r="I211" s="608">
        <f t="shared" si="62"/>
        <v>3480.969329778658</v>
      </c>
      <c r="J211" s="608">
        <f t="shared" si="62"/>
        <v>4300.274652707275</v>
      </c>
      <c r="K211" s="609">
        <f t="shared" si="60"/>
        <v>3538.7293239396645</v>
      </c>
      <c r="L211" s="609">
        <f t="shared" si="60"/>
        <v>5037.841455620428</v>
      </c>
      <c r="M211" s="609">
        <f t="shared" si="60"/>
        <v>4720</v>
      </c>
      <c r="N211" s="609">
        <f t="shared" si="60"/>
        <v>1274.892704722695</v>
      </c>
      <c r="O211" s="609">
        <f t="shared" si="60"/>
        <v>5284</v>
      </c>
      <c r="P211" s="609">
        <f t="shared" si="60"/>
        <v>2574.5982327547699</v>
      </c>
      <c r="Q211" s="609">
        <f t="shared" si="60"/>
        <v>3955.3108275716909</v>
      </c>
      <c r="R211" s="609">
        <f>(R180/100)*R117</f>
        <v>5429.0000000000009</v>
      </c>
      <c r="S211" s="609">
        <f t="shared" si="61"/>
        <v>5431.48</v>
      </c>
      <c r="T211" s="609">
        <f t="shared" si="61"/>
        <v>0</v>
      </c>
      <c r="U211" s="609">
        <f t="shared" si="61"/>
        <v>6000</v>
      </c>
      <c r="V211" s="609">
        <f t="shared" si="61"/>
        <v>6000</v>
      </c>
      <c r="W211" s="609">
        <f t="shared" si="61"/>
        <v>6141</v>
      </c>
      <c r="X211" s="609">
        <v>4906</v>
      </c>
      <c r="Y211" s="609">
        <v>6131</v>
      </c>
      <c r="Z211" s="608">
        <f t="shared" ref="Z211:Z219" si="63">(Z180/100)*Z117</f>
        <v>5060.7049500000003</v>
      </c>
      <c r="AA211" s="608">
        <f t="shared" si="60"/>
        <v>6243.3551600000001</v>
      </c>
      <c r="AB211" s="608">
        <f t="shared" si="60"/>
        <v>5260.0029999999997</v>
      </c>
      <c r="AC211" s="608">
        <f t="shared" si="57"/>
        <v>6030.8133480000006</v>
      </c>
      <c r="AD211" s="608">
        <f t="shared" si="57"/>
        <v>6754.5109497600006</v>
      </c>
      <c r="AE211" s="608">
        <f t="shared" si="57"/>
        <v>7565.0522637311997</v>
      </c>
      <c r="AF211" s="608">
        <f t="shared" si="57"/>
        <v>8472.858535378944</v>
      </c>
      <c r="AG211" s="608">
        <f t="shared" si="57"/>
        <v>9489.601559624416</v>
      </c>
      <c r="AH211" s="608">
        <f t="shared" si="57"/>
        <v>10628.353746779345</v>
      </c>
      <c r="AI211" s="608">
        <f t="shared" si="57"/>
        <v>11903.756196392867</v>
      </c>
      <c r="AJ211" s="608">
        <f t="shared" si="57"/>
        <v>13332.206939960013</v>
      </c>
      <c r="AK211" s="608">
        <f t="shared" si="57"/>
        <v>14932.071772755216</v>
      </c>
      <c r="AL211" s="608">
        <f t="shared" si="57"/>
        <v>16723.920385485842</v>
      </c>
    </row>
    <row r="212" spans="1:38" s="528" customFormat="1" ht="12">
      <c r="A212" s="507"/>
      <c r="B212" s="532"/>
      <c r="C212" s="507" t="s">
        <v>247</v>
      </c>
      <c r="E212" s="608">
        <f t="shared" si="62"/>
        <v>618.84890108574234</v>
      </c>
      <c r="F212" s="608">
        <f t="shared" si="62"/>
        <v>786.62851911530015</v>
      </c>
      <c r="G212" s="608">
        <f t="shared" si="62"/>
        <v>1032.3553526234978</v>
      </c>
      <c r="H212" s="608">
        <f t="shared" si="62"/>
        <v>1039.4294264494997</v>
      </c>
      <c r="I212" s="608">
        <f t="shared" si="62"/>
        <v>937.19015690619563</v>
      </c>
      <c r="J212" s="608">
        <f t="shared" si="62"/>
        <v>750.98244543992712</v>
      </c>
      <c r="K212" s="609">
        <f t="shared" si="60"/>
        <v>718.6538095089104</v>
      </c>
      <c r="L212" s="609">
        <f t="shared" si="60"/>
        <v>1067.5526400806862</v>
      </c>
      <c r="M212" s="609">
        <f t="shared" si="60"/>
        <v>951.82824140624996</v>
      </c>
      <c r="N212" s="609">
        <f t="shared" si="60"/>
        <v>265.1221114055889</v>
      </c>
      <c r="O212" s="609">
        <f t="shared" si="60"/>
        <v>1151.6808333694619</v>
      </c>
      <c r="P212" s="609">
        <f t="shared" si="60"/>
        <v>583.67474335182487</v>
      </c>
      <c r="Q212" s="609">
        <f t="shared" si="60"/>
        <v>818.72481984536114</v>
      </c>
      <c r="R212" s="609">
        <f>(R181/100)*R118</f>
        <v>1060.8461538461538</v>
      </c>
      <c r="S212" s="609">
        <f t="shared" si="61"/>
        <v>1127.0510673173524</v>
      </c>
      <c r="T212" s="609">
        <f t="shared" si="61"/>
        <v>0</v>
      </c>
      <c r="U212" s="609">
        <f t="shared" si="61"/>
        <v>1560</v>
      </c>
      <c r="V212" s="609">
        <f t="shared" si="61"/>
        <v>1560</v>
      </c>
      <c r="W212" s="609">
        <f t="shared" si="61"/>
        <v>1167.6646577305455</v>
      </c>
      <c r="X212" s="609">
        <v>1133</v>
      </c>
      <c r="Y212" s="609">
        <v>1151</v>
      </c>
      <c r="Z212" s="608">
        <f t="shared" si="63"/>
        <v>1271.22282</v>
      </c>
      <c r="AA212" s="608">
        <f t="shared" si="60"/>
        <v>1144.7540999999999</v>
      </c>
      <c r="AB212" s="608">
        <f t="shared" si="60"/>
        <v>1363.5037080223628</v>
      </c>
      <c r="AC212" s="608">
        <f t="shared" si="57"/>
        <v>1581.4623540740974</v>
      </c>
      <c r="AD212" s="608">
        <f t="shared" si="57"/>
        <v>1818.6817071852124</v>
      </c>
      <c r="AE212" s="608">
        <f t="shared" si="57"/>
        <v>2091.4839632629946</v>
      </c>
      <c r="AF212" s="608">
        <f t="shared" si="57"/>
        <v>2405.2065577524436</v>
      </c>
      <c r="AG212" s="608">
        <f t="shared" si="57"/>
        <v>2765.9875414153098</v>
      </c>
      <c r="AH212" s="608">
        <f t="shared" si="57"/>
        <v>3180.8856726276067</v>
      </c>
      <c r="AI212" s="608">
        <f t="shared" si="57"/>
        <v>3658.0185235217473</v>
      </c>
      <c r="AJ212" s="608">
        <f t="shared" si="57"/>
        <v>4206.7213020500094</v>
      </c>
      <c r="AK212" s="608">
        <f t="shared" si="57"/>
        <v>4837.7294973575099</v>
      </c>
      <c r="AL212" s="608">
        <f t="shared" si="57"/>
        <v>5563.3889219611365</v>
      </c>
    </row>
    <row r="213" spans="1:38" s="528" customFormat="1" ht="12">
      <c r="A213" s="507"/>
      <c r="B213" s="532"/>
      <c r="C213" s="507" t="s">
        <v>248</v>
      </c>
      <c r="E213" s="608">
        <v>0</v>
      </c>
      <c r="F213" s="608">
        <v>0</v>
      </c>
      <c r="G213" s="608">
        <v>0</v>
      </c>
      <c r="H213" s="608">
        <v>0</v>
      </c>
      <c r="I213" s="608">
        <v>0</v>
      </c>
      <c r="J213" s="608">
        <v>0</v>
      </c>
      <c r="K213" s="609">
        <v>0</v>
      </c>
      <c r="L213" s="609">
        <v>0</v>
      </c>
      <c r="M213" s="609">
        <v>0</v>
      </c>
      <c r="N213" s="609">
        <v>0</v>
      </c>
      <c r="O213" s="609">
        <f>(O182/100)*O119+425</f>
        <v>425</v>
      </c>
      <c r="P213" s="609">
        <f>(P182/100)*P119+425</f>
        <v>425</v>
      </c>
      <c r="Q213" s="609">
        <v>644</v>
      </c>
      <c r="R213" s="609">
        <v>858</v>
      </c>
      <c r="S213" s="609">
        <v>805.60083092570005</v>
      </c>
      <c r="T213" s="609">
        <v>0</v>
      </c>
      <c r="U213" s="609">
        <v>800</v>
      </c>
      <c r="V213" s="609">
        <v>800</v>
      </c>
      <c r="W213" s="609">
        <v>0</v>
      </c>
      <c r="X213" s="609">
        <v>783</v>
      </c>
      <c r="Y213" s="609">
        <f t="shared" ref="X213:AL221" si="64">(Y182/100)*Y119</f>
        <v>0</v>
      </c>
      <c r="Z213" s="608">
        <f t="shared" si="63"/>
        <v>470.83135999999996</v>
      </c>
      <c r="AA213" s="608">
        <f t="shared" si="64"/>
        <v>684.0604800000001</v>
      </c>
      <c r="AB213" s="608">
        <f t="shared" si="64"/>
        <v>707.26365012762994</v>
      </c>
      <c r="AC213" s="608">
        <f t="shared" si="57"/>
        <v>798.18562222249841</v>
      </c>
      <c r="AD213" s="608">
        <f t="shared" si="57"/>
        <v>917.91346555587324</v>
      </c>
      <c r="AE213" s="608">
        <f t="shared" si="57"/>
        <v>1055.6004853892543</v>
      </c>
      <c r="AF213" s="608">
        <f t="shared" si="57"/>
        <v>1213.9405581976423</v>
      </c>
      <c r="AG213" s="608">
        <f t="shared" si="57"/>
        <v>1396.0316419272888</v>
      </c>
      <c r="AH213" s="608">
        <f t="shared" si="57"/>
        <v>1535.6348061200176</v>
      </c>
      <c r="AI213" s="608">
        <f t="shared" si="57"/>
        <v>1689.1982867320196</v>
      </c>
      <c r="AJ213" s="608">
        <f t="shared" si="57"/>
        <v>1858.1181154052217</v>
      </c>
      <c r="AK213" s="608">
        <f t="shared" si="57"/>
        <v>2043.9299269457442</v>
      </c>
      <c r="AL213" s="608">
        <f t="shared" si="57"/>
        <v>2248.3229196403186</v>
      </c>
    </row>
    <row r="214" spans="1:38" s="528" customFormat="1" ht="12">
      <c r="A214" s="533"/>
      <c r="B214" s="532"/>
      <c r="C214" s="507" t="s">
        <v>230</v>
      </c>
      <c r="E214" s="608">
        <f t="shared" ref="E214:W217" si="65">(E183/100)*E120</f>
        <v>652.2541022808216</v>
      </c>
      <c r="F214" s="608">
        <f t="shared" si="65"/>
        <v>755.45048435067986</v>
      </c>
      <c r="G214" s="608">
        <f t="shared" si="65"/>
        <v>1331.9132735254325</v>
      </c>
      <c r="H214" s="608">
        <f t="shared" si="65"/>
        <v>1323.5888558260872</v>
      </c>
      <c r="I214" s="608">
        <f t="shared" si="65"/>
        <v>1163.6955069893534</v>
      </c>
      <c r="J214" s="608">
        <f t="shared" si="65"/>
        <v>1028.4205538823878</v>
      </c>
      <c r="K214" s="609">
        <f t="shared" si="65"/>
        <v>620.33307923745224</v>
      </c>
      <c r="L214" s="609">
        <f t="shared" si="65"/>
        <v>884.46624714541758</v>
      </c>
      <c r="M214" s="609">
        <f t="shared" si="65"/>
        <v>809.14914367834353</v>
      </c>
      <c r="N214" s="609">
        <f t="shared" si="65"/>
        <v>206.79118349064646</v>
      </c>
      <c r="O214" s="609">
        <f t="shared" si="65"/>
        <v>829.04889083000637</v>
      </c>
      <c r="P214" s="609">
        <f t="shared" si="65"/>
        <v>399.97110317503956</v>
      </c>
      <c r="Q214" s="609">
        <f t="shared" si="65"/>
        <v>574.10456986210431</v>
      </c>
      <c r="R214" s="609">
        <f t="shared" si="65"/>
        <v>741.47835923076923</v>
      </c>
      <c r="S214" s="609">
        <f t="shared" si="65"/>
        <v>758.89691821366955</v>
      </c>
      <c r="T214" s="609">
        <f t="shared" si="65"/>
        <v>0</v>
      </c>
      <c r="U214" s="609">
        <f t="shared" si="65"/>
        <v>702</v>
      </c>
      <c r="V214" s="609">
        <f t="shared" si="65"/>
        <v>702</v>
      </c>
      <c r="W214" s="609">
        <f t="shared" si="65"/>
        <v>846.50194266103426</v>
      </c>
      <c r="X214" s="609">
        <v>815</v>
      </c>
      <c r="Y214" s="609">
        <v>833</v>
      </c>
      <c r="Z214" s="608">
        <f t="shared" si="63"/>
        <v>679.17965000000004</v>
      </c>
      <c r="AA214" s="608">
        <f t="shared" si="64"/>
        <v>743.08615999999995</v>
      </c>
      <c r="AB214" s="608">
        <f t="shared" si="64"/>
        <v>639.79627163537407</v>
      </c>
      <c r="AC214" s="608">
        <f t="shared" si="64"/>
        <v>814.09676806554717</v>
      </c>
      <c r="AD214" s="608">
        <f t="shared" si="64"/>
        <v>936.23910613143062</v>
      </c>
      <c r="AE214" s="608">
        <f t="shared" si="64"/>
        <v>1076.7069692864879</v>
      </c>
      <c r="AF214" s="608">
        <f t="shared" si="64"/>
        <v>1238.249812593654</v>
      </c>
      <c r="AG214" s="608">
        <f t="shared" si="64"/>
        <v>1424.0296033416423</v>
      </c>
      <c r="AH214" s="608">
        <f t="shared" si="64"/>
        <v>1637.6827119769741</v>
      </c>
      <c r="AI214" s="608">
        <f t="shared" si="64"/>
        <v>1883.3910887910176</v>
      </c>
      <c r="AJ214" s="608">
        <f t="shared" si="64"/>
        <v>2165.9641195426434</v>
      </c>
      <c r="AK214" s="608">
        <f t="shared" si="64"/>
        <v>2490.9327622218025</v>
      </c>
      <c r="AL214" s="608">
        <f t="shared" si="64"/>
        <v>2864.6578075448956</v>
      </c>
    </row>
    <row r="215" spans="1:38" s="528" customFormat="1" ht="12">
      <c r="A215" s="533"/>
      <c r="B215" s="532"/>
      <c r="C215" s="533" t="s">
        <v>249</v>
      </c>
      <c r="E215" s="608"/>
      <c r="F215" s="608"/>
      <c r="G215" s="608"/>
      <c r="H215" s="608"/>
      <c r="I215" s="608"/>
      <c r="J215" s="608"/>
      <c r="K215" s="609"/>
      <c r="L215" s="609"/>
      <c r="M215" s="609"/>
      <c r="N215" s="609"/>
      <c r="O215" s="609"/>
      <c r="P215" s="609"/>
      <c r="Q215" s="609">
        <f t="shared" si="65"/>
        <v>0</v>
      </c>
      <c r="R215" s="609">
        <f t="shared" si="65"/>
        <v>0</v>
      </c>
      <c r="S215" s="609">
        <f t="shared" si="65"/>
        <v>0</v>
      </c>
      <c r="T215" s="609">
        <f t="shared" si="65"/>
        <v>0</v>
      </c>
      <c r="U215" s="609">
        <f t="shared" si="65"/>
        <v>0</v>
      </c>
      <c r="V215" s="609">
        <f t="shared" si="65"/>
        <v>0</v>
      </c>
      <c r="W215" s="609">
        <f t="shared" si="65"/>
        <v>0</v>
      </c>
      <c r="X215" s="609">
        <f t="shared" si="64"/>
        <v>638.14597000000003</v>
      </c>
      <c r="Y215" s="609">
        <f t="shared" si="64"/>
        <v>689.92</v>
      </c>
      <c r="Z215" s="608">
        <f t="shared" si="63"/>
        <v>668.29219999999998</v>
      </c>
      <c r="AA215" s="608">
        <f t="shared" si="64"/>
        <v>480.09700000000004</v>
      </c>
      <c r="AB215" s="608">
        <f t="shared" si="64"/>
        <v>771.69899999999996</v>
      </c>
      <c r="AC215" s="608">
        <f t="shared" si="64"/>
        <v>0</v>
      </c>
      <c r="AD215" s="608">
        <f t="shared" si="64"/>
        <v>0</v>
      </c>
      <c r="AE215" s="608">
        <f t="shared" si="64"/>
        <v>0</v>
      </c>
      <c r="AF215" s="608">
        <f t="shared" si="64"/>
        <v>0</v>
      </c>
      <c r="AG215" s="608">
        <f t="shared" si="64"/>
        <v>0</v>
      </c>
      <c r="AH215" s="608">
        <f t="shared" si="64"/>
        <v>0</v>
      </c>
      <c r="AI215" s="608">
        <f t="shared" si="64"/>
        <v>0</v>
      </c>
      <c r="AJ215" s="608">
        <f t="shared" si="64"/>
        <v>0</v>
      </c>
      <c r="AK215" s="608">
        <f t="shared" si="64"/>
        <v>0</v>
      </c>
      <c r="AL215" s="608">
        <f t="shared" si="64"/>
        <v>0</v>
      </c>
    </row>
    <row r="216" spans="1:38" s="528" customFormat="1" ht="12">
      <c r="A216" s="533"/>
      <c r="B216" s="532"/>
      <c r="C216" s="533" t="s">
        <v>250</v>
      </c>
      <c r="E216" s="608"/>
      <c r="F216" s="608"/>
      <c r="G216" s="608"/>
      <c r="H216" s="608"/>
      <c r="I216" s="608"/>
      <c r="J216" s="608"/>
      <c r="K216" s="609"/>
      <c r="L216" s="609"/>
      <c r="M216" s="609"/>
      <c r="N216" s="609"/>
      <c r="O216" s="609"/>
      <c r="P216" s="609"/>
      <c r="Q216" s="609">
        <f t="shared" si="65"/>
        <v>5012</v>
      </c>
      <c r="R216" s="609">
        <f t="shared" si="65"/>
        <v>6693.84</v>
      </c>
      <c r="S216" s="609">
        <f t="shared" si="65"/>
        <v>6458.8696217613806</v>
      </c>
      <c r="T216" s="609">
        <f t="shared" si="65"/>
        <v>0</v>
      </c>
      <c r="U216" s="609">
        <f t="shared" si="65"/>
        <v>7314.301120000001</v>
      </c>
      <c r="V216" s="609">
        <f t="shared" si="65"/>
        <v>7314.301120000001</v>
      </c>
      <c r="W216" s="609">
        <f t="shared" si="65"/>
        <v>7001.5607999999993</v>
      </c>
      <c r="X216" s="609">
        <v>7138.8514565896321</v>
      </c>
      <c r="Y216" s="609">
        <f>X216*1.05</f>
        <v>7495.7940294191139</v>
      </c>
      <c r="Z216" s="608">
        <f t="shared" si="63"/>
        <v>8365.8120000000017</v>
      </c>
      <c r="AA216" s="609">
        <f t="shared" si="64"/>
        <v>4920.7040800000004</v>
      </c>
      <c r="AB216" s="609">
        <f t="shared" si="64"/>
        <v>9356.6565769396002</v>
      </c>
      <c r="AC216" s="609">
        <f t="shared" si="64"/>
        <v>9556.9844359620292</v>
      </c>
      <c r="AD216" s="609">
        <f t="shared" si="64"/>
        <v>10034.833657760131</v>
      </c>
      <c r="AE216" s="609">
        <f t="shared" si="64"/>
        <v>10536.575340648138</v>
      </c>
      <c r="AF216" s="609">
        <f t="shared" si="64"/>
        <v>11063.404107680546</v>
      </c>
      <c r="AG216" s="609">
        <f t="shared" si="64"/>
        <v>11616.574313064573</v>
      </c>
      <c r="AH216" s="609">
        <f t="shared" si="64"/>
        <v>12197.403028717801</v>
      </c>
      <c r="AI216" s="609">
        <f t="shared" si="64"/>
        <v>12807.273180153692</v>
      </c>
      <c r="AJ216" s="609">
        <f t="shared" si="64"/>
        <v>13447.636839161378</v>
      </c>
      <c r="AK216" s="609">
        <f t="shared" si="64"/>
        <v>14120.018681119447</v>
      </c>
      <c r="AL216" s="609">
        <f t="shared" si="64"/>
        <v>14826.019615175421</v>
      </c>
    </row>
    <row r="217" spans="1:38" s="528" customFormat="1" ht="12">
      <c r="A217" s="533"/>
      <c r="B217" s="532"/>
      <c r="C217" s="533" t="s">
        <v>251</v>
      </c>
      <c r="E217" s="608"/>
      <c r="F217" s="608"/>
      <c r="G217" s="608"/>
      <c r="H217" s="608"/>
      <c r="I217" s="608"/>
      <c r="J217" s="608"/>
      <c r="K217" s="609"/>
      <c r="L217" s="609"/>
      <c r="M217" s="609"/>
      <c r="N217" s="609"/>
      <c r="O217" s="609"/>
      <c r="P217" s="609"/>
      <c r="Q217" s="609">
        <f t="shared" si="65"/>
        <v>100.452393284417</v>
      </c>
      <c r="R217" s="609">
        <f t="shared" si="65"/>
        <v>141.93346339433737</v>
      </c>
      <c r="S217" s="609">
        <f t="shared" si="65"/>
        <v>137.30576600000001</v>
      </c>
      <c r="T217" s="609">
        <f t="shared" si="65"/>
        <v>0</v>
      </c>
      <c r="U217" s="609">
        <f t="shared" si="65"/>
        <v>151.10448894605511</v>
      </c>
      <c r="V217" s="609">
        <f t="shared" si="65"/>
        <v>151.10448894605511</v>
      </c>
      <c r="W217" s="609">
        <f t="shared" si="65"/>
        <v>144.05040000000002</v>
      </c>
      <c r="X217" s="609">
        <v>163.22110584000001</v>
      </c>
      <c r="Y217" s="609">
        <f>X217*1.05</f>
        <v>171.38216113200002</v>
      </c>
      <c r="Z217" s="608">
        <f t="shared" si="63"/>
        <v>117.96099</v>
      </c>
      <c r="AA217" s="609">
        <f t="shared" si="64"/>
        <v>114</v>
      </c>
      <c r="AB217" s="609">
        <f t="shared" si="64"/>
        <v>207.80190430976322</v>
      </c>
      <c r="AC217" s="609">
        <f t="shared" si="64"/>
        <v>220.270018568349</v>
      </c>
      <c r="AD217" s="609">
        <f t="shared" si="64"/>
        <v>233.48621968244998</v>
      </c>
      <c r="AE217" s="609">
        <f t="shared" si="64"/>
        <v>247.49539286339697</v>
      </c>
      <c r="AF217" s="609">
        <f t="shared" si="64"/>
        <v>262.34511643520079</v>
      </c>
      <c r="AG217" s="609">
        <f t="shared" si="64"/>
        <v>278.08582342131291</v>
      </c>
      <c r="AH217" s="609">
        <f t="shared" si="64"/>
        <v>294.77097282659167</v>
      </c>
      <c r="AI217" s="609">
        <f t="shared" si="64"/>
        <v>312.45723119618719</v>
      </c>
      <c r="AJ217" s="609">
        <f t="shared" si="64"/>
        <v>331.20466506795844</v>
      </c>
      <c r="AK217" s="609">
        <f t="shared" si="64"/>
        <v>351.07694497203596</v>
      </c>
      <c r="AL217" s="609">
        <f t="shared" si="64"/>
        <v>372.1415616703581</v>
      </c>
    </row>
    <row r="218" spans="1:38" s="528" customFormat="1" ht="12">
      <c r="A218" s="533"/>
      <c r="B218" s="532"/>
      <c r="C218" s="533" t="s">
        <v>227</v>
      </c>
      <c r="E218" s="608"/>
      <c r="F218" s="608"/>
      <c r="G218" s="608"/>
      <c r="H218" s="608"/>
      <c r="I218" s="608"/>
      <c r="J218" s="608"/>
      <c r="K218" s="609"/>
      <c r="L218" s="609"/>
      <c r="M218" s="609"/>
      <c r="N218" s="609"/>
      <c r="O218" s="609"/>
      <c r="P218" s="609"/>
      <c r="Q218" s="609"/>
      <c r="R218" s="609"/>
      <c r="S218" s="609"/>
      <c r="T218" s="609"/>
      <c r="U218" s="609"/>
      <c r="V218" s="609"/>
      <c r="W218" s="609"/>
      <c r="X218" s="609">
        <f t="shared" ref="X218:AH221" si="66">(X187/100)*X124</f>
        <v>208.89999999999998</v>
      </c>
      <c r="Y218" s="609">
        <f t="shared" si="66"/>
        <v>0</v>
      </c>
      <c r="Z218" s="608">
        <f t="shared" si="63"/>
        <v>767.30610000000001</v>
      </c>
      <c r="AA218" s="609">
        <f t="shared" si="66"/>
        <v>0</v>
      </c>
      <c r="AB218" s="609">
        <f t="shared" si="66"/>
        <v>643.08825284865611</v>
      </c>
      <c r="AC218" s="609">
        <f t="shared" si="66"/>
        <v>776.09177427411919</v>
      </c>
      <c r="AD218" s="609">
        <f t="shared" si="66"/>
        <v>931.310129128943</v>
      </c>
      <c r="AE218" s="609">
        <f t="shared" si="66"/>
        <v>1117.5721549547318</v>
      </c>
      <c r="AF218" s="609">
        <f t="shared" si="66"/>
        <v>1341.0865859456781</v>
      </c>
      <c r="AG218" s="609">
        <f t="shared" si="66"/>
        <v>1609.3039031348137</v>
      </c>
      <c r="AH218" s="609">
        <f t="shared" si="66"/>
        <v>1931.1646837617764</v>
      </c>
      <c r="AI218" s="609">
        <f t="shared" si="64"/>
        <v>2317.3976205141312</v>
      </c>
      <c r="AJ218" s="609">
        <f t="shared" si="64"/>
        <v>2780.8771446169576</v>
      </c>
      <c r="AK218" s="609">
        <f t="shared" si="64"/>
        <v>3337.0525735403485</v>
      </c>
      <c r="AL218" s="609">
        <f t="shared" si="64"/>
        <v>4004.463088248418</v>
      </c>
    </row>
    <row r="219" spans="1:38" s="528" customFormat="1" ht="12">
      <c r="A219" s="533"/>
      <c r="B219" s="532"/>
      <c r="C219" s="533" t="s">
        <v>228</v>
      </c>
      <c r="E219" s="608"/>
      <c r="F219" s="608"/>
      <c r="G219" s="608"/>
      <c r="H219" s="608"/>
      <c r="I219" s="608"/>
      <c r="J219" s="608"/>
      <c r="K219" s="609"/>
      <c r="L219" s="609"/>
      <c r="M219" s="609"/>
      <c r="N219" s="609"/>
      <c r="O219" s="609"/>
      <c r="P219" s="609"/>
      <c r="Q219" s="609"/>
      <c r="R219" s="609"/>
      <c r="S219" s="609"/>
      <c r="T219" s="609"/>
      <c r="U219" s="609"/>
      <c r="V219" s="609"/>
      <c r="W219" s="609"/>
      <c r="X219" s="609">
        <f t="shared" si="66"/>
        <v>0</v>
      </c>
      <c r="Y219" s="609">
        <f t="shared" si="66"/>
        <v>0</v>
      </c>
      <c r="Z219" s="608">
        <f t="shared" si="63"/>
        <v>387.20156000000003</v>
      </c>
      <c r="AA219" s="609">
        <f t="shared" si="66"/>
        <v>420.00000000000006</v>
      </c>
      <c r="AB219" s="609">
        <f t="shared" si="66"/>
        <v>421.54296392490005</v>
      </c>
      <c r="AC219" s="609">
        <f t="shared" si="66"/>
        <v>509.63295455854052</v>
      </c>
      <c r="AD219" s="609">
        <f t="shared" si="66"/>
        <v>611.55954547024862</v>
      </c>
      <c r="AE219" s="609">
        <f t="shared" si="66"/>
        <v>733.87145456429835</v>
      </c>
      <c r="AF219" s="609">
        <f t="shared" si="66"/>
        <v>880.64574547715802</v>
      </c>
      <c r="AG219" s="609">
        <f t="shared" si="66"/>
        <v>1056.7748945725898</v>
      </c>
      <c r="AH219" s="609">
        <f t="shared" si="66"/>
        <v>1268.1298734871077</v>
      </c>
      <c r="AI219" s="609">
        <f t="shared" si="64"/>
        <v>1521.7558481845292</v>
      </c>
      <c r="AJ219" s="609">
        <f t="shared" si="64"/>
        <v>1826.107017821435</v>
      </c>
      <c r="AK219" s="609">
        <f t="shared" si="64"/>
        <v>2191.3284213857219</v>
      </c>
      <c r="AL219" s="609">
        <f t="shared" si="64"/>
        <v>2629.5941056628662</v>
      </c>
    </row>
    <row r="220" spans="1:38" s="528" customFormat="1" ht="12">
      <c r="A220" s="533"/>
      <c r="B220" s="532"/>
      <c r="C220" s="533" t="s">
        <v>252</v>
      </c>
      <c r="E220" s="608"/>
      <c r="F220" s="608"/>
      <c r="G220" s="608"/>
      <c r="H220" s="608"/>
      <c r="I220" s="608"/>
      <c r="J220" s="608"/>
      <c r="K220" s="609"/>
      <c r="L220" s="609"/>
      <c r="M220" s="609"/>
      <c r="N220" s="609"/>
      <c r="O220" s="609"/>
      <c r="P220" s="609"/>
      <c r="Q220" s="609">
        <f t="shared" ref="Q220:W221" si="67">(Q189/100)*Q126</f>
        <v>222.00000000000006</v>
      </c>
      <c r="R220" s="609">
        <f t="shared" si="67"/>
        <v>241.49999999999997</v>
      </c>
      <c r="S220" s="609">
        <f t="shared" si="67"/>
        <v>322.48184545180004</v>
      </c>
      <c r="T220" s="609">
        <f t="shared" si="67"/>
        <v>0</v>
      </c>
      <c r="U220" s="609">
        <f t="shared" si="67"/>
        <v>345</v>
      </c>
      <c r="V220" s="609">
        <f t="shared" si="67"/>
        <v>345</v>
      </c>
      <c r="W220" s="609">
        <f t="shared" si="67"/>
        <v>253.9992</v>
      </c>
      <c r="X220" s="609">
        <f t="shared" si="66"/>
        <v>15.339234132323528</v>
      </c>
      <c r="Y220" s="609">
        <f t="shared" si="66"/>
        <v>0</v>
      </c>
      <c r="Z220" s="609">
        <v>111.705</v>
      </c>
      <c r="AA220" s="609">
        <f t="shared" si="66"/>
        <v>0</v>
      </c>
      <c r="AB220" s="609">
        <f t="shared" si="66"/>
        <v>0.89999999999999991</v>
      </c>
      <c r="AC220" s="609">
        <f t="shared" si="66"/>
        <v>0.94499999999999995</v>
      </c>
      <c r="AD220" s="609">
        <f t="shared" si="66"/>
        <v>1.0017</v>
      </c>
      <c r="AE220" s="609">
        <f t="shared" si="66"/>
        <v>1.0618019999999999</v>
      </c>
      <c r="AF220" s="609">
        <f t="shared" si="66"/>
        <v>1.1255101199999999</v>
      </c>
      <c r="AG220" s="609">
        <f t="shared" si="66"/>
        <v>1.1930407272000001</v>
      </c>
      <c r="AH220" s="609">
        <f t="shared" si="66"/>
        <v>1.2646231708320004</v>
      </c>
      <c r="AI220" s="609">
        <f t="shared" si="64"/>
        <v>1.3405005610819205</v>
      </c>
      <c r="AJ220" s="609">
        <f t="shared" si="64"/>
        <v>1.4209305947468358</v>
      </c>
      <c r="AK220" s="609">
        <f t="shared" si="64"/>
        <v>1.5061864304316461</v>
      </c>
      <c r="AL220" s="609">
        <f t="shared" si="64"/>
        <v>1.5965576162575448</v>
      </c>
    </row>
    <row r="221" spans="1:38" s="528" customFormat="1" ht="12">
      <c r="A221" s="533"/>
      <c r="B221" s="532"/>
      <c r="C221" s="533" t="s">
        <v>253</v>
      </c>
      <c r="E221" s="608"/>
      <c r="F221" s="608"/>
      <c r="G221" s="608"/>
      <c r="H221" s="608"/>
      <c r="I221" s="608"/>
      <c r="J221" s="608"/>
      <c r="K221" s="609"/>
      <c r="L221" s="609"/>
      <c r="M221" s="609"/>
      <c r="N221" s="609"/>
      <c r="O221" s="609"/>
      <c r="P221" s="609"/>
      <c r="Q221" s="609">
        <f t="shared" si="67"/>
        <v>2702.9999999999991</v>
      </c>
      <c r="R221" s="609">
        <f t="shared" si="67"/>
        <v>3603.9999999999982</v>
      </c>
      <c r="S221" s="609">
        <f t="shared" si="67"/>
        <v>3911.4804635116943</v>
      </c>
      <c r="T221" s="609">
        <f t="shared" si="67"/>
        <v>0</v>
      </c>
      <c r="U221" s="609">
        <f t="shared" si="67"/>
        <v>3784.1999999999985</v>
      </c>
      <c r="V221" s="609">
        <f t="shared" si="67"/>
        <v>3784.1999999999985</v>
      </c>
      <c r="W221" s="609">
        <f t="shared" si="67"/>
        <v>2100.8626967660116</v>
      </c>
      <c r="X221" s="609">
        <f t="shared" si="66"/>
        <v>3217.8469991360912</v>
      </c>
      <c r="Y221" s="609">
        <f>X221*1.05</f>
        <v>3378.7393490928957</v>
      </c>
      <c r="Z221" s="608">
        <f>(Z190/100)*Z127</f>
        <v>2258.6758043698801</v>
      </c>
      <c r="AA221" s="609">
        <f>(AA190/100)*(AA127+AA128)</f>
        <v>2929.0804200000002</v>
      </c>
      <c r="AB221" s="609">
        <v>2929</v>
      </c>
      <c r="AC221" s="609">
        <f t="shared" si="66"/>
        <v>2982.0633109810165</v>
      </c>
      <c r="AD221" s="609">
        <f t="shared" si="66"/>
        <v>3190.8077427496878</v>
      </c>
      <c r="AE221" s="609">
        <f t="shared" si="66"/>
        <v>3414.1642847421663</v>
      </c>
      <c r="AF221" s="609">
        <f t="shared" si="66"/>
        <v>3653.1557846741184</v>
      </c>
      <c r="AG221" s="609">
        <f t="shared" si="66"/>
        <v>3908.8766896013067</v>
      </c>
      <c r="AH221" s="609">
        <f t="shared" si="66"/>
        <v>4182.4980578733985</v>
      </c>
      <c r="AI221" s="609">
        <f t="shared" si="64"/>
        <v>4475.2729219245357</v>
      </c>
      <c r="AJ221" s="609">
        <f t="shared" si="64"/>
        <v>4788.542026459254</v>
      </c>
      <c r="AK221" s="609">
        <f t="shared" si="64"/>
        <v>5123.7399683114027</v>
      </c>
      <c r="AL221" s="609">
        <f t="shared" si="64"/>
        <v>5482.4017660932004</v>
      </c>
    </row>
    <row r="222" spans="1:38" s="528" customFormat="1" ht="12">
      <c r="A222" s="533"/>
      <c r="B222" s="532"/>
      <c r="C222" s="533" t="s">
        <v>254</v>
      </c>
      <c r="E222" s="608"/>
      <c r="F222" s="608"/>
      <c r="G222" s="608"/>
      <c r="H222" s="608"/>
      <c r="I222" s="608"/>
      <c r="J222" s="608"/>
      <c r="K222" s="609"/>
      <c r="L222" s="609"/>
      <c r="M222" s="609"/>
      <c r="N222" s="609"/>
      <c r="O222" s="609"/>
      <c r="P222" s="609"/>
      <c r="Q222" s="609"/>
      <c r="R222" s="609"/>
      <c r="S222" s="609"/>
      <c r="T222" s="609"/>
      <c r="U222" s="609"/>
      <c r="V222" s="609"/>
      <c r="W222" s="609"/>
      <c r="X222" s="609"/>
      <c r="Y222" s="609"/>
      <c r="Z222" s="609"/>
      <c r="AA222" s="609"/>
      <c r="AB222" s="609"/>
      <c r="AC222" s="609"/>
      <c r="AD222" s="609"/>
      <c r="AE222" s="609"/>
      <c r="AF222" s="609"/>
      <c r="AG222" s="609"/>
      <c r="AH222" s="609"/>
      <c r="AI222" s="609"/>
      <c r="AJ222" s="609"/>
      <c r="AK222" s="609"/>
      <c r="AL222" s="609"/>
    </row>
    <row r="223" spans="1:38" s="528" customFormat="1" ht="12">
      <c r="A223" s="533"/>
      <c r="B223" s="532"/>
      <c r="C223" s="507" t="s">
        <v>263</v>
      </c>
      <c r="E223" s="608">
        <f t="shared" ref="E223:AH223" si="68">(E192/100)*E129</f>
        <v>351.00721217609379</v>
      </c>
      <c r="F223" s="608">
        <f t="shared" si="68"/>
        <v>411.56032346206064</v>
      </c>
      <c r="G223" s="608">
        <f t="shared" si="68"/>
        <v>1101.3179449746565</v>
      </c>
      <c r="H223" s="608">
        <f t="shared" si="68"/>
        <v>2014.2823016733068</v>
      </c>
      <c r="I223" s="608">
        <f t="shared" si="68"/>
        <v>2030.9350955164282</v>
      </c>
      <c r="J223" s="608">
        <f t="shared" si="68"/>
        <v>3197.7217877629469</v>
      </c>
      <c r="K223" s="609">
        <f t="shared" si="68"/>
        <v>2993.2668497330892</v>
      </c>
      <c r="L223" s="609">
        <f t="shared" si="68"/>
        <v>3969.237337750104</v>
      </c>
      <c r="M223" s="609">
        <f t="shared" si="68"/>
        <v>3761.2</v>
      </c>
      <c r="N223" s="609">
        <f t="shared" si="68"/>
        <v>1106.8761666744163</v>
      </c>
      <c r="O223" s="609">
        <f t="shared" si="68"/>
        <v>4903.8274860307374</v>
      </c>
      <c r="P223" s="609">
        <f t="shared" si="68"/>
        <v>0</v>
      </c>
      <c r="Q223" s="609">
        <f t="shared" si="68"/>
        <v>0</v>
      </c>
      <c r="R223" s="609">
        <f t="shared" si="68"/>
        <v>0</v>
      </c>
      <c r="S223" s="609">
        <f t="shared" si="68"/>
        <v>0</v>
      </c>
      <c r="T223" s="609">
        <f t="shared" si="68"/>
        <v>0</v>
      </c>
      <c r="U223" s="609">
        <f t="shared" si="68"/>
        <v>0</v>
      </c>
      <c r="V223" s="609">
        <f t="shared" si="68"/>
        <v>0</v>
      </c>
      <c r="W223" s="609">
        <f t="shared" si="68"/>
        <v>0</v>
      </c>
      <c r="X223" s="609">
        <f t="shared" si="68"/>
        <v>0</v>
      </c>
      <c r="Y223" s="609">
        <f t="shared" si="68"/>
        <v>0</v>
      </c>
      <c r="Z223" s="609">
        <f t="shared" si="68"/>
        <v>0</v>
      </c>
      <c r="AA223" s="609">
        <f t="shared" si="68"/>
        <v>0</v>
      </c>
      <c r="AB223" s="609">
        <f t="shared" si="68"/>
        <v>0</v>
      </c>
      <c r="AC223" s="609">
        <f t="shared" si="68"/>
        <v>0</v>
      </c>
      <c r="AD223" s="609">
        <f t="shared" si="68"/>
        <v>0</v>
      </c>
      <c r="AE223" s="609">
        <f t="shared" si="68"/>
        <v>0</v>
      </c>
      <c r="AF223" s="609">
        <f t="shared" si="68"/>
        <v>0</v>
      </c>
      <c r="AG223" s="609">
        <f t="shared" si="68"/>
        <v>0</v>
      </c>
      <c r="AH223" s="609">
        <f t="shared" si="68"/>
        <v>0</v>
      </c>
      <c r="AI223" s="609">
        <f>(AI192/100)*AI129</f>
        <v>0</v>
      </c>
      <c r="AJ223" s="609">
        <f>(AJ192/100)*AJ129</f>
        <v>0</v>
      </c>
      <c r="AK223" s="609">
        <f>(AK192/100)*AK129</f>
        <v>0</v>
      </c>
      <c r="AL223" s="609">
        <f>(AL192/100)*AL129</f>
        <v>0</v>
      </c>
    </row>
    <row r="224" spans="1:38" s="540" customFormat="1" ht="12">
      <c r="B224" s="541"/>
      <c r="C224" s="542" t="s">
        <v>266</v>
      </c>
      <c r="D224" s="611"/>
      <c r="E224" s="612">
        <f t="shared" ref="E224:AH224" si="69">SUM(E198:E223)</f>
        <v>21790.21369394704</v>
      </c>
      <c r="F224" s="612">
        <f t="shared" si="69"/>
        <v>29384.11680701478</v>
      </c>
      <c r="G224" s="612">
        <f t="shared" si="69"/>
        <v>36498.479197528941</v>
      </c>
      <c r="H224" s="612">
        <f t="shared" si="69"/>
        <v>41721.060921006007</v>
      </c>
      <c r="I224" s="612">
        <f t="shared" si="69"/>
        <v>46340.85916466362</v>
      </c>
      <c r="J224" s="612">
        <f t="shared" si="69"/>
        <v>49156.356317447498</v>
      </c>
      <c r="K224" s="613">
        <f t="shared" si="69"/>
        <v>41626.891099484099</v>
      </c>
      <c r="L224" s="613">
        <f t="shared" si="69"/>
        <v>55882.844728989396</v>
      </c>
      <c r="M224" s="613">
        <f t="shared" si="69"/>
        <v>56125.1261669698</v>
      </c>
      <c r="N224" s="613">
        <f t="shared" si="69"/>
        <v>14441.920200602357</v>
      </c>
      <c r="O224" s="613">
        <f t="shared" si="69"/>
        <v>65718.62989231087</v>
      </c>
      <c r="P224" s="613">
        <f t="shared" si="69"/>
        <v>31748.192851393709</v>
      </c>
      <c r="Q224" s="613">
        <f t="shared" si="69"/>
        <v>56086.642579250816</v>
      </c>
      <c r="R224" s="613">
        <f t="shared" si="69"/>
        <v>74816.543502155851</v>
      </c>
      <c r="S224" s="613">
        <f t="shared" si="69"/>
        <v>78290.703566585566</v>
      </c>
      <c r="T224" s="613">
        <f t="shared" si="69"/>
        <v>0</v>
      </c>
      <c r="U224" s="613">
        <f t="shared" si="69"/>
        <v>86368.605608946062</v>
      </c>
      <c r="V224" s="613">
        <f t="shared" si="69"/>
        <v>86368.605608946062</v>
      </c>
      <c r="W224" s="613">
        <f t="shared" si="69"/>
        <v>79225.04559882055</v>
      </c>
      <c r="X224" s="613">
        <f t="shared" si="69"/>
        <v>76396.829765698043</v>
      </c>
      <c r="Y224" s="613">
        <f t="shared" si="69"/>
        <v>80756.635539644005</v>
      </c>
      <c r="Z224" s="613">
        <f t="shared" si="69"/>
        <v>63799.69461955029</v>
      </c>
      <c r="AA224" s="612">
        <f>SUM(AA198:AA223)+1625+216</f>
        <v>66143.337499999994</v>
      </c>
      <c r="AB224" s="612">
        <f>SUM(AB198:AB223)+1625+216</f>
        <v>64411.032657911514</v>
      </c>
      <c r="AC224" s="612">
        <f t="shared" si="69"/>
        <v>70768.036038231236</v>
      </c>
      <c r="AD224" s="612">
        <f t="shared" si="69"/>
        <v>78545.858724342848</v>
      </c>
      <c r="AE224" s="612">
        <f t="shared" si="69"/>
        <v>87461.397501442785</v>
      </c>
      <c r="AF224" s="612">
        <f t="shared" si="69"/>
        <v>97658.295438497371</v>
      </c>
      <c r="AG224" s="612">
        <f t="shared" si="69"/>
        <v>109372.15274503405</v>
      </c>
      <c r="AH224" s="612">
        <f t="shared" si="69"/>
        <v>118600.44814571957</v>
      </c>
      <c r="AI224" s="612">
        <f>SUM(AI198:AI223)</f>
        <v>128970.78887957234</v>
      </c>
      <c r="AJ224" s="612">
        <f>SUM(AJ198:AJ223)</f>
        <v>140665.05772248685</v>
      </c>
      <c r="AK224" s="612">
        <f>SUM(AK198:AK223)</f>
        <v>153897.72506596724</v>
      </c>
      <c r="AL224" s="612">
        <f>SUM(AL198:AL223)</f>
        <v>168921.99226462306</v>
      </c>
    </row>
    <row r="225" spans="1:38" s="528" customFormat="1" thickBot="1">
      <c r="B225" s="544"/>
      <c r="C225" s="545"/>
      <c r="D225" s="546"/>
      <c r="E225" s="588"/>
      <c r="F225" s="588"/>
      <c r="G225" s="588"/>
      <c r="H225" s="588"/>
      <c r="I225" s="588"/>
      <c r="J225" s="588"/>
      <c r="K225" s="589"/>
      <c r="L225" s="589"/>
      <c r="M225" s="590"/>
      <c r="N225" s="590"/>
      <c r="O225" s="589"/>
      <c r="P225" s="589"/>
      <c r="Q225" s="589"/>
      <c r="R225" s="590"/>
      <c r="S225" s="589"/>
      <c r="T225" s="590"/>
      <c r="U225" s="590"/>
      <c r="V225" s="590"/>
      <c r="W225" s="590"/>
      <c r="X225" s="590"/>
      <c r="Y225" s="590"/>
      <c r="Z225" s="590"/>
      <c r="AA225" s="591"/>
      <c r="AB225" s="591"/>
      <c r="AC225" s="591"/>
      <c r="AD225" s="591"/>
      <c r="AE225" s="591"/>
      <c r="AF225" s="591"/>
      <c r="AG225" s="591"/>
      <c r="AH225" s="591"/>
      <c r="AI225" s="591"/>
      <c r="AJ225" s="591"/>
      <c r="AK225" s="591"/>
      <c r="AL225" s="591"/>
    </row>
    <row r="226" spans="1:38" s="528" customFormat="1" thickBot="1">
      <c r="Q226" s="516"/>
      <c r="R226" s="516"/>
      <c r="T226" s="516"/>
      <c r="U226" s="516"/>
      <c r="V226" s="516"/>
      <c r="W226" s="516"/>
      <c r="X226" s="516"/>
      <c r="Y226" s="516"/>
      <c r="Z226" s="516"/>
    </row>
    <row r="227" spans="1:38" s="528" customFormat="1" ht="12">
      <c r="B227" s="529"/>
      <c r="C227" s="530"/>
      <c r="D227" s="531"/>
      <c r="E227" s="596"/>
      <c r="F227" s="596"/>
      <c r="G227" s="596"/>
      <c r="H227" s="596"/>
      <c r="I227" s="596"/>
      <c r="J227" s="596"/>
      <c r="K227" s="597"/>
      <c r="L227" s="597"/>
      <c r="M227" s="598"/>
      <c r="N227" s="598"/>
      <c r="O227" s="597"/>
      <c r="P227" s="597"/>
      <c r="Q227" s="597"/>
      <c r="R227" s="598"/>
      <c r="S227" s="597"/>
      <c r="T227" s="598"/>
      <c r="U227" s="598"/>
      <c r="V227" s="598"/>
      <c r="W227" s="598"/>
      <c r="X227" s="598"/>
      <c r="Y227" s="598"/>
      <c r="Z227" s="598"/>
      <c r="AA227" s="599"/>
      <c r="AB227" s="599"/>
      <c r="AC227" s="599"/>
      <c r="AD227" s="599"/>
      <c r="AE227" s="599"/>
      <c r="AF227" s="599"/>
      <c r="AG227" s="599"/>
      <c r="AH227" s="599"/>
      <c r="AI227" s="599"/>
      <c r="AJ227" s="599"/>
      <c r="AK227" s="599"/>
      <c r="AL227" s="599"/>
    </row>
    <row r="228" spans="1:38" s="528" customFormat="1" ht="12">
      <c r="B228" s="532"/>
      <c r="C228" s="614" t="s">
        <v>267</v>
      </c>
      <c r="D228" s="540"/>
      <c r="K228" s="516"/>
      <c r="L228" s="516"/>
      <c r="M228" s="581"/>
      <c r="N228" s="581"/>
      <c r="O228" s="516"/>
      <c r="P228" s="516"/>
      <c r="Q228" s="516"/>
      <c r="R228" s="581"/>
      <c r="S228" s="516"/>
      <c r="T228" s="581"/>
      <c r="U228" s="581"/>
      <c r="V228" s="581"/>
      <c r="W228" s="581"/>
      <c r="X228" s="581"/>
      <c r="Y228" s="581"/>
      <c r="Z228" s="581"/>
      <c r="AA228" s="582"/>
      <c r="AB228" s="582"/>
      <c r="AC228" s="582"/>
      <c r="AD228" s="582"/>
      <c r="AE228" s="582"/>
      <c r="AF228" s="582"/>
      <c r="AG228" s="582"/>
      <c r="AH228" s="582"/>
      <c r="AI228" s="582"/>
      <c r="AJ228" s="582"/>
      <c r="AK228" s="582"/>
      <c r="AL228" s="582"/>
    </row>
    <row r="229" spans="1:38" s="528" customFormat="1" ht="12">
      <c r="A229" s="507"/>
      <c r="B229" s="532"/>
      <c r="C229" s="507" t="s">
        <v>237</v>
      </c>
      <c r="D229" s="615"/>
      <c r="E229" s="608">
        <f t="shared" ref="E229:T239" si="70">E104*E137-E198</f>
        <v>2266.8753689432779</v>
      </c>
      <c r="F229" s="608">
        <f t="shared" si="70"/>
        <v>2459.9204162505521</v>
      </c>
      <c r="G229" s="608">
        <f t="shared" si="70"/>
        <v>6928.5422730744212</v>
      </c>
      <c r="H229" s="608">
        <f t="shared" si="70"/>
        <v>15969.965890000014</v>
      </c>
      <c r="I229" s="608">
        <f t="shared" si="70"/>
        <v>28536.124114248072</v>
      </c>
      <c r="J229" s="608">
        <f t="shared" si="70"/>
        <v>18532.506078323695</v>
      </c>
      <c r="K229" s="609">
        <f t="shared" si="70"/>
        <v>9550.358885634294</v>
      </c>
      <c r="L229" s="609">
        <f t="shared" si="70"/>
        <v>15457.600448897578</v>
      </c>
      <c r="M229" s="609">
        <f t="shared" si="70"/>
        <v>12894.514171683481</v>
      </c>
      <c r="N229" s="609">
        <f t="shared" si="70"/>
        <v>-285.12107567086423</v>
      </c>
      <c r="O229" s="609">
        <f t="shared" si="70"/>
        <v>13813.205032157326</v>
      </c>
      <c r="P229" s="609">
        <f t="shared" si="70"/>
        <v>5791.7865443219616</v>
      </c>
      <c r="Q229" s="609">
        <f t="shared" si="70"/>
        <v>7796.4640016350568</v>
      </c>
      <c r="R229" s="609">
        <f t="shared" si="70"/>
        <v>12773.319999999996</v>
      </c>
      <c r="S229" s="609">
        <f t="shared" si="70"/>
        <v>16080.685387982678</v>
      </c>
      <c r="T229" s="609">
        <f t="shared" si="70"/>
        <v>0</v>
      </c>
      <c r="U229" s="609">
        <f>U104*U137-U198</f>
        <v>18480</v>
      </c>
      <c r="V229" s="609">
        <f>V104*V137-V198</f>
        <v>18480</v>
      </c>
      <c r="W229" s="609">
        <f>W104*W137-W198</f>
        <v>21002.659665304214</v>
      </c>
      <c r="X229" s="609">
        <f>-X264+X298</f>
        <v>11244</v>
      </c>
      <c r="Y229" s="609">
        <f>-Y264+Y298</f>
        <v>17242</v>
      </c>
      <c r="Z229" s="608">
        <f>Z104*Z137-Z198</f>
        <v>7391.0594387016263</v>
      </c>
      <c r="AA229" s="609">
        <f>-AA264+AA298</f>
        <v>14920.127632936212</v>
      </c>
      <c r="AB229" s="608">
        <f t="shared" ref="AB229:AL244" si="71">AB104*AB137-AB198</f>
        <v>9531.983380053618</v>
      </c>
      <c r="AC229" s="608">
        <f t="shared" si="71"/>
        <v>9828.7468857190761</v>
      </c>
      <c r="AD229" s="608">
        <f t="shared" si="71"/>
        <v>10615.046636576601</v>
      </c>
      <c r="AE229" s="608">
        <f t="shared" si="71"/>
        <v>11464.250367502729</v>
      </c>
      <c r="AF229" s="608">
        <f t="shared" si="71"/>
        <v>12381.390396902949</v>
      </c>
      <c r="AG229" s="608">
        <f t="shared" si="71"/>
        <v>13371.901628655189</v>
      </c>
      <c r="AH229" s="608">
        <f t="shared" si="71"/>
        <v>17100.604967414813</v>
      </c>
      <c r="AI229" s="608">
        <f t="shared" si="71"/>
        <v>17955.635215785551</v>
      </c>
      <c r="AJ229" s="608">
        <f t="shared" si="71"/>
        <v>18853.416976574827</v>
      </c>
      <c r="AK229" s="608">
        <f t="shared" si="71"/>
        <v>19796.087825403571</v>
      </c>
      <c r="AL229" s="608">
        <f t="shared" si="71"/>
        <v>20785.892216673754</v>
      </c>
    </row>
    <row r="230" spans="1:38" s="528" customFormat="1" ht="12">
      <c r="A230" s="507"/>
      <c r="B230" s="532"/>
      <c r="C230" s="507" t="s">
        <v>238</v>
      </c>
      <c r="D230" s="615"/>
      <c r="E230" s="608">
        <f t="shared" si="70"/>
        <v>1140.6202606935294</v>
      </c>
      <c r="F230" s="608">
        <f t="shared" si="70"/>
        <v>938.49431106754491</v>
      </c>
      <c r="G230" s="608">
        <f t="shared" si="70"/>
        <v>4049.3161584170994</v>
      </c>
      <c r="H230" s="608">
        <f t="shared" si="70"/>
        <v>7234.9009999999653</v>
      </c>
      <c r="I230" s="608">
        <f t="shared" si="70"/>
        <v>11571.215251589769</v>
      </c>
      <c r="J230" s="608">
        <f t="shared" si="70"/>
        <v>1348.126000000002</v>
      </c>
      <c r="K230" s="609">
        <f t="shared" si="70"/>
        <v>-3563.290711795109</v>
      </c>
      <c r="L230" s="609">
        <f>L105*L138-L199+L260</f>
        <v>-3631.6929999999993</v>
      </c>
      <c r="M230" s="609">
        <f>M105*M138-M199+M260</f>
        <v>-3946.9821741735677</v>
      </c>
      <c r="N230" s="609">
        <f>N105*N138-N199+N260</f>
        <v>631.67700000000104</v>
      </c>
      <c r="O230" s="609">
        <f>O105*O138-O199+O260</f>
        <v>438.94864000000052</v>
      </c>
      <c r="P230" s="609">
        <f>P105*P138-P199</f>
        <v>177.84368000000177</v>
      </c>
      <c r="Q230" s="609">
        <f t="shared" si="70"/>
        <v>962.21268000001874</v>
      </c>
      <c r="R230" s="609">
        <f>R105*R138-R199+R260</f>
        <v>2877.8092580084722</v>
      </c>
      <c r="S230" s="609">
        <f>S105*S138-S199+S260</f>
        <v>2721.8892000000033</v>
      </c>
      <c r="T230" s="609">
        <v>0</v>
      </c>
      <c r="U230" s="609">
        <f t="shared" ref="U230:Z230" si="72">U105*U138-U199+U260</f>
        <v>3603.9999999999982</v>
      </c>
      <c r="V230" s="609">
        <f t="shared" si="72"/>
        <v>3603.9999999999982</v>
      </c>
      <c r="W230" s="609">
        <f t="shared" si="72"/>
        <v>3133.8417200000113</v>
      </c>
      <c r="X230" s="609">
        <f t="shared" si="72"/>
        <v>-2911.232</v>
      </c>
      <c r="Y230" s="609">
        <f t="shared" si="72"/>
        <v>-4.6049999999995634</v>
      </c>
      <c r="Z230" s="609">
        <f t="shared" si="72"/>
        <v>1336.2763554926387</v>
      </c>
      <c r="AA230" s="609">
        <f>AA105*AA138-AA199+AA260</f>
        <v>-941.23613999999907</v>
      </c>
      <c r="AB230" s="609">
        <f t="shared" si="71"/>
        <v>-4656.5580099999825</v>
      </c>
      <c r="AC230" s="608">
        <f t="shared" si="71"/>
        <v>0</v>
      </c>
      <c r="AD230" s="608">
        <f t="shared" si="71"/>
        <v>0</v>
      </c>
      <c r="AE230" s="608">
        <f t="shared" si="71"/>
        <v>0</v>
      </c>
      <c r="AF230" s="608">
        <f t="shared" si="71"/>
        <v>0</v>
      </c>
      <c r="AG230" s="608">
        <f t="shared" si="71"/>
        <v>0</v>
      </c>
      <c r="AH230" s="608">
        <f t="shared" si="71"/>
        <v>915.83314615645577</v>
      </c>
      <c r="AI230" s="608">
        <f t="shared" si="71"/>
        <v>947.88730627192854</v>
      </c>
      <c r="AJ230" s="608">
        <f t="shared" si="71"/>
        <v>981.06336199144789</v>
      </c>
      <c r="AK230" s="608">
        <f t="shared" si="71"/>
        <v>1015.4005796611455</v>
      </c>
      <c r="AL230" s="608">
        <f t="shared" si="71"/>
        <v>1050.9395999492881</v>
      </c>
    </row>
    <row r="231" spans="1:38" s="528" customFormat="1" ht="12">
      <c r="A231" s="507"/>
      <c r="B231" s="532"/>
      <c r="C231" s="507" t="s">
        <v>239</v>
      </c>
      <c r="D231" s="615"/>
      <c r="E231" s="608">
        <f t="shared" si="70"/>
        <v>2303.9572377756949</v>
      </c>
      <c r="F231" s="608">
        <f t="shared" si="70"/>
        <v>3946.2035396818965</v>
      </c>
      <c r="G231" s="608">
        <f t="shared" si="70"/>
        <v>4549.6191450481911</v>
      </c>
      <c r="H231" s="608">
        <f t="shared" si="70"/>
        <v>6563.8913868131312</v>
      </c>
      <c r="I231" s="608">
        <f t="shared" si="70"/>
        <v>7240.0461422405369</v>
      </c>
      <c r="J231" s="608">
        <f t="shared" si="70"/>
        <v>2168.7261158177007</v>
      </c>
      <c r="K231" s="609">
        <f t="shared" si="70"/>
        <v>3269.7305023571462</v>
      </c>
      <c r="L231" s="609">
        <f t="shared" si="70"/>
        <v>4967.5816772914413</v>
      </c>
      <c r="M231" s="609">
        <f t="shared" si="70"/>
        <v>4232.0469596443736</v>
      </c>
      <c r="N231" s="609">
        <f t="shared" si="70"/>
        <v>967.58431975635722</v>
      </c>
      <c r="O231" s="609">
        <f t="shared" si="70"/>
        <v>4812.0646075308032</v>
      </c>
      <c r="P231" s="609">
        <f>P106*P139-P200</f>
        <v>4783.2946430864422</v>
      </c>
      <c r="Q231" s="609">
        <f t="shared" si="70"/>
        <v>7430.6954127004065</v>
      </c>
      <c r="R231" s="609">
        <f t="shared" si="70"/>
        <v>9417.2052146153455</v>
      </c>
      <c r="S231" s="609">
        <f t="shared" si="70"/>
        <v>9301.1130440574671</v>
      </c>
      <c r="T231" s="609">
        <f t="shared" si="70"/>
        <v>0</v>
      </c>
      <c r="U231" s="609">
        <f t="shared" ref="U231:W239" si="73">U106*U139-U200</f>
        <v>8000</v>
      </c>
      <c r="V231" s="609">
        <f t="shared" si="73"/>
        <v>8000</v>
      </c>
      <c r="W231" s="609">
        <f t="shared" si="73"/>
        <v>6245.8854224460883</v>
      </c>
      <c r="X231" s="609">
        <f t="shared" ref="X231:AA235" si="74">-X266+X300</f>
        <v>7085</v>
      </c>
      <c r="Y231" s="609">
        <f t="shared" si="74"/>
        <v>3445</v>
      </c>
      <c r="Z231" s="608">
        <f t="shared" ref="Z231:Z236" si="75">Z106*Z139-Z200</f>
        <v>2753.7152753247301</v>
      </c>
      <c r="AA231" s="609">
        <f t="shared" si="74"/>
        <v>2313</v>
      </c>
      <c r="AB231" s="608">
        <f t="shared" si="71"/>
        <v>2214.0605783065548</v>
      </c>
      <c r="AC231" s="608">
        <f t="shared" si="71"/>
        <v>1305.630806806892</v>
      </c>
      <c r="AD231" s="608">
        <f t="shared" si="71"/>
        <v>1436.1938874875814</v>
      </c>
      <c r="AE231" s="608">
        <f t="shared" si="71"/>
        <v>1579.8132762363402</v>
      </c>
      <c r="AF231" s="608">
        <f t="shared" si="71"/>
        <v>1737.7946038599748</v>
      </c>
      <c r="AG231" s="608">
        <f t="shared" si="71"/>
        <v>1911.5740642459714</v>
      </c>
      <c r="AH231" s="608">
        <f t="shared" si="71"/>
        <v>3377.1141801678823</v>
      </c>
      <c r="AI231" s="608">
        <f t="shared" si="71"/>
        <v>3579.7410309779571</v>
      </c>
      <c r="AJ231" s="608">
        <f t="shared" si="71"/>
        <v>3794.5254928366339</v>
      </c>
      <c r="AK231" s="608">
        <f t="shared" si="71"/>
        <v>4022.1970224068318</v>
      </c>
      <c r="AL231" s="608">
        <f t="shared" si="71"/>
        <v>4263.5288437512427</v>
      </c>
    </row>
    <row r="232" spans="1:38" s="528" customFormat="1" ht="12">
      <c r="A232" s="507"/>
      <c r="B232" s="532"/>
      <c r="C232" s="507" t="s">
        <v>240</v>
      </c>
      <c r="D232" s="615"/>
      <c r="E232" s="608">
        <f t="shared" si="70"/>
        <v>0</v>
      </c>
      <c r="F232" s="608">
        <f t="shared" si="70"/>
        <v>0</v>
      </c>
      <c r="G232" s="608">
        <f t="shared" si="70"/>
        <v>0</v>
      </c>
      <c r="H232" s="608">
        <f t="shared" si="70"/>
        <v>0</v>
      </c>
      <c r="I232" s="608">
        <f t="shared" si="70"/>
        <v>0</v>
      </c>
      <c r="J232" s="608">
        <f t="shared" si="70"/>
        <v>658.88258839788648</v>
      </c>
      <c r="K232" s="609">
        <f t="shared" si="70"/>
        <v>758.48086258293131</v>
      </c>
      <c r="L232" s="609">
        <f t="shared" si="70"/>
        <v>664.52679045901436</v>
      </c>
      <c r="M232" s="609">
        <f t="shared" si="70"/>
        <v>601</v>
      </c>
      <c r="N232" s="609">
        <f t="shared" si="70"/>
        <v>-123.77037950869685</v>
      </c>
      <c r="O232" s="609">
        <f t="shared" si="70"/>
        <v>-191.13068111548102</v>
      </c>
      <c r="P232" s="609">
        <f>P107*P140-P201</f>
        <v>-202.84997612427634</v>
      </c>
      <c r="Q232" s="609">
        <f t="shared" si="70"/>
        <v>-258.83349674930776</v>
      </c>
      <c r="R232" s="609">
        <f t="shared" si="70"/>
        <v>-90.065264684552972</v>
      </c>
      <c r="S232" s="609">
        <f t="shared" si="70"/>
        <v>-405.64270405578418</v>
      </c>
      <c r="T232" s="609">
        <f t="shared" si="70"/>
        <v>0</v>
      </c>
      <c r="U232" s="609">
        <f t="shared" si="73"/>
        <v>150</v>
      </c>
      <c r="V232" s="609">
        <f t="shared" si="73"/>
        <v>150</v>
      </c>
      <c r="W232" s="609">
        <f t="shared" si="73"/>
        <v>121.77888138239189</v>
      </c>
      <c r="X232" s="609">
        <f t="shared" si="74"/>
        <v>945.88000000000011</v>
      </c>
      <c r="Y232" s="609">
        <f t="shared" si="74"/>
        <v>337.7600000000001</v>
      </c>
      <c r="Z232" s="608">
        <f t="shared" si="75"/>
        <v>870.85248881755342</v>
      </c>
      <c r="AA232" s="609">
        <f t="shared" si="74"/>
        <v>858</v>
      </c>
      <c r="AB232" s="608">
        <f t="shared" si="71"/>
        <v>117.15192311696001</v>
      </c>
      <c r="AC232" s="608">
        <f t="shared" si="71"/>
        <v>127.5605878470061</v>
      </c>
      <c r="AD232" s="608">
        <f t="shared" si="71"/>
        <v>135.21422311782646</v>
      </c>
      <c r="AE232" s="608">
        <f t="shared" si="71"/>
        <v>143.32707650489613</v>
      </c>
      <c r="AF232" s="608">
        <f t="shared" si="71"/>
        <v>151.92670109518986</v>
      </c>
      <c r="AG232" s="608">
        <f t="shared" si="71"/>
        <v>161.04230316090127</v>
      </c>
      <c r="AH232" s="608">
        <f t="shared" si="71"/>
        <v>628.06498232751505</v>
      </c>
      <c r="AI232" s="608">
        <f t="shared" si="71"/>
        <v>653.1875816206159</v>
      </c>
      <c r="AJ232" s="608">
        <f t="shared" si="71"/>
        <v>679.31508488544046</v>
      </c>
      <c r="AK232" s="608">
        <f t="shared" si="71"/>
        <v>706.48768828085826</v>
      </c>
      <c r="AL232" s="608">
        <f t="shared" si="71"/>
        <v>734.74719581209251</v>
      </c>
    </row>
    <row r="233" spans="1:38" s="528" customFormat="1" ht="12">
      <c r="A233" s="507"/>
      <c r="B233" s="532"/>
      <c r="C233" s="507" t="s">
        <v>223</v>
      </c>
      <c r="D233" s="615"/>
      <c r="E233" s="608">
        <f t="shared" si="70"/>
        <v>0</v>
      </c>
      <c r="F233" s="608">
        <f t="shared" si="70"/>
        <v>0</v>
      </c>
      <c r="G233" s="608">
        <f t="shared" si="70"/>
        <v>0</v>
      </c>
      <c r="H233" s="608">
        <f t="shared" si="70"/>
        <v>0</v>
      </c>
      <c r="I233" s="608">
        <f t="shared" si="70"/>
        <v>0</v>
      </c>
      <c r="J233" s="608">
        <f t="shared" si="70"/>
        <v>0</v>
      </c>
      <c r="K233" s="609">
        <f t="shared" si="70"/>
        <v>-322.31100565539998</v>
      </c>
      <c r="L233" s="609">
        <f t="shared" si="70"/>
        <v>-477.12461449580002</v>
      </c>
      <c r="M233" s="609">
        <f t="shared" si="70"/>
        <v>-426.74800754053331</v>
      </c>
      <c r="N233" s="609">
        <f t="shared" si="70"/>
        <v>0</v>
      </c>
      <c r="O233" s="609">
        <f>O108*O141-O202-36</f>
        <v>-833</v>
      </c>
      <c r="P233" s="609">
        <f>P108*P141-P202-36</f>
        <v>-833</v>
      </c>
      <c r="Q233" s="609">
        <f t="shared" si="70"/>
        <v>0</v>
      </c>
      <c r="R233" s="609">
        <f t="shared" si="70"/>
        <v>0</v>
      </c>
      <c r="S233" s="609">
        <f t="shared" si="70"/>
        <v>-1217.8554387307997</v>
      </c>
      <c r="T233" s="609">
        <f t="shared" si="70"/>
        <v>0</v>
      </c>
      <c r="U233" s="609">
        <f t="shared" si="73"/>
        <v>-800</v>
      </c>
      <c r="V233" s="609">
        <f t="shared" si="73"/>
        <v>-800</v>
      </c>
      <c r="W233" s="609">
        <f t="shared" si="73"/>
        <v>392.88070458666721</v>
      </c>
      <c r="X233" s="609">
        <f t="shared" si="74"/>
        <v>-537</v>
      </c>
      <c r="Y233" s="609">
        <f t="shared" si="74"/>
        <v>81</v>
      </c>
      <c r="Z233" s="608">
        <f t="shared" si="75"/>
        <v>-33.653287317064724</v>
      </c>
      <c r="AA233" s="609">
        <f t="shared" si="74"/>
        <v>134</v>
      </c>
      <c r="AB233" s="608">
        <f t="shared" si="71"/>
        <v>442.72813597513709</v>
      </c>
      <c r="AC233" s="608">
        <f t="shared" si="71"/>
        <v>665.70982551709403</v>
      </c>
      <c r="AD233" s="608">
        <f t="shared" si="71"/>
        <v>798.85179062051247</v>
      </c>
      <c r="AE233" s="608">
        <f t="shared" si="71"/>
        <v>958.62214874461461</v>
      </c>
      <c r="AF233" s="608">
        <f t="shared" si="71"/>
        <v>1150.3465784935379</v>
      </c>
      <c r="AG233" s="608">
        <f t="shared" si="71"/>
        <v>1380.4158941922451</v>
      </c>
      <c r="AH233" s="608">
        <f t="shared" si="71"/>
        <v>1656.4990730306945</v>
      </c>
      <c r="AI233" s="608">
        <f t="shared" si="71"/>
        <v>1987.7988876368336</v>
      </c>
      <c r="AJ233" s="608">
        <f t="shared" si="71"/>
        <v>2385.358665164199</v>
      </c>
      <c r="AK233" s="608">
        <f t="shared" si="71"/>
        <v>2862.4303981970388</v>
      </c>
      <c r="AL233" s="608">
        <f t="shared" si="71"/>
        <v>3434.9164778364466</v>
      </c>
    </row>
    <row r="234" spans="1:38" s="528" customFormat="1" ht="12">
      <c r="A234" s="507"/>
      <c r="B234" s="532"/>
      <c r="C234" s="507" t="s">
        <v>224</v>
      </c>
      <c r="D234" s="615"/>
      <c r="E234" s="608">
        <f t="shared" si="70"/>
        <v>0</v>
      </c>
      <c r="F234" s="608">
        <f t="shared" si="70"/>
        <v>0</v>
      </c>
      <c r="G234" s="608">
        <f t="shared" si="70"/>
        <v>0</v>
      </c>
      <c r="H234" s="608">
        <f t="shared" si="70"/>
        <v>0</v>
      </c>
      <c r="I234" s="608">
        <f t="shared" si="70"/>
        <v>0</v>
      </c>
      <c r="J234" s="608">
        <f t="shared" si="70"/>
        <v>0</v>
      </c>
      <c r="K234" s="609">
        <f t="shared" si="70"/>
        <v>1046.7481925744637</v>
      </c>
      <c r="L234" s="609">
        <f t="shared" si="70"/>
        <v>1301.6311974343953</v>
      </c>
      <c r="M234" s="609">
        <f t="shared" si="70"/>
        <v>722.94698709087447</v>
      </c>
      <c r="N234" s="609">
        <f t="shared" si="70"/>
        <v>0</v>
      </c>
      <c r="O234" s="609">
        <f t="shared" si="70"/>
        <v>-2110.5270389412235</v>
      </c>
      <c r="P234" s="609">
        <f t="shared" si="70"/>
        <v>0</v>
      </c>
      <c r="Q234" s="609">
        <f t="shared" si="70"/>
        <v>0</v>
      </c>
      <c r="R234" s="609">
        <f t="shared" si="70"/>
        <v>0</v>
      </c>
      <c r="S234" s="609">
        <f t="shared" si="70"/>
        <v>-3101.7479491440486</v>
      </c>
      <c r="T234" s="609">
        <f t="shared" si="70"/>
        <v>0</v>
      </c>
      <c r="U234" s="609">
        <f t="shared" si="73"/>
        <v>-1125</v>
      </c>
      <c r="V234" s="609">
        <f t="shared" si="73"/>
        <v>-1125</v>
      </c>
      <c r="W234" s="609">
        <f t="shared" si="73"/>
        <v>-4293.8956394827856</v>
      </c>
      <c r="X234" s="609">
        <f t="shared" si="74"/>
        <v>-2091</v>
      </c>
      <c r="Y234" s="609">
        <f t="shared" si="74"/>
        <v>646</v>
      </c>
      <c r="Z234" s="608">
        <f t="shared" si="75"/>
        <v>-2676.0540647427297</v>
      </c>
      <c r="AA234" s="609">
        <f t="shared" si="74"/>
        <v>-1552.7126000000001</v>
      </c>
      <c r="AB234" s="608">
        <f t="shared" si="71"/>
        <v>-481.0667128444793</v>
      </c>
      <c r="AC234" s="608">
        <f t="shared" si="71"/>
        <v>-342.35654227201735</v>
      </c>
      <c r="AD234" s="608">
        <f t="shared" si="71"/>
        <v>-376.59219649921909</v>
      </c>
      <c r="AE234" s="608">
        <f t="shared" si="71"/>
        <v>-433.08102597410198</v>
      </c>
      <c r="AF234" s="608">
        <f t="shared" si="71"/>
        <v>-498.04317987021727</v>
      </c>
      <c r="AG234" s="608">
        <f t="shared" si="71"/>
        <v>-572.74965685074972</v>
      </c>
      <c r="AH234" s="608">
        <f t="shared" si="71"/>
        <v>-880.94992212169063</v>
      </c>
      <c r="AI234" s="608">
        <f t="shared" si="71"/>
        <v>-969.04491433385965</v>
      </c>
      <c r="AJ234" s="608">
        <f t="shared" si="71"/>
        <v>-1065.9494057672457</v>
      </c>
      <c r="AK234" s="608">
        <f t="shared" si="71"/>
        <v>-1172.5443463439703</v>
      </c>
      <c r="AL234" s="608">
        <f t="shared" si="71"/>
        <v>-1289.7987809783674</v>
      </c>
    </row>
    <row r="235" spans="1:38" s="528" customFormat="1" ht="12">
      <c r="A235" s="507"/>
      <c r="B235" s="532"/>
      <c r="C235" s="507" t="s">
        <v>241</v>
      </c>
      <c r="D235" s="615"/>
      <c r="E235" s="608">
        <f t="shared" si="70"/>
        <v>0</v>
      </c>
      <c r="F235" s="608">
        <f t="shared" si="70"/>
        <v>0</v>
      </c>
      <c r="G235" s="608">
        <f t="shared" si="70"/>
        <v>0</v>
      </c>
      <c r="H235" s="608">
        <f t="shared" si="70"/>
        <v>0</v>
      </c>
      <c r="I235" s="608">
        <f t="shared" si="70"/>
        <v>0</v>
      </c>
      <c r="J235" s="608">
        <f t="shared" si="70"/>
        <v>536.90254856169963</v>
      </c>
      <c r="K235" s="609">
        <f t="shared" si="70"/>
        <v>58.256263900001272</v>
      </c>
      <c r="L235" s="609">
        <f t="shared" si="70"/>
        <v>316.37233414000002</v>
      </c>
      <c r="M235" s="609">
        <f t="shared" si="70"/>
        <v>410</v>
      </c>
      <c r="N235" s="609">
        <f t="shared" si="70"/>
        <v>115.01542776000016</v>
      </c>
      <c r="O235" s="609">
        <f t="shared" si="70"/>
        <v>611.15981842000042</v>
      </c>
      <c r="P235" s="609">
        <f t="shared" si="70"/>
        <v>-295.56156461329965</v>
      </c>
      <c r="Q235" s="609">
        <f t="shared" si="70"/>
        <v>-357.54132970329931</v>
      </c>
      <c r="R235" s="609">
        <f t="shared" si="70"/>
        <v>397.00000000000023</v>
      </c>
      <c r="S235" s="609">
        <f t="shared" si="70"/>
        <v>357.70828621669966</v>
      </c>
      <c r="T235" s="609">
        <f t="shared" si="70"/>
        <v>0</v>
      </c>
      <c r="U235" s="609">
        <f t="shared" si="73"/>
        <v>480</v>
      </c>
      <c r="V235" s="609">
        <f t="shared" si="73"/>
        <v>480</v>
      </c>
      <c r="W235" s="609">
        <f t="shared" si="73"/>
        <v>1268.7522965563671</v>
      </c>
      <c r="X235" s="609">
        <f t="shared" si="74"/>
        <v>2871</v>
      </c>
      <c r="Y235" s="609">
        <f t="shared" si="74"/>
        <v>2466</v>
      </c>
      <c r="Z235" s="608">
        <f t="shared" si="75"/>
        <v>2881.8041193849986</v>
      </c>
      <c r="AA235" s="609">
        <f t="shared" si="74"/>
        <v>2752.4328800000003</v>
      </c>
      <c r="AB235" s="608">
        <f t="shared" si="71"/>
        <v>3502.4291163821499</v>
      </c>
      <c r="AC235" s="608">
        <f t="shared" si="71"/>
        <v>3694.5594241145218</v>
      </c>
      <c r="AD235" s="608">
        <f t="shared" si="71"/>
        <v>4174.8521492494092</v>
      </c>
      <c r="AE235" s="608">
        <f t="shared" si="71"/>
        <v>4717.5829286518328</v>
      </c>
      <c r="AF235" s="608">
        <f t="shared" si="71"/>
        <v>5330.8687093765711</v>
      </c>
      <c r="AG235" s="608">
        <f t="shared" si="71"/>
        <v>6023.8816415955243</v>
      </c>
      <c r="AH235" s="608">
        <f t="shared" si="71"/>
        <v>5749.8175364908111</v>
      </c>
      <c r="AI235" s="608">
        <f t="shared" si="71"/>
        <v>6037.0445564728489</v>
      </c>
      <c r="AJ235" s="608">
        <f t="shared" si="71"/>
        <v>6338.61974672015</v>
      </c>
      <c r="AK235" s="608">
        <f t="shared" si="71"/>
        <v>6655.2598573141422</v>
      </c>
      <c r="AL235" s="608">
        <f t="shared" si="71"/>
        <v>6987.7174429489514</v>
      </c>
    </row>
    <row r="236" spans="1:38" s="528" customFormat="1" ht="12">
      <c r="A236" s="507"/>
      <c r="B236" s="532"/>
      <c r="C236" s="507" t="s">
        <v>225</v>
      </c>
      <c r="D236" s="615"/>
      <c r="E236" s="608"/>
      <c r="F236" s="608"/>
      <c r="G236" s="608"/>
      <c r="H236" s="608"/>
      <c r="I236" s="608"/>
      <c r="J236" s="608"/>
      <c r="K236" s="609"/>
      <c r="L236" s="609">
        <v>0</v>
      </c>
      <c r="M236" s="609">
        <f t="shared" si="70"/>
        <v>0</v>
      </c>
      <c r="N236" s="609">
        <f t="shared" si="70"/>
        <v>0</v>
      </c>
      <c r="O236" s="609">
        <f t="shared" si="70"/>
        <v>0</v>
      </c>
      <c r="P236" s="609">
        <f t="shared" si="70"/>
        <v>0</v>
      </c>
      <c r="Q236" s="609">
        <f t="shared" si="70"/>
        <v>0</v>
      </c>
      <c r="R236" s="609">
        <f t="shared" si="70"/>
        <v>0</v>
      </c>
      <c r="S236" s="609">
        <f t="shared" si="70"/>
        <v>0</v>
      </c>
      <c r="T236" s="609">
        <f t="shared" si="70"/>
        <v>0</v>
      </c>
      <c r="U236" s="609">
        <f t="shared" si="73"/>
        <v>-500</v>
      </c>
      <c r="V236" s="609">
        <f t="shared" si="73"/>
        <v>-500</v>
      </c>
      <c r="W236" s="609">
        <f t="shared" si="73"/>
        <v>0</v>
      </c>
      <c r="X236" s="609">
        <f>X305</f>
        <v>-366</v>
      </c>
      <c r="Y236" s="609">
        <v>0</v>
      </c>
      <c r="Z236" s="608">
        <f t="shared" si="75"/>
        <v>-1496.688144611529</v>
      </c>
      <c r="AA236" s="609">
        <f>AA305</f>
        <v>6.1113600000001043</v>
      </c>
      <c r="AB236" s="608">
        <f t="shared" si="71"/>
        <v>-652.8109663703558</v>
      </c>
      <c r="AC236" s="608">
        <f t="shared" si="71"/>
        <v>-234.95533967687015</v>
      </c>
      <c r="AD236" s="608">
        <f t="shared" si="71"/>
        <v>-305.44194157993024</v>
      </c>
      <c r="AE236" s="608">
        <f t="shared" si="71"/>
        <v>-397.07452405390995</v>
      </c>
      <c r="AF236" s="608">
        <f t="shared" si="71"/>
        <v>-516.1968812700834</v>
      </c>
      <c r="AG236" s="608">
        <f t="shared" si="71"/>
        <v>-671.05594565110914</v>
      </c>
      <c r="AH236" s="608">
        <f t="shared" si="71"/>
        <v>-7247.404213031964</v>
      </c>
      <c r="AI236" s="608">
        <f t="shared" si="71"/>
        <v>-8696.8850556383568</v>
      </c>
      <c r="AJ236" s="608">
        <f t="shared" si="71"/>
        <v>-10436.262066766029</v>
      </c>
      <c r="AK236" s="608">
        <f t="shared" si="71"/>
        <v>-12523.514480119231</v>
      </c>
      <c r="AL236" s="608">
        <f t="shared" si="71"/>
        <v>-15028.217376143079</v>
      </c>
    </row>
    <row r="237" spans="1:38" s="528" customFormat="1" ht="12">
      <c r="A237" s="507"/>
      <c r="B237" s="532"/>
      <c r="C237" s="507" t="s">
        <v>226</v>
      </c>
      <c r="D237" s="615"/>
      <c r="E237" s="608"/>
      <c r="F237" s="608"/>
      <c r="G237" s="608"/>
      <c r="H237" s="608"/>
      <c r="I237" s="608"/>
      <c r="J237" s="608"/>
      <c r="K237" s="609"/>
      <c r="L237" s="609">
        <v>0</v>
      </c>
      <c r="M237" s="609">
        <f t="shared" si="70"/>
        <v>0</v>
      </c>
      <c r="N237" s="609">
        <f t="shared" si="70"/>
        <v>0</v>
      </c>
      <c r="O237" s="609">
        <f t="shared" si="70"/>
        <v>0</v>
      </c>
      <c r="P237" s="609">
        <f t="shared" si="70"/>
        <v>0</v>
      </c>
      <c r="Q237" s="609">
        <f t="shared" si="70"/>
        <v>0</v>
      </c>
      <c r="R237" s="609">
        <f t="shared" si="70"/>
        <v>0</v>
      </c>
      <c r="S237" s="609">
        <f t="shared" si="70"/>
        <v>0</v>
      </c>
      <c r="T237" s="609">
        <f t="shared" si="70"/>
        <v>0</v>
      </c>
      <c r="U237" s="609">
        <f t="shared" si="73"/>
        <v>-300</v>
      </c>
      <c r="V237" s="609">
        <f t="shared" si="73"/>
        <v>-300</v>
      </c>
      <c r="W237" s="609">
        <f t="shared" si="73"/>
        <v>0</v>
      </c>
      <c r="X237" s="609">
        <f t="shared" ref="X237:AA244" si="76">-X272+X306</f>
        <v>0</v>
      </c>
      <c r="Y237" s="609">
        <f t="shared" si="76"/>
        <v>0</v>
      </c>
      <c r="Z237" s="609"/>
      <c r="AA237" s="609">
        <f t="shared" si="76"/>
        <v>0</v>
      </c>
      <c r="AB237" s="609">
        <f t="shared" si="71"/>
        <v>0</v>
      </c>
      <c r="AC237" s="608">
        <f t="shared" si="71"/>
        <v>0</v>
      </c>
      <c r="AD237" s="608">
        <f t="shared" si="71"/>
        <v>0</v>
      </c>
      <c r="AE237" s="608">
        <f t="shared" si="71"/>
        <v>0</v>
      </c>
      <c r="AF237" s="608">
        <f t="shared" si="71"/>
        <v>0</v>
      </c>
      <c r="AG237" s="608">
        <f t="shared" si="71"/>
        <v>0</v>
      </c>
      <c r="AH237" s="608">
        <f t="shared" si="71"/>
        <v>0</v>
      </c>
      <c r="AI237" s="608">
        <f t="shared" si="71"/>
        <v>0</v>
      </c>
      <c r="AJ237" s="608">
        <f t="shared" si="71"/>
        <v>0</v>
      </c>
      <c r="AK237" s="608">
        <f t="shared" si="71"/>
        <v>0</v>
      </c>
      <c r="AL237" s="608">
        <f t="shared" si="71"/>
        <v>0</v>
      </c>
    </row>
    <row r="238" spans="1:38" s="528" customFormat="1" ht="12">
      <c r="A238" s="533"/>
      <c r="B238" s="532"/>
      <c r="C238" s="533" t="s">
        <v>242</v>
      </c>
      <c r="D238" s="615"/>
      <c r="E238" s="608"/>
      <c r="F238" s="608"/>
      <c r="G238" s="608"/>
      <c r="H238" s="608"/>
      <c r="I238" s="608"/>
      <c r="J238" s="608"/>
      <c r="K238" s="609"/>
      <c r="L238" s="609">
        <v>0</v>
      </c>
      <c r="M238" s="609">
        <f t="shared" si="70"/>
        <v>213</v>
      </c>
      <c r="N238" s="609">
        <f t="shared" si="70"/>
        <v>0</v>
      </c>
      <c r="O238" s="609">
        <f t="shared" si="70"/>
        <v>-913.16000000000054</v>
      </c>
      <c r="P238" s="609">
        <f t="shared" si="70"/>
        <v>0</v>
      </c>
      <c r="Q238" s="609">
        <f t="shared" si="70"/>
        <v>-868.2200000000006</v>
      </c>
      <c r="R238" s="609">
        <f t="shared" si="70"/>
        <v>-868.37277841163939</v>
      </c>
      <c r="S238" s="609">
        <f t="shared" si="70"/>
        <v>-170.19000000000005</v>
      </c>
      <c r="T238" s="609">
        <f t="shared" si="70"/>
        <v>0</v>
      </c>
      <c r="U238" s="609">
        <f t="shared" si="73"/>
        <v>0</v>
      </c>
      <c r="V238" s="609">
        <f t="shared" si="73"/>
        <v>0</v>
      </c>
      <c r="W238" s="609">
        <f t="shared" si="73"/>
        <v>0</v>
      </c>
      <c r="X238" s="609">
        <f t="shared" si="76"/>
        <v>0</v>
      </c>
      <c r="Y238" s="609">
        <f t="shared" si="76"/>
        <v>0</v>
      </c>
      <c r="Z238" s="609"/>
      <c r="AA238" s="609">
        <f t="shared" si="76"/>
        <v>0</v>
      </c>
      <c r="AB238" s="609">
        <f t="shared" si="71"/>
        <v>0</v>
      </c>
      <c r="AC238" s="608">
        <f t="shared" si="71"/>
        <v>0</v>
      </c>
      <c r="AD238" s="608">
        <f t="shared" si="71"/>
        <v>0</v>
      </c>
      <c r="AE238" s="608">
        <f t="shared" si="71"/>
        <v>0</v>
      </c>
      <c r="AF238" s="608">
        <f t="shared" si="71"/>
        <v>0</v>
      </c>
      <c r="AG238" s="608">
        <f t="shared" si="71"/>
        <v>0</v>
      </c>
      <c r="AH238" s="608">
        <f t="shared" si="71"/>
        <v>0</v>
      </c>
      <c r="AI238" s="608">
        <f t="shared" si="71"/>
        <v>0</v>
      </c>
      <c r="AJ238" s="608">
        <f t="shared" si="71"/>
        <v>0</v>
      </c>
      <c r="AK238" s="608">
        <f t="shared" si="71"/>
        <v>0</v>
      </c>
      <c r="AL238" s="608">
        <f t="shared" si="71"/>
        <v>0</v>
      </c>
    </row>
    <row r="239" spans="1:38" s="528" customFormat="1" ht="12">
      <c r="A239" s="507"/>
      <c r="B239" s="532"/>
      <c r="C239" s="507" t="s">
        <v>243</v>
      </c>
      <c r="D239" s="615"/>
      <c r="E239" s="608">
        <f>E114*E147-E208</f>
        <v>0</v>
      </c>
      <c r="F239" s="608">
        <f>F114*F147-F208</f>
        <v>0</v>
      </c>
      <c r="G239" s="608">
        <f>G114*G147-G208</f>
        <v>0</v>
      </c>
      <c r="H239" s="608">
        <f>H114*H147-H208</f>
        <v>0</v>
      </c>
      <c r="I239" s="608">
        <f>I114*I147-I208</f>
        <v>0</v>
      </c>
      <c r="J239" s="608">
        <v>0</v>
      </c>
      <c r="K239" s="609">
        <f>K114*K147-K208</f>
        <v>590.99999999999977</v>
      </c>
      <c r="L239" s="609">
        <f>L114*L147-L208</f>
        <v>1096.3848399999986</v>
      </c>
      <c r="M239" s="609">
        <f t="shared" si="70"/>
        <v>966.99999999999977</v>
      </c>
      <c r="N239" s="609">
        <f t="shared" si="70"/>
        <v>333.81525999999997</v>
      </c>
      <c r="O239" s="609">
        <f t="shared" si="70"/>
        <v>1081.2876300000021</v>
      </c>
      <c r="P239" s="609">
        <f t="shared" si="70"/>
        <v>20.027540000001181</v>
      </c>
      <c r="Q239" s="609">
        <f>Q114*Q147-Q208</f>
        <v>-514.47123800000372</v>
      </c>
      <c r="R239" s="609">
        <f t="shared" si="70"/>
        <v>-154.99999999999318</v>
      </c>
      <c r="S239" s="609">
        <f t="shared" si="70"/>
        <v>-1325.3922979999998</v>
      </c>
      <c r="T239" s="609">
        <f t="shared" si="70"/>
        <v>0</v>
      </c>
      <c r="U239" s="609">
        <f t="shared" si="73"/>
        <v>1378</v>
      </c>
      <c r="V239" s="609">
        <f t="shared" si="73"/>
        <v>1378</v>
      </c>
      <c r="W239" s="609">
        <f t="shared" si="73"/>
        <v>257.8670000000011</v>
      </c>
      <c r="X239" s="609">
        <f t="shared" si="76"/>
        <v>-344</v>
      </c>
      <c r="Y239" s="609">
        <f t="shared" si="76"/>
        <v>1009</v>
      </c>
      <c r="Z239" s="608">
        <f>Z114*Z147-Z208</f>
        <v>335.43778158749501</v>
      </c>
      <c r="AA239" s="609">
        <f t="shared" si="76"/>
        <v>0</v>
      </c>
      <c r="AB239" s="608">
        <f t="shared" si="71"/>
        <v>0</v>
      </c>
      <c r="AC239" s="608">
        <f t="shared" si="71"/>
        <v>0</v>
      </c>
      <c r="AD239" s="608">
        <f t="shared" si="71"/>
        <v>0</v>
      </c>
      <c r="AE239" s="608">
        <f t="shared" si="71"/>
        <v>0</v>
      </c>
      <c r="AF239" s="608">
        <f t="shared" si="71"/>
        <v>0</v>
      </c>
      <c r="AG239" s="608">
        <f t="shared" si="71"/>
        <v>0</v>
      </c>
      <c r="AH239" s="608">
        <f t="shared" si="71"/>
        <v>0</v>
      </c>
      <c r="AI239" s="608">
        <f t="shared" si="71"/>
        <v>0</v>
      </c>
      <c r="AJ239" s="608">
        <f t="shared" si="71"/>
        <v>0</v>
      </c>
      <c r="AK239" s="608">
        <f t="shared" si="71"/>
        <v>0</v>
      </c>
      <c r="AL239" s="608">
        <f t="shared" si="71"/>
        <v>0</v>
      </c>
    </row>
    <row r="240" spans="1:38" s="528" customFormat="1" ht="12">
      <c r="A240" s="507"/>
      <c r="B240" s="532"/>
      <c r="C240" s="507" t="s">
        <v>268</v>
      </c>
      <c r="D240" s="615"/>
      <c r="E240" s="608"/>
      <c r="F240" s="608"/>
      <c r="G240" s="608"/>
      <c r="H240" s="608"/>
      <c r="I240" s="608"/>
      <c r="J240" s="608"/>
      <c r="K240" s="609"/>
      <c r="L240" s="609"/>
      <c r="M240" s="609"/>
      <c r="N240" s="609"/>
      <c r="O240" s="609"/>
      <c r="P240" s="609"/>
      <c r="Q240" s="609"/>
      <c r="R240" s="609"/>
      <c r="S240" s="609"/>
      <c r="T240" s="609"/>
      <c r="U240" s="609"/>
      <c r="V240" s="609"/>
      <c r="W240" s="609"/>
      <c r="X240" s="609">
        <f t="shared" si="76"/>
        <v>0</v>
      </c>
      <c r="Y240" s="609">
        <f t="shared" si="76"/>
        <v>0</v>
      </c>
      <c r="Z240" s="609"/>
      <c r="AA240" s="609">
        <f t="shared" si="76"/>
        <v>0</v>
      </c>
      <c r="AB240" s="609">
        <f t="shared" si="71"/>
        <v>0</v>
      </c>
      <c r="AC240" s="608">
        <f t="shared" si="71"/>
        <v>0</v>
      </c>
      <c r="AD240" s="608">
        <f t="shared" si="71"/>
        <v>0</v>
      </c>
      <c r="AE240" s="608">
        <f t="shared" si="71"/>
        <v>0</v>
      </c>
      <c r="AF240" s="608">
        <f t="shared" si="71"/>
        <v>0</v>
      </c>
      <c r="AG240" s="608">
        <f t="shared" si="71"/>
        <v>0</v>
      </c>
      <c r="AH240" s="608">
        <f t="shared" si="71"/>
        <v>0</v>
      </c>
      <c r="AI240" s="608">
        <f t="shared" si="71"/>
        <v>0</v>
      </c>
      <c r="AJ240" s="608">
        <f t="shared" si="71"/>
        <v>0</v>
      </c>
      <c r="AK240" s="608">
        <f t="shared" si="71"/>
        <v>0</v>
      </c>
      <c r="AL240" s="608">
        <f t="shared" si="71"/>
        <v>0</v>
      </c>
    </row>
    <row r="241" spans="1:38" s="528" customFormat="1" ht="12">
      <c r="A241" s="507"/>
      <c r="B241" s="532"/>
      <c r="C241" s="533" t="s">
        <v>245</v>
      </c>
      <c r="D241" s="615"/>
      <c r="E241" s="608">
        <f t="shared" ref="E241:I245" si="77">E116*E149-E210</f>
        <v>0</v>
      </c>
      <c r="F241" s="608">
        <f t="shared" si="77"/>
        <v>0</v>
      </c>
      <c r="G241" s="608">
        <f t="shared" si="77"/>
        <v>0</v>
      </c>
      <c r="H241" s="608">
        <f t="shared" si="77"/>
        <v>0</v>
      </c>
      <c r="I241" s="608">
        <f t="shared" si="77"/>
        <v>0</v>
      </c>
      <c r="J241" s="608">
        <v>0</v>
      </c>
      <c r="K241" s="609">
        <f t="shared" ref="K241:W248" si="78">K116*K149-K210</f>
        <v>387.59387308873198</v>
      </c>
      <c r="L241" s="609">
        <f t="shared" si="78"/>
        <v>0</v>
      </c>
      <c r="M241" s="609">
        <f t="shared" si="78"/>
        <v>0</v>
      </c>
      <c r="N241" s="609">
        <f t="shared" si="78"/>
        <v>0</v>
      </c>
      <c r="O241" s="609">
        <f t="shared" si="78"/>
        <v>0</v>
      </c>
      <c r="P241" s="609">
        <f t="shared" si="78"/>
        <v>0</v>
      </c>
      <c r="Q241" s="609">
        <f t="shared" si="78"/>
        <v>0</v>
      </c>
      <c r="R241" s="609">
        <f t="shared" si="78"/>
        <v>0</v>
      </c>
      <c r="S241" s="609">
        <f t="shared" si="78"/>
        <v>0</v>
      </c>
      <c r="T241" s="609">
        <f t="shared" si="78"/>
        <v>0</v>
      </c>
      <c r="U241" s="609">
        <f t="shared" si="78"/>
        <v>-1500</v>
      </c>
      <c r="V241" s="609">
        <f t="shared" si="78"/>
        <v>-1500</v>
      </c>
      <c r="W241" s="609">
        <f t="shared" si="78"/>
        <v>0</v>
      </c>
      <c r="X241" s="609">
        <f t="shared" si="76"/>
        <v>0</v>
      </c>
      <c r="Y241" s="609">
        <f t="shared" si="76"/>
        <v>0</v>
      </c>
      <c r="Z241" s="609"/>
      <c r="AA241" s="609">
        <f t="shared" si="76"/>
        <v>0</v>
      </c>
      <c r="AB241" s="609">
        <f t="shared" si="71"/>
        <v>0</v>
      </c>
      <c r="AC241" s="608">
        <f t="shared" si="71"/>
        <v>0</v>
      </c>
      <c r="AD241" s="608">
        <f t="shared" si="71"/>
        <v>0</v>
      </c>
      <c r="AE241" s="608">
        <f t="shared" si="71"/>
        <v>0</v>
      </c>
      <c r="AF241" s="608">
        <f t="shared" si="71"/>
        <v>0</v>
      </c>
      <c r="AG241" s="608">
        <f t="shared" si="71"/>
        <v>0</v>
      </c>
      <c r="AH241" s="608">
        <f t="shared" si="71"/>
        <v>0</v>
      </c>
      <c r="AI241" s="608">
        <f t="shared" si="71"/>
        <v>0</v>
      </c>
      <c r="AJ241" s="608">
        <f t="shared" si="71"/>
        <v>0</v>
      </c>
      <c r="AK241" s="608">
        <f t="shared" si="71"/>
        <v>0</v>
      </c>
      <c r="AL241" s="608">
        <f t="shared" si="71"/>
        <v>0</v>
      </c>
    </row>
    <row r="242" spans="1:38" s="528" customFormat="1" ht="12">
      <c r="A242" s="507"/>
      <c r="B242" s="532"/>
      <c r="C242" s="507" t="s">
        <v>246</v>
      </c>
      <c r="D242" s="615"/>
      <c r="E242" s="608">
        <f t="shared" si="77"/>
        <v>1110.494204594369</v>
      </c>
      <c r="F242" s="608">
        <f t="shared" si="77"/>
        <v>1345.7118348937397</v>
      </c>
      <c r="G242" s="608">
        <f t="shared" si="77"/>
        <v>2551.4782866519909</v>
      </c>
      <c r="H242" s="608">
        <f t="shared" si="77"/>
        <v>2326.1742179186172</v>
      </c>
      <c r="I242" s="608">
        <f t="shared" si="77"/>
        <v>2821.01614072354</v>
      </c>
      <c r="J242" s="608">
        <f>J117*J150-J211</f>
        <v>2411.8222679037772</v>
      </c>
      <c r="K242" s="609">
        <f t="shared" si="78"/>
        <v>2370.5866130718655</v>
      </c>
      <c r="L242" s="609">
        <f t="shared" si="78"/>
        <v>2769.7817821014487</v>
      </c>
      <c r="M242" s="609">
        <f t="shared" si="78"/>
        <v>3016</v>
      </c>
      <c r="N242" s="609">
        <f t="shared" si="78"/>
        <v>956.04381835941444</v>
      </c>
      <c r="O242" s="609">
        <f t="shared" si="78"/>
        <v>4540.8379999999997</v>
      </c>
      <c r="P242" s="609">
        <f t="shared" si="78"/>
        <v>1424.7728482740004</v>
      </c>
      <c r="Q242" s="609">
        <f t="shared" si="78"/>
        <v>1933.8843427398438</v>
      </c>
      <c r="R242" s="609">
        <f t="shared" si="78"/>
        <v>2609</v>
      </c>
      <c r="S242" s="609">
        <f t="shared" si="78"/>
        <v>2697.5435262055244</v>
      </c>
      <c r="T242" s="609">
        <f t="shared" si="78"/>
        <v>0</v>
      </c>
      <c r="U242" s="609">
        <f t="shared" si="78"/>
        <v>3300</v>
      </c>
      <c r="V242" s="609">
        <f t="shared" si="78"/>
        <v>3300</v>
      </c>
      <c r="W242" s="609">
        <f t="shared" si="78"/>
        <v>3355</v>
      </c>
      <c r="X242" s="609">
        <f t="shared" si="76"/>
        <v>3494</v>
      </c>
      <c r="Y242" s="609">
        <f t="shared" si="76"/>
        <v>4409</v>
      </c>
      <c r="Z242" s="608">
        <f t="shared" ref="Z242:Z251" si="79">Z117*Z150-Z211</f>
        <v>4379.6351060661664</v>
      </c>
      <c r="AA242" s="609">
        <f t="shared" si="76"/>
        <v>5479</v>
      </c>
      <c r="AB242" s="608">
        <f t="shared" si="71"/>
        <v>5024.6090000000013</v>
      </c>
      <c r="AC242" s="608">
        <f t="shared" si="71"/>
        <v>4690.6326040000013</v>
      </c>
      <c r="AD242" s="608">
        <f t="shared" si="71"/>
        <v>5253.5085164800003</v>
      </c>
      <c r="AE242" s="608">
        <f t="shared" si="71"/>
        <v>5883.9295384576008</v>
      </c>
      <c r="AF242" s="608">
        <f t="shared" si="71"/>
        <v>6590.0010830725114</v>
      </c>
      <c r="AG242" s="608">
        <f t="shared" si="71"/>
        <v>7380.8012130412117</v>
      </c>
      <c r="AH242" s="608">
        <f t="shared" si="71"/>
        <v>8266.4973586061587</v>
      </c>
      <c r="AI242" s="608">
        <f t="shared" si="71"/>
        <v>9258.4770416389001</v>
      </c>
      <c r="AJ242" s="608">
        <f t="shared" si="71"/>
        <v>10369.494286635569</v>
      </c>
      <c r="AK242" s="608">
        <f t="shared" si="71"/>
        <v>11613.833601031836</v>
      </c>
      <c r="AL242" s="608">
        <f t="shared" si="71"/>
        <v>13007.493633155653</v>
      </c>
    </row>
    <row r="243" spans="1:38" s="528" customFormat="1" ht="12">
      <c r="A243" s="507"/>
      <c r="B243" s="532"/>
      <c r="C243" s="507" t="s">
        <v>247</v>
      </c>
      <c r="D243" s="615"/>
      <c r="E243" s="608">
        <f t="shared" si="77"/>
        <v>1186.6508178526497</v>
      </c>
      <c r="F243" s="608">
        <f t="shared" si="77"/>
        <v>1025.2327107951753</v>
      </c>
      <c r="G243" s="608">
        <f t="shared" si="77"/>
        <v>-300.51416242370431</v>
      </c>
      <c r="H243" s="608">
        <f t="shared" si="77"/>
        <v>200.16168904755591</v>
      </c>
      <c r="I243" s="608">
        <f t="shared" si="77"/>
        <v>660.75229847054379</v>
      </c>
      <c r="J243" s="608">
        <f>J118*J151-J212</f>
        <v>-431.93388255652906</v>
      </c>
      <c r="K243" s="609">
        <f t="shared" si="78"/>
        <v>77.116714770377939</v>
      </c>
      <c r="L243" s="609">
        <f t="shared" si="78"/>
        <v>1108.7918154508493</v>
      </c>
      <c r="M243" s="609">
        <f t="shared" si="78"/>
        <v>483.02157421874983</v>
      </c>
      <c r="N243" s="609">
        <f t="shared" si="78"/>
        <v>295.17678740255127</v>
      </c>
      <c r="O243" s="609">
        <f t="shared" si="78"/>
        <v>1357.3881973242194</v>
      </c>
      <c r="P243" s="609">
        <f t="shared" si="78"/>
        <v>892.04533390567667</v>
      </c>
      <c r="Q243" s="609">
        <f t="shared" si="78"/>
        <v>1054.6427224163594</v>
      </c>
      <c r="R243" s="609">
        <f t="shared" si="78"/>
        <v>1410.5192307692309</v>
      </c>
      <c r="S243" s="609">
        <f t="shared" si="78"/>
        <v>1623.9376679343648</v>
      </c>
      <c r="T243" s="609">
        <f t="shared" si="78"/>
        <v>0</v>
      </c>
      <c r="U243" s="609">
        <f t="shared" si="78"/>
        <v>1800.0000000000005</v>
      </c>
      <c r="V243" s="609">
        <f t="shared" si="78"/>
        <v>1800.0000000000005</v>
      </c>
      <c r="W243" s="609">
        <f t="shared" si="78"/>
        <v>1575.2772584367408</v>
      </c>
      <c r="X243" s="609">
        <f t="shared" si="76"/>
        <v>1943</v>
      </c>
      <c r="Y243" s="609">
        <f t="shared" si="76"/>
        <v>1252</v>
      </c>
      <c r="Z243" s="608">
        <f t="shared" si="79"/>
        <v>3088.3866070302693</v>
      </c>
      <c r="AA243" s="609">
        <f t="shared" si="76"/>
        <v>3864.4659000000001</v>
      </c>
      <c r="AB243" s="608">
        <f t="shared" si="71"/>
        <v>905.75046689754163</v>
      </c>
      <c r="AC243" s="608">
        <f t="shared" si="71"/>
        <v>2003.1856484938573</v>
      </c>
      <c r="AD243" s="608">
        <f t="shared" si="71"/>
        <v>2303.6634957679357</v>
      </c>
      <c r="AE243" s="608">
        <f t="shared" si="71"/>
        <v>2649.2130201331265</v>
      </c>
      <c r="AF243" s="608">
        <f t="shared" si="71"/>
        <v>3046.5949731530955</v>
      </c>
      <c r="AG243" s="608">
        <f t="shared" si="71"/>
        <v>3503.5842191260604</v>
      </c>
      <c r="AH243" s="608">
        <f t="shared" si="71"/>
        <v>3180.8856726276067</v>
      </c>
      <c r="AI243" s="608">
        <f t="shared" si="71"/>
        <v>3658.0185235217473</v>
      </c>
      <c r="AJ243" s="608">
        <f t="shared" si="71"/>
        <v>4206.7213020500094</v>
      </c>
      <c r="AK243" s="608">
        <f t="shared" si="71"/>
        <v>4837.7294973575099</v>
      </c>
      <c r="AL243" s="608">
        <f t="shared" si="71"/>
        <v>5563.3889219611365</v>
      </c>
    </row>
    <row r="244" spans="1:38" s="528" customFormat="1" ht="12">
      <c r="A244" s="507"/>
      <c r="B244" s="532"/>
      <c r="C244" s="533" t="s">
        <v>248</v>
      </c>
      <c r="D244" s="616"/>
      <c r="E244" s="609">
        <f t="shared" si="77"/>
        <v>0</v>
      </c>
      <c r="F244" s="609">
        <f t="shared" si="77"/>
        <v>0</v>
      </c>
      <c r="G244" s="609">
        <f t="shared" si="77"/>
        <v>0</v>
      </c>
      <c r="H244" s="609">
        <f t="shared" si="77"/>
        <v>0</v>
      </c>
      <c r="I244" s="609">
        <f t="shared" si="77"/>
        <v>0</v>
      </c>
      <c r="J244" s="609">
        <v>0</v>
      </c>
      <c r="K244" s="609">
        <v>0</v>
      </c>
      <c r="L244" s="609">
        <v>0</v>
      </c>
      <c r="M244" s="609">
        <f>M119*M152-M213</f>
        <v>0</v>
      </c>
      <c r="N244" s="609">
        <f>N119*N152-N213</f>
        <v>0</v>
      </c>
      <c r="O244" s="609">
        <f>O119*O152-O213-331</f>
        <v>-756</v>
      </c>
      <c r="P244" s="609">
        <f>P119*P152-P213-331</f>
        <v>-756</v>
      </c>
      <c r="Q244" s="609">
        <f t="shared" si="78"/>
        <v>-644</v>
      </c>
      <c r="R244" s="609">
        <f t="shared" si="78"/>
        <v>-858</v>
      </c>
      <c r="S244" s="609">
        <f t="shared" si="78"/>
        <v>-805.60083092570005</v>
      </c>
      <c r="T244" s="609">
        <f t="shared" si="78"/>
        <v>0</v>
      </c>
      <c r="U244" s="609">
        <f t="shared" si="78"/>
        <v>1200</v>
      </c>
      <c r="V244" s="609">
        <f t="shared" si="78"/>
        <v>1200</v>
      </c>
      <c r="W244" s="609">
        <f t="shared" si="78"/>
        <v>0</v>
      </c>
      <c r="X244" s="609">
        <v>-112.776839412868</v>
      </c>
      <c r="Y244" s="609">
        <f t="shared" si="76"/>
        <v>0</v>
      </c>
      <c r="Z244" s="608">
        <f t="shared" si="79"/>
        <v>729.86202579869337</v>
      </c>
      <c r="AA244" s="609">
        <f t="shared" si="76"/>
        <v>1902.4590000000001</v>
      </c>
      <c r="AB244" s="608">
        <f t="shared" si="71"/>
        <v>1701.3041216751478</v>
      </c>
      <c r="AC244" s="608">
        <f t="shared" si="71"/>
        <v>798.18562222249841</v>
      </c>
      <c r="AD244" s="608">
        <f t="shared" si="71"/>
        <v>917.91346555587324</v>
      </c>
      <c r="AE244" s="608">
        <f t="shared" si="71"/>
        <v>1055.6004853892543</v>
      </c>
      <c r="AF244" s="608">
        <f t="shared" si="71"/>
        <v>1213.9405581976423</v>
      </c>
      <c r="AG244" s="608">
        <f t="shared" si="71"/>
        <v>1396.0316419272888</v>
      </c>
      <c r="AH244" s="608">
        <f t="shared" si="71"/>
        <v>2879.3152614750334</v>
      </c>
      <c r="AI244" s="608">
        <f t="shared" si="71"/>
        <v>3167.2467876225373</v>
      </c>
      <c r="AJ244" s="608">
        <f t="shared" si="71"/>
        <v>3483.9714663847908</v>
      </c>
      <c r="AK244" s="608">
        <f t="shared" si="71"/>
        <v>3832.36861302327</v>
      </c>
      <c r="AL244" s="608">
        <f t="shared" si="71"/>
        <v>4215.6054743255972</v>
      </c>
    </row>
    <row r="245" spans="1:38" s="528" customFormat="1" ht="12">
      <c r="A245" s="533"/>
      <c r="B245" s="532"/>
      <c r="C245" s="533" t="s">
        <v>230</v>
      </c>
      <c r="D245" s="616"/>
      <c r="E245" s="609">
        <f t="shared" si="77"/>
        <v>281.62648174450146</v>
      </c>
      <c r="F245" s="609">
        <f t="shared" si="77"/>
        <v>681.55706923730702</v>
      </c>
      <c r="G245" s="609">
        <f t="shared" si="77"/>
        <v>-455.09894917226484</v>
      </c>
      <c r="H245" s="609">
        <f t="shared" si="77"/>
        <v>-11.084168556546274</v>
      </c>
      <c r="I245" s="609">
        <f t="shared" si="77"/>
        <v>-1460.6562567528745</v>
      </c>
      <c r="J245" s="609">
        <f>J120*J153-J214</f>
        <v>-2554.0561144424901</v>
      </c>
      <c r="K245" s="609">
        <f>K120*K153-K214</f>
        <v>-1553.6190706616585</v>
      </c>
      <c r="L245" s="609">
        <f>L120*L153-L214</f>
        <v>-2008.2866182975888</v>
      </c>
      <c r="M245" s="609">
        <f>M120*M153-M214</f>
        <v>-2197.9546631140029</v>
      </c>
      <c r="N245" s="609">
        <f>N120*N153-N214</f>
        <v>-165.8607484384915</v>
      </c>
      <c r="O245" s="609">
        <f>O120*O153-O214</f>
        <v>-1192.627610792995</v>
      </c>
      <c r="P245" s="609">
        <f>P120*P153-P214</f>
        <v>-85.42731128246777</v>
      </c>
      <c r="Q245" s="609">
        <f t="shared" si="78"/>
        <v>-222.32464012816274</v>
      </c>
      <c r="R245" s="609">
        <f t="shared" si="78"/>
        <v>-55.767590000000041</v>
      </c>
      <c r="S245" s="609">
        <f t="shared" si="78"/>
        <v>-1086.6611474332838</v>
      </c>
      <c r="T245" s="609">
        <f t="shared" si="78"/>
        <v>0</v>
      </c>
      <c r="U245" s="609">
        <f t="shared" si="78"/>
        <v>18</v>
      </c>
      <c r="V245" s="609">
        <f t="shared" si="78"/>
        <v>18</v>
      </c>
      <c r="W245" s="609">
        <f t="shared" si="78"/>
        <v>112.48274844686944</v>
      </c>
      <c r="X245" s="609">
        <f t="shared" ref="X245:AA248" si="80">-X280+X314</f>
        <v>492</v>
      </c>
      <c r="Y245" s="609">
        <f t="shared" si="80"/>
        <v>685</v>
      </c>
      <c r="Z245" s="608">
        <f t="shared" si="79"/>
        <v>-193.72047704040648</v>
      </c>
      <c r="AA245" s="609">
        <f t="shared" si="80"/>
        <v>344</v>
      </c>
      <c r="AB245" s="608">
        <f t="shared" ref="AB245:AL251" si="81">AB120*AB153-AB214</f>
        <v>-483.3456629839975</v>
      </c>
      <c r="AC245" s="608">
        <f t="shared" si="81"/>
        <v>-135.68279467759112</v>
      </c>
      <c r="AD245" s="608">
        <f t="shared" si="81"/>
        <v>-156.03985102190506</v>
      </c>
      <c r="AE245" s="608">
        <f t="shared" si="81"/>
        <v>-179.45116154774803</v>
      </c>
      <c r="AF245" s="608">
        <f t="shared" si="81"/>
        <v>-206.37496876560886</v>
      </c>
      <c r="AG245" s="608">
        <f t="shared" si="81"/>
        <v>-237.33826722360686</v>
      </c>
      <c r="AH245" s="608">
        <f t="shared" si="81"/>
        <v>-272.94711866282887</v>
      </c>
      <c r="AI245" s="608">
        <f t="shared" si="81"/>
        <v>-313.8985147985029</v>
      </c>
      <c r="AJ245" s="608">
        <f t="shared" si="81"/>
        <v>-360.99401992377398</v>
      </c>
      <c r="AK245" s="608">
        <f t="shared" si="81"/>
        <v>-415.15546037030026</v>
      </c>
      <c r="AL245" s="608">
        <f t="shared" si="81"/>
        <v>-477.44296792414934</v>
      </c>
    </row>
    <row r="246" spans="1:38" s="528" customFormat="1" ht="12">
      <c r="A246" s="533"/>
      <c r="B246" s="532"/>
      <c r="C246" s="533" t="s">
        <v>249</v>
      </c>
      <c r="D246" s="616"/>
      <c r="E246" s="609"/>
      <c r="F246" s="609"/>
      <c r="G246" s="609"/>
      <c r="H246" s="609"/>
      <c r="I246" s="609"/>
      <c r="J246" s="609"/>
      <c r="K246" s="609"/>
      <c r="L246" s="609"/>
      <c r="M246" s="609"/>
      <c r="N246" s="609"/>
      <c r="O246" s="609"/>
      <c r="P246" s="609"/>
      <c r="Q246" s="609">
        <f t="shared" si="78"/>
        <v>0</v>
      </c>
      <c r="R246" s="609">
        <f t="shared" si="78"/>
        <v>0</v>
      </c>
      <c r="S246" s="609">
        <f t="shared" si="78"/>
        <v>0</v>
      </c>
      <c r="T246" s="609">
        <f t="shared" si="78"/>
        <v>0</v>
      </c>
      <c r="U246" s="609">
        <f t="shared" si="78"/>
        <v>0</v>
      </c>
      <c r="V246" s="609">
        <f t="shared" si="78"/>
        <v>0</v>
      </c>
      <c r="W246" s="609">
        <f t="shared" si="78"/>
        <v>0</v>
      </c>
      <c r="X246" s="609">
        <f t="shared" si="80"/>
        <v>-37.5</v>
      </c>
      <c r="Y246" s="609">
        <f t="shared" si="80"/>
        <v>-41</v>
      </c>
      <c r="Z246" s="608">
        <f t="shared" si="79"/>
        <v>129.90486606380591</v>
      </c>
      <c r="AA246" s="609">
        <f t="shared" si="80"/>
        <v>432</v>
      </c>
      <c r="AB246" s="608">
        <f t="shared" si="81"/>
        <v>176.36000000000024</v>
      </c>
      <c r="AC246" s="608">
        <f t="shared" si="81"/>
        <v>0</v>
      </c>
      <c r="AD246" s="608">
        <f t="shared" si="81"/>
        <v>0</v>
      </c>
      <c r="AE246" s="608">
        <f t="shared" si="81"/>
        <v>0</v>
      </c>
      <c r="AF246" s="608">
        <f t="shared" si="81"/>
        <v>0</v>
      </c>
      <c r="AG246" s="608">
        <f t="shared" si="81"/>
        <v>0</v>
      </c>
      <c r="AH246" s="608">
        <f t="shared" si="81"/>
        <v>0</v>
      </c>
      <c r="AI246" s="608">
        <f t="shared" si="81"/>
        <v>0</v>
      </c>
      <c r="AJ246" s="608">
        <f t="shared" si="81"/>
        <v>0</v>
      </c>
      <c r="AK246" s="608">
        <f t="shared" si="81"/>
        <v>0</v>
      </c>
      <c r="AL246" s="608">
        <f t="shared" si="81"/>
        <v>0</v>
      </c>
    </row>
    <row r="247" spans="1:38" s="528" customFormat="1" ht="12">
      <c r="A247" s="533"/>
      <c r="B247" s="532"/>
      <c r="C247" s="533" t="s">
        <v>250</v>
      </c>
      <c r="D247" s="616"/>
      <c r="E247" s="609"/>
      <c r="F247" s="609"/>
      <c r="G247" s="609"/>
      <c r="H247" s="609"/>
      <c r="I247" s="609"/>
      <c r="J247" s="609"/>
      <c r="K247" s="609"/>
      <c r="L247" s="609"/>
      <c r="M247" s="609"/>
      <c r="N247" s="609"/>
      <c r="O247" s="609"/>
      <c r="P247" s="609"/>
      <c r="Q247" s="609">
        <f t="shared" si="78"/>
        <v>-2112</v>
      </c>
      <c r="R247" s="609">
        <f t="shared" si="78"/>
        <v>-1809.8160000000007</v>
      </c>
      <c r="S247" s="609">
        <f t="shared" si="78"/>
        <v>-1005.7388276705324</v>
      </c>
      <c r="T247" s="609">
        <f t="shared" si="78"/>
        <v>0</v>
      </c>
      <c r="U247" s="609">
        <f t="shared" si="78"/>
        <v>-3053.6306400000012</v>
      </c>
      <c r="V247" s="609">
        <f t="shared" si="78"/>
        <v>-3053.6306400000012</v>
      </c>
      <c r="W247" s="609">
        <f t="shared" si="78"/>
        <v>-27.43199999999888</v>
      </c>
      <c r="X247" s="609">
        <f>-759-X282</f>
        <v>-801.99326233603995</v>
      </c>
      <c r="Y247" s="609">
        <f t="shared" si="80"/>
        <v>-1515.1429254528421</v>
      </c>
      <c r="Z247" s="608">
        <f t="shared" si="79"/>
        <v>762.18799999999828</v>
      </c>
      <c r="AA247" s="609">
        <f t="shared" si="80"/>
        <v>166</v>
      </c>
      <c r="AB247" s="608">
        <f t="shared" si="81"/>
        <v>756.55446640646187</v>
      </c>
      <c r="AC247" s="609">
        <f t="shared" si="81"/>
        <v>-4566.1147860707479</v>
      </c>
      <c r="AD247" s="609">
        <f t="shared" si="81"/>
        <v>-4794.4205253742857</v>
      </c>
      <c r="AE247" s="609">
        <f t="shared" si="81"/>
        <v>-5034.1415516430006</v>
      </c>
      <c r="AF247" s="609">
        <f t="shared" si="81"/>
        <v>-5285.8486292251509</v>
      </c>
      <c r="AG247" s="609">
        <f t="shared" si="81"/>
        <v>-5550.1410606864083</v>
      </c>
      <c r="AH247" s="609">
        <f t="shared" si="81"/>
        <v>-5827.6481137207275</v>
      </c>
      <c r="AI247" s="609">
        <f t="shared" si="81"/>
        <v>-6119.0305194067641</v>
      </c>
      <c r="AJ247" s="609">
        <f t="shared" si="81"/>
        <v>-6424.9820453771035</v>
      </c>
      <c r="AK247" s="609">
        <f t="shared" si="81"/>
        <v>-6746.231147645959</v>
      </c>
      <c r="AL247" s="609">
        <f t="shared" si="81"/>
        <v>-7083.5427050282578</v>
      </c>
    </row>
    <row r="248" spans="1:38" s="528" customFormat="1" ht="12">
      <c r="A248" s="533"/>
      <c r="B248" s="532"/>
      <c r="C248" s="533" t="s">
        <v>251</v>
      </c>
      <c r="D248" s="616"/>
      <c r="E248" s="609"/>
      <c r="F248" s="609"/>
      <c r="G248" s="609"/>
      <c r="H248" s="609"/>
      <c r="I248" s="609"/>
      <c r="J248" s="609"/>
      <c r="K248" s="609"/>
      <c r="L248" s="609"/>
      <c r="M248" s="609"/>
      <c r="N248" s="609"/>
      <c r="O248" s="609"/>
      <c r="P248" s="609"/>
      <c r="Q248" s="609">
        <f t="shared" si="78"/>
        <v>56.334192004989958</v>
      </c>
      <c r="R248" s="609">
        <f t="shared" si="78"/>
        <v>78.957577633743369</v>
      </c>
      <c r="S248" s="609">
        <f t="shared" si="78"/>
        <v>-45.652421360000119</v>
      </c>
      <c r="T248" s="609">
        <f t="shared" si="78"/>
        <v>0</v>
      </c>
      <c r="U248" s="609">
        <f t="shared" si="78"/>
        <v>89.645511053944887</v>
      </c>
      <c r="V248" s="609">
        <f t="shared" si="78"/>
        <v>89.645511053944887</v>
      </c>
      <c r="W248" s="609">
        <f t="shared" si="78"/>
        <v>238.89839999999998</v>
      </c>
      <c r="X248" s="609">
        <v>71.166963060000015</v>
      </c>
      <c r="Y248" s="609">
        <f t="shared" si="80"/>
        <v>72.592727760000002</v>
      </c>
      <c r="Z248" s="608">
        <f t="shared" si="79"/>
        <v>238.12621456295017</v>
      </c>
      <c r="AA248" s="609">
        <f t="shared" si="80"/>
        <v>186</v>
      </c>
      <c r="AB248" s="608">
        <f t="shared" si="81"/>
        <v>0.78114012033674385</v>
      </c>
      <c r="AC248" s="609">
        <f t="shared" si="81"/>
        <v>0.82800852755696042</v>
      </c>
      <c r="AD248" s="609">
        <f t="shared" si="81"/>
        <v>0.87768903921033825</v>
      </c>
      <c r="AE248" s="609">
        <f t="shared" si="81"/>
        <v>0.9303503815629881</v>
      </c>
      <c r="AF248" s="609">
        <f t="shared" si="81"/>
        <v>0.98617140445679752</v>
      </c>
      <c r="AG248" s="609">
        <f t="shared" si="81"/>
        <v>1.045341688724136</v>
      </c>
      <c r="AH248" s="609">
        <f t="shared" si="81"/>
        <v>1.1080621900476331</v>
      </c>
      <c r="AI248" s="609">
        <f t="shared" si="81"/>
        <v>1.1745459214504876</v>
      </c>
      <c r="AJ248" s="609">
        <f t="shared" si="81"/>
        <v>1.2450186767375158</v>
      </c>
      <c r="AK248" s="609">
        <f t="shared" si="81"/>
        <v>1.3197197973417474</v>
      </c>
      <c r="AL248" s="609">
        <f t="shared" si="81"/>
        <v>1.3989029851823034</v>
      </c>
    </row>
    <row r="249" spans="1:38" s="528" customFormat="1" ht="12">
      <c r="A249" s="533"/>
      <c r="B249" s="532"/>
      <c r="C249" s="533" t="s">
        <v>227</v>
      </c>
      <c r="D249" s="616"/>
      <c r="E249" s="609"/>
      <c r="F249" s="609"/>
      <c r="G249" s="609"/>
      <c r="H249" s="609"/>
      <c r="I249" s="609"/>
      <c r="J249" s="609"/>
      <c r="K249" s="609"/>
      <c r="L249" s="609"/>
      <c r="M249" s="609"/>
      <c r="N249" s="609"/>
      <c r="O249" s="609"/>
      <c r="P249" s="609"/>
      <c r="Q249" s="609"/>
      <c r="R249" s="609"/>
      <c r="S249" s="609"/>
      <c r="T249" s="609"/>
      <c r="U249" s="609"/>
      <c r="V249" s="609"/>
      <c r="W249" s="609"/>
      <c r="X249" s="609">
        <f t="shared" ref="X249:AA252" si="82">-X284+X318</f>
        <v>56</v>
      </c>
      <c r="Y249" s="609">
        <f t="shared" si="82"/>
        <v>0</v>
      </c>
      <c r="Z249" s="608">
        <f t="shared" si="79"/>
        <v>-566.45288000000005</v>
      </c>
      <c r="AA249" s="609">
        <f t="shared" si="82"/>
        <v>0</v>
      </c>
      <c r="AB249" s="608">
        <f t="shared" si="81"/>
        <v>-5.6061719287397409</v>
      </c>
      <c r="AC249" s="609">
        <f t="shared" si="81"/>
        <v>840.76608879696255</v>
      </c>
      <c r="AD249" s="609">
        <f t="shared" si="81"/>
        <v>1008.9193065563551</v>
      </c>
      <c r="AE249" s="609">
        <f t="shared" si="81"/>
        <v>1210.703167867626</v>
      </c>
      <c r="AF249" s="609">
        <f t="shared" si="81"/>
        <v>1452.8438014411513</v>
      </c>
      <c r="AG249" s="609">
        <f t="shared" si="81"/>
        <v>1743.4125617293814</v>
      </c>
      <c r="AH249" s="609">
        <f t="shared" si="81"/>
        <v>2896.7470256426641</v>
      </c>
      <c r="AI249" s="609">
        <f t="shared" si="81"/>
        <v>3476.096430771197</v>
      </c>
      <c r="AJ249" s="609">
        <f t="shared" si="81"/>
        <v>4171.3157169254364</v>
      </c>
      <c r="AK249" s="609">
        <f t="shared" si="81"/>
        <v>5005.5788603105229</v>
      </c>
      <c r="AL249" s="609">
        <f t="shared" si="81"/>
        <v>6006.6946323726261</v>
      </c>
    </row>
    <row r="250" spans="1:38" s="528" customFormat="1" ht="12">
      <c r="A250" s="533"/>
      <c r="B250" s="532"/>
      <c r="C250" s="533" t="s">
        <v>228</v>
      </c>
      <c r="D250" s="616"/>
      <c r="E250" s="609"/>
      <c r="F250" s="609"/>
      <c r="G250" s="609"/>
      <c r="H250" s="609"/>
      <c r="I250" s="609"/>
      <c r="J250" s="609"/>
      <c r="K250" s="609"/>
      <c r="L250" s="609"/>
      <c r="M250" s="609"/>
      <c r="N250" s="609"/>
      <c r="O250" s="609"/>
      <c r="P250" s="609"/>
      <c r="Q250" s="609"/>
      <c r="R250" s="609"/>
      <c r="S250" s="609"/>
      <c r="T250" s="609"/>
      <c r="U250" s="609"/>
      <c r="V250" s="609"/>
      <c r="W250" s="609"/>
      <c r="X250" s="609">
        <f t="shared" si="82"/>
        <v>0</v>
      </c>
      <c r="Y250" s="609">
        <f t="shared" si="82"/>
        <v>0</v>
      </c>
      <c r="Z250" s="608">
        <f t="shared" si="79"/>
        <v>-620.06981400853647</v>
      </c>
      <c r="AA250" s="609">
        <f t="shared" si="82"/>
        <v>275.99999999999994</v>
      </c>
      <c r="AB250" s="608">
        <f t="shared" si="81"/>
        <v>904.90962259289995</v>
      </c>
      <c r="AC250" s="609">
        <f t="shared" si="81"/>
        <v>305.77977273512431</v>
      </c>
      <c r="AD250" s="609">
        <f t="shared" si="81"/>
        <v>366.93572728214917</v>
      </c>
      <c r="AE250" s="609">
        <f t="shared" si="81"/>
        <v>440.32287273857901</v>
      </c>
      <c r="AF250" s="609">
        <f t="shared" si="81"/>
        <v>528.38744728629467</v>
      </c>
      <c r="AG250" s="609">
        <f t="shared" si="81"/>
        <v>634.06493674355374</v>
      </c>
      <c r="AH250" s="609">
        <f t="shared" si="81"/>
        <v>1268.1298734871077</v>
      </c>
      <c r="AI250" s="609">
        <f t="shared" si="81"/>
        <v>1521.7558481845292</v>
      </c>
      <c r="AJ250" s="609">
        <f t="shared" si="81"/>
        <v>1826.107017821435</v>
      </c>
      <c r="AK250" s="609">
        <f t="shared" si="81"/>
        <v>2191.3284213857219</v>
      </c>
      <c r="AL250" s="609">
        <f t="shared" si="81"/>
        <v>2629.5941056628662</v>
      </c>
    </row>
    <row r="251" spans="1:38" s="528" customFormat="1" ht="12">
      <c r="A251" s="533"/>
      <c r="B251" s="532"/>
      <c r="C251" s="533" t="s">
        <v>252</v>
      </c>
      <c r="D251" s="616"/>
      <c r="E251" s="609"/>
      <c r="F251" s="609"/>
      <c r="G251" s="609"/>
      <c r="H251" s="609"/>
      <c r="I251" s="609"/>
      <c r="J251" s="609"/>
      <c r="K251" s="609"/>
      <c r="L251" s="609"/>
      <c r="M251" s="609"/>
      <c r="N251" s="609"/>
      <c r="O251" s="609"/>
      <c r="P251" s="609"/>
      <c r="Q251" s="609">
        <f>Q126*Q159-Q220</f>
        <v>-127.00000000000003</v>
      </c>
      <c r="R251" s="609">
        <f t="shared" ref="R251:W251" si="83">R126*R159-R220</f>
        <v>-136.84999999999997</v>
      </c>
      <c r="S251" s="609">
        <f t="shared" si="83"/>
        <v>-194.00562931340014</v>
      </c>
      <c r="T251" s="609">
        <f t="shared" si="83"/>
        <v>0</v>
      </c>
      <c r="U251" s="609">
        <f t="shared" si="83"/>
        <v>-195.5</v>
      </c>
      <c r="V251" s="609">
        <f t="shared" si="83"/>
        <v>-195.5</v>
      </c>
      <c r="W251" s="609">
        <f t="shared" si="83"/>
        <v>-201.012</v>
      </c>
      <c r="X251" s="609">
        <v>-6.4977125235000299</v>
      </c>
      <c r="Y251" s="609">
        <f t="shared" si="82"/>
        <v>0</v>
      </c>
      <c r="Z251" s="608">
        <f t="shared" si="79"/>
        <v>-73.365600000000001</v>
      </c>
      <c r="AA251" s="609">
        <f t="shared" si="82"/>
        <v>0</v>
      </c>
      <c r="AB251" s="608">
        <f t="shared" si="81"/>
        <v>0</v>
      </c>
      <c r="AC251" s="609">
        <f t="shared" si="81"/>
        <v>0</v>
      </c>
      <c r="AD251" s="609">
        <f t="shared" si="81"/>
        <v>0</v>
      </c>
      <c r="AE251" s="609">
        <f t="shared" si="81"/>
        <v>0</v>
      </c>
      <c r="AF251" s="609">
        <f t="shared" si="81"/>
        <v>0</v>
      </c>
      <c r="AG251" s="609">
        <f t="shared" si="81"/>
        <v>0</v>
      </c>
      <c r="AH251" s="609">
        <f t="shared" si="81"/>
        <v>0</v>
      </c>
      <c r="AI251" s="609">
        <f t="shared" si="81"/>
        <v>0</v>
      </c>
      <c r="AJ251" s="609">
        <f t="shared" si="81"/>
        <v>0</v>
      </c>
      <c r="AK251" s="609">
        <f t="shared" si="81"/>
        <v>0</v>
      </c>
      <c r="AL251" s="609">
        <f t="shared" si="81"/>
        <v>0</v>
      </c>
    </row>
    <row r="252" spans="1:38" s="528" customFormat="1" ht="12">
      <c r="A252" s="533"/>
      <c r="B252" s="532"/>
      <c r="C252" s="533" t="s">
        <v>253</v>
      </c>
      <c r="D252" s="616"/>
      <c r="E252" s="609"/>
      <c r="F252" s="609"/>
      <c r="G252" s="609"/>
      <c r="H252" s="609"/>
      <c r="I252" s="609"/>
      <c r="J252" s="609"/>
      <c r="K252" s="609"/>
      <c r="L252" s="609"/>
      <c r="M252" s="609"/>
      <c r="N252" s="609"/>
      <c r="O252" s="609"/>
      <c r="P252" s="609"/>
      <c r="Q252" s="609">
        <f t="shared" ref="Q252:W252" si="84">Q127*Q160-Q221+Q128</f>
        <v>-1638.3846153846146</v>
      </c>
      <c r="R252" s="609">
        <f t="shared" si="84"/>
        <v>-2184.512820512819</v>
      </c>
      <c r="S252" s="609">
        <f t="shared" si="84"/>
        <v>-2229.9275381392567</v>
      </c>
      <c r="T252" s="609">
        <f t="shared" si="84"/>
        <v>0</v>
      </c>
      <c r="U252" s="609">
        <f t="shared" si="84"/>
        <v>-2293.7384615384599</v>
      </c>
      <c r="V252" s="609">
        <f t="shared" si="84"/>
        <v>-2293.7384615384599</v>
      </c>
      <c r="W252" s="609">
        <f t="shared" si="84"/>
        <v>-4700.9441019971009</v>
      </c>
      <c r="X252" s="609">
        <f>1642-366</f>
        <v>1276</v>
      </c>
      <c r="Y252" s="609">
        <f t="shared" si="82"/>
        <v>-4185.1831123048096</v>
      </c>
      <c r="Z252" s="608">
        <f>Z127*Z160-Z221</f>
        <v>-406.16335460988012</v>
      </c>
      <c r="AA252" s="609">
        <f t="shared" si="82"/>
        <v>-391</v>
      </c>
      <c r="AB252" s="608">
        <f t="shared" ref="AA252:AL253" si="85">AB127*AB160-AB221+AB128</f>
        <v>1804.4338269539949</v>
      </c>
      <c r="AC252" s="609">
        <f t="shared" si="85"/>
        <v>1988.0422073206778</v>
      </c>
      <c r="AD252" s="609">
        <f t="shared" si="85"/>
        <v>2127.2051618331257</v>
      </c>
      <c r="AE252" s="609">
        <f t="shared" si="85"/>
        <v>2276.1095231614445</v>
      </c>
      <c r="AF252" s="609">
        <f t="shared" si="85"/>
        <v>2435.4371897827455</v>
      </c>
      <c r="AG252" s="609">
        <f t="shared" si="85"/>
        <v>2605.9177930675378</v>
      </c>
      <c r="AH252" s="609">
        <f t="shared" si="85"/>
        <v>2788.3320385822653</v>
      </c>
      <c r="AI252" s="609">
        <f t="shared" si="85"/>
        <v>2983.5152812830247</v>
      </c>
      <c r="AJ252" s="609">
        <f t="shared" si="85"/>
        <v>3192.3613509728366</v>
      </c>
      <c r="AK252" s="609">
        <f t="shared" si="85"/>
        <v>3415.8266455409348</v>
      </c>
      <c r="AL252" s="609">
        <f t="shared" si="85"/>
        <v>3654.9345107288009</v>
      </c>
    </row>
    <row r="253" spans="1:38" s="528" customFormat="1" ht="12">
      <c r="A253" s="533"/>
      <c r="B253" s="532"/>
      <c r="C253" s="533" t="s">
        <v>254</v>
      </c>
      <c r="D253" s="616"/>
      <c r="E253" s="609"/>
      <c r="F253" s="609"/>
      <c r="G253" s="609"/>
      <c r="H253" s="609"/>
      <c r="I253" s="609"/>
      <c r="J253" s="609"/>
      <c r="K253" s="609"/>
      <c r="L253" s="609"/>
      <c r="M253" s="609"/>
      <c r="N253" s="609"/>
      <c r="O253" s="609"/>
      <c r="P253" s="609"/>
      <c r="Q253" s="609"/>
      <c r="R253" s="609"/>
      <c r="S253" s="609"/>
      <c r="T253" s="609"/>
      <c r="U253" s="609"/>
      <c r="V253" s="609"/>
      <c r="W253" s="609"/>
      <c r="X253" s="609">
        <f>-X288+X322</f>
        <v>0</v>
      </c>
      <c r="Y253" s="609">
        <f>-Y288+Y322</f>
        <v>0</v>
      </c>
      <c r="Z253" s="609"/>
      <c r="AA253" s="609">
        <f t="shared" si="85"/>
        <v>0</v>
      </c>
      <c r="AB253" s="609">
        <f t="shared" si="85"/>
        <v>0</v>
      </c>
      <c r="AC253" s="609">
        <f t="shared" si="85"/>
        <v>0</v>
      </c>
      <c r="AD253" s="609">
        <f t="shared" si="85"/>
        <v>0</v>
      </c>
      <c r="AE253" s="609">
        <f t="shared" si="85"/>
        <v>0</v>
      </c>
      <c r="AF253" s="609">
        <f t="shared" si="85"/>
        <v>0</v>
      </c>
      <c r="AG253" s="609">
        <f t="shared" si="85"/>
        <v>0</v>
      </c>
      <c r="AH253" s="609">
        <f t="shared" si="85"/>
        <v>0</v>
      </c>
      <c r="AI253" s="609">
        <f t="shared" si="85"/>
        <v>0</v>
      </c>
      <c r="AJ253" s="609">
        <f t="shared" si="85"/>
        <v>0</v>
      </c>
      <c r="AK253" s="609">
        <f t="shared" si="85"/>
        <v>0</v>
      </c>
      <c r="AL253" s="609">
        <f t="shared" si="85"/>
        <v>0</v>
      </c>
    </row>
    <row r="254" spans="1:38" s="528" customFormat="1" ht="12">
      <c r="A254" s="533"/>
      <c r="B254" s="532"/>
      <c r="C254" s="507" t="s">
        <v>255</v>
      </c>
      <c r="D254" s="615"/>
      <c r="E254" s="608">
        <f t="shared" ref="E254:Y254" si="86">E129*E162-E223</f>
        <v>98.594198986338654</v>
      </c>
      <c r="F254" s="608">
        <f t="shared" si="86"/>
        <v>444.38709665674367</v>
      </c>
      <c r="G254" s="608">
        <f t="shared" si="86"/>
        <v>-921.38765549527511</v>
      </c>
      <c r="H254" s="608">
        <f t="shared" si="86"/>
        <v>-1219.2342588182109</v>
      </c>
      <c r="I254" s="608">
        <f t="shared" si="86"/>
        <v>375.7359092522247</v>
      </c>
      <c r="J254" s="608">
        <f t="shared" si="86"/>
        <v>885.62007226272954</v>
      </c>
      <c r="K254" s="609">
        <f t="shared" si="86"/>
        <v>255.96796441021252</v>
      </c>
      <c r="L254" s="609">
        <f t="shared" si="86"/>
        <v>1203.0202294464957</v>
      </c>
      <c r="M254" s="609">
        <f t="shared" si="86"/>
        <v>1066.5600000000004</v>
      </c>
      <c r="N254" s="609">
        <f t="shared" si="86"/>
        <v>665.0351277103573</v>
      </c>
      <c r="O254" s="609">
        <f t="shared" si="86"/>
        <v>2067.0964756484418</v>
      </c>
      <c r="P254" s="609">
        <f t="shared" si="86"/>
        <v>0</v>
      </c>
      <c r="Q254" s="609">
        <f t="shared" si="86"/>
        <v>0</v>
      </c>
      <c r="R254" s="609">
        <f t="shared" si="86"/>
        <v>0</v>
      </c>
      <c r="S254" s="609">
        <f t="shared" si="86"/>
        <v>0</v>
      </c>
      <c r="T254" s="609">
        <f t="shared" si="86"/>
        <v>0</v>
      </c>
      <c r="U254" s="609">
        <f t="shared" si="86"/>
        <v>0</v>
      </c>
      <c r="V254" s="609">
        <f t="shared" si="86"/>
        <v>0</v>
      </c>
      <c r="W254" s="609">
        <f t="shared" si="86"/>
        <v>0</v>
      </c>
      <c r="X254" s="609">
        <f t="shared" si="86"/>
        <v>0</v>
      </c>
      <c r="Y254" s="609">
        <f t="shared" si="86"/>
        <v>0</v>
      </c>
      <c r="Z254" s="609"/>
      <c r="AA254" s="609">
        <f t="shared" ref="AA254:AH254" si="87">AA129*AA162-AA223</f>
        <v>0</v>
      </c>
      <c r="AB254" s="609">
        <f t="shared" si="87"/>
        <v>0</v>
      </c>
      <c r="AC254" s="609">
        <f t="shared" si="87"/>
        <v>0</v>
      </c>
      <c r="AD254" s="609">
        <f t="shared" si="87"/>
        <v>0</v>
      </c>
      <c r="AE254" s="609">
        <f t="shared" si="87"/>
        <v>0</v>
      </c>
      <c r="AF254" s="609">
        <f t="shared" si="87"/>
        <v>0</v>
      </c>
      <c r="AG254" s="609">
        <f t="shared" si="87"/>
        <v>0</v>
      </c>
      <c r="AH254" s="609">
        <f t="shared" si="87"/>
        <v>0</v>
      </c>
      <c r="AI254" s="609">
        <f>AI129*AI162-AI223</f>
        <v>0</v>
      </c>
      <c r="AJ254" s="609">
        <f>AJ129*AJ162-AJ223</f>
        <v>0</v>
      </c>
      <c r="AK254" s="609">
        <f>AK129*AK162-AK223</f>
        <v>0</v>
      </c>
      <c r="AL254" s="609">
        <f>AL129*AL162-AL223</f>
        <v>0</v>
      </c>
    </row>
    <row r="255" spans="1:38" s="528" customFormat="1" ht="12">
      <c r="B255" s="532"/>
      <c r="C255" s="542" t="s">
        <v>269</v>
      </c>
      <c r="D255" s="617"/>
      <c r="E255" s="612">
        <f t="shared" ref="E255:AB255" si="88">SUM(E229:E254)</f>
        <v>8388.8185705903597</v>
      </c>
      <c r="F255" s="612">
        <f t="shared" si="88"/>
        <v>10841.506978582958</v>
      </c>
      <c r="G255" s="612">
        <f t="shared" si="88"/>
        <v>16401.955096100457</v>
      </c>
      <c r="H255" s="612">
        <f t="shared" si="88"/>
        <v>31064.775756404528</v>
      </c>
      <c r="I255" s="612">
        <f t="shared" si="88"/>
        <v>49744.233599771811</v>
      </c>
      <c r="J255" s="612">
        <f t="shared" si="88"/>
        <v>23556.595674268465</v>
      </c>
      <c r="K255" s="613">
        <f t="shared" si="88"/>
        <v>12926.619084277858</v>
      </c>
      <c r="L255" s="613">
        <f t="shared" si="88"/>
        <v>22768.586882427833</v>
      </c>
      <c r="M255" s="613">
        <f t="shared" si="88"/>
        <v>18034.404847809372</v>
      </c>
      <c r="N255" s="613">
        <f t="shared" si="88"/>
        <v>3389.5955373706292</v>
      </c>
      <c r="O255" s="613">
        <f t="shared" si="88"/>
        <v>22725.543070231095</v>
      </c>
      <c r="P255" s="613">
        <f t="shared" si="88"/>
        <v>10916.931737568038</v>
      </c>
      <c r="Q255" s="613">
        <f t="shared" si="88"/>
        <v>12491.458031531285</v>
      </c>
      <c r="R255" s="613">
        <f t="shared" si="88"/>
        <v>23405.426827417788</v>
      </c>
      <c r="S255" s="613">
        <f>SUM(S229:S254)</f>
        <v>21194.462327623936</v>
      </c>
      <c r="T255" s="613">
        <f>SUM(T229:T254)</f>
        <v>0</v>
      </c>
      <c r="U255" s="613">
        <f t="shared" si="88"/>
        <v>28731.776409515485</v>
      </c>
      <c r="V255" s="613">
        <f>SUM(V229:V254)</f>
        <v>28731.776409515485</v>
      </c>
      <c r="W255" s="613">
        <f>SUM(W229:W254)</f>
        <v>28482.040355679459</v>
      </c>
      <c r="X255" s="613">
        <f t="shared" si="88"/>
        <v>22270.047148787591</v>
      </c>
      <c r="Y255" s="613">
        <f t="shared" si="88"/>
        <v>25899.421690002346</v>
      </c>
      <c r="Z255" s="613">
        <f t="shared" si="88"/>
        <v>18831.080656500781</v>
      </c>
      <c r="AA255" s="612">
        <f t="shared" si="88"/>
        <v>30748.648032936213</v>
      </c>
      <c r="AB255" s="612">
        <f t="shared" si="88"/>
        <v>20803.668254353252</v>
      </c>
      <c r="AC255" s="612">
        <f t="shared" ref="AC255:AH255" si="89">SUM(AC229:AC254)</f>
        <v>20970.518019404044</v>
      </c>
      <c r="AD255" s="612">
        <f t="shared" si="89"/>
        <v>23506.687535091234</v>
      </c>
      <c r="AE255" s="612">
        <f t="shared" si="89"/>
        <v>26336.65649255085</v>
      </c>
      <c r="AF255" s="612">
        <f t="shared" si="89"/>
        <v>29514.054554935057</v>
      </c>
      <c r="AG255" s="612">
        <f t="shared" si="89"/>
        <v>33082.388308761714</v>
      </c>
      <c r="AH255" s="612">
        <f t="shared" si="89"/>
        <v>36479.999810661851</v>
      </c>
      <c r="AI255" s="612">
        <f>SUM(AI229:AI254)</f>
        <v>39128.720033531645</v>
      </c>
      <c r="AJ255" s="612">
        <f>SUM(AJ229:AJ254)</f>
        <v>41995.327949805367</v>
      </c>
      <c r="AK255" s="612">
        <f>SUM(AK229:AK254)</f>
        <v>45098.403295231263</v>
      </c>
      <c r="AL255" s="612">
        <f>SUM(AL229:AL254)</f>
        <v>48457.850128089784</v>
      </c>
    </row>
    <row r="256" spans="1:38" s="528" customFormat="1" ht="12">
      <c r="B256" s="532"/>
      <c r="C256" s="570" t="s">
        <v>270</v>
      </c>
      <c r="D256" s="615"/>
      <c r="E256" s="608">
        <f>7693-8389</f>
        <v>-696</v>
      </c>
      <c r="F256" s="608">
        <f>11953.4792632724-F255</f>
        <v>1111.9722846894419</v>
      </c>
      <c r="G256" s="608">
        <v>-1610</v>
      </c>
      <c r="H256" s="608">
        <f>-31065+30075</f>
        <v>-990</v>
      </c>
      <c r="I256" s="608">
        <f>48253-49744</f>
        <v>-1491</v>
      </c>
      <c r="J256" s="608">
        <f>-23557+19739</f>
        <v>-3818</v>
      </c>
      <c r="K256" s="609">
        <f>10099-12927</f>
        <v>-2828</v>
      </c>
      <c r="L256" s="609">
        <f>-22769+18645</f>
        <v>-4124</v>
      </c>
      <c r="M256" s="609">
        <f>-18507+14093</f>
        <v>-4414</v>
      </c>
      <c r="N256" s="609">
        <f>-3390+1346</f>
        <v>-2044</v>
      </c>
      <c r="O256" s="609">
        <f>18142-22726</f>
        <v>-4584</v>
      </c>
      <c r="P256" s="609">
        <f>-10917+9174</f>
        <v>-1743</v>
      </c>
      <c r="Q256" s="609">
        <f>12093-12491</f>
        <v>-398</v>
      </c>
      <c r="R256" s="609">
        <v>-525</v>
      </c>
      <c r="S256" s="609">
        <f>25169-25514+4533</f>
        <v>4188</v>
      </c>
      <c r="T256" s="609">
        <v>0</v>
      </c>
      <c r="U256" s="609">
        <v>-525</v>
      </c>
      <c r="V256" s="609">
        <v>-525</v>
      </c>
      <c r="W256" s="609">
        <f>31563-32482</f>
        <v>-919</v>
      </c>
      <c r="X256" s="609">
        <f>22268-X255</f>
        <v>-2.0471487875911407</v>
      </c>
      <c r="Y256" s="609">
        <f>21738-Y255</f>
        <v>-4161.4216900023457</v>
      </c>
      <c r="Z256" s="609">
        <v>-636</v>
      </c>
      <c r="AA256" s="608">
        <f>30564-AA255</f>
        <v>-184.64803293621299</v>
      </c>
      <c r="AB256" s="608">
        <f>17986-20804</f>
        <v>-2818</v>
      </c>
      <c r="AC256" s="608">
        <f t="shared" ref="AC256:AH256" si="90">+AB256*1.07</f>
        <v>-3015.26</v>
      </c>
      <c r="AD256" s="608">
        <f t="shared" si="90"/>
        <v>-3226.3282000000004</v>
      </c>
      <c r="AE256" s="608">
        <f t="shared" si="90"/>
        <v>-3452.1711740000005</v>
      </c>
      <c r="AF256" s="608">
        <f t="shared" si="90"/>
        <v>-3693.8231561800008</v>
      </c>
      <c r="AG256" s="608">
        <f t="shared" si="90"/>
        <v>-3952.390777112601</v>
      </c>
      <c r="AH256" s="608">
        <f t="shared" si="90"/>
        <v>-4229.0581315104837</v>
      </c>
      <c r="AI256" s="608">
        <f>+AH256*1.07</f>
        <v>-4525.092200716218</v>
      </c>
      <c r="AJ256" s="608">
        <f>+AI256*1.07</f>
        <v>-4841.8486547663533</v>
      </c>
      <c r="AK256" s="608">
        <f>+AJ256*1.07</f>
        <v>-5180.7780605999988</v>
      </c>
      <c r="AL256" s="608">
        <f>+AK256*1.07</f>
        <v>-5543.4325248419991</v>
      </c>
    </row>
    <row r="257" spans="1:38" s="528" customFormat="1" thickBot="1">
      <c r="B257" s="544"/>
      <c r="C257" s="545"/>
      <c r="D257" s="546"/>
      <c r="E257" s="618"/>
      <c r="F257" s="618"/>
      <c r="G257" s="618"/>
      <c r="H257" s="618"/>
      <c r="I257" s="618"/>
      <c r="J257" s="618"/>
      <c r="K257" s="619"/>
      <c r="L257" s="619"/>
      <c r="M257" s="619"/>
      <c r="N257" s="619"/>
      <c r="O257" s="619"/>
      <c r="P257" s="619"/>
      <c r="Q257" s="619"/>
      <c r="R257" s="619"/>
      <c r="S257" s="619"/>
      <c r="T257" s="619"/>
      <c r="U257" s="619"/>
      <c r="V257" s="619"/>
      <c r="W257" s="619"/>
      <c r="X257" s="619"/>
      <c r="Y257" s="619"/>
      <c r="Z257" s="619"/>
      <c r="AA257" s="618"/>
      <c r="AB257" s="618"/>
      <c r="AC257" s="618"/>
      <c r="AD257" s="618"/>
      <c r="AE257" s="618"/>
      <c r="AF257" s="618"/>
      <c r="AG257" s="618"/>
      <c r="AH257" s="618"/>
      <c r="AI257" s="618"/>
      <c r="AJ257" s="618"/>
      <c r="AK257" s="618"/>
      <c r="AL257" s="618"/>
    </row>
    <row r="258" spans="1:38" s="528" customFormat="1" ht="12">
      <c r="C258" s="507"/>
      <c r="E258" s="620"/>
      <c r="F258" s="620"/>
      <c r="G258" s="620"/>
      <c r="H258" s="620"/>
      <c r="I258" s="620"/>
      <c r="J258" s="620"/>
      <c r="K258" s="621"/>
      <c r="L258" s="621"/>
      <c r="M258" s="621"/>
      <c r="N258" s="621"/>
      <c r="O258" s="621"/>
      <c r="P258" s="621"/>
      <c r="Q258" s="621"/>
      <c r="R258" s="621"/>
      <c r="S258" s="621"/>
      <c r="T258" s="621"/>
      <c r="U258" s="621"/>
      <c r="V258" s="621"/>
      <c r="W258" s="621"/>
      <c r="X258" s="621"/>
      <c r="Y258" s="621"/>
      <c r="Z258" s="621"/>
      <c r="AA258" s="620"/>
      <c r="AB258" s="620"/>
      <c r="AC258" s="620"/>
      <c r="AD258" s="620"/>
      <c r="AE258" s="620"/>
      <c r="AF258" s="620"/>
      <c r="AG258" s="620"/>
      <c r="AH258" s="620"/>
      <c r="AI258" s="620"/>
      <c r="AJ258" s="620"/>
      <c r="AK258" s="620"/>
      <c r="AL258" s="620"/>
    </row>
    <row r="259" spans="1:38" s="528" customFormat="1" ht="12">
      <c r="C259" s="507"/>
      <c r="E259" s="620"/>
      <c r="F259" s="620"/>
      <c r="G259" s="620"/>
      <c r="H259" s="620"/>
      <c r="I259" s="620"/>
      <c r="J259" s="620"/>
      <c r="K259" s="621"/>
      <c r="L259" s="621"/>
      <c r="M259" s="621"/>
      <c r="N259" s="621"/>
      <c r="O259" s="621"/>
      <c r="P259" s="621"/>
      <c r="Q259" s="621"/>
      <c r="R259" s="621"/>
      <c r="S259" s="621"/>
      <c r="T259" s="621"/>
      <c r="U259" s="621"/>
      <c r="V259" s="621"/>
      <c r="W259" s="621"/>
      <c r="X259" s="621"/>
      <c r="Y259" s="621"/>
      <c r="Z259" s="621"/>
      <c r="AA259" s="620"/>
      <c r="AB259" s="620"/>
      <c r="AC259" s="620"/>
      <c r="AD259" s="620"/>
      <c r="AE259" s="620"/>
      <c r="AF259" s="620"/>
      <c r="AG259" s="620"/>
      <c r="AH259" s="620"/>
      <c r="AI259" s="620"/>
      <c r="AJ259" s="620"/>
      <c r="AK259" s="620"/>
      <c r="AL259" s="620"/>
    </row>
    <row r="260" spans="1:38" s="528" customFormat="1" ht="12">
      <c r="C260" s="506" t="s">
        <v>167</v>
      </c>
      <c r="E260" s="620"/>
      <c r="F260" s="620"/>
      <c r="G260" s="620"/>
      <c r="H260" s="620"/>
      <c r="I260" s="620"/>
      <c r="J260" s="620"/>
      <c r="K260" s="620"/>
      <c r="L260" s="621">
        <v>491</v>
      </c>
      <c r="M260" s="620">
        <v>506</v>
      </c>
      <c r="N260" s="621">
        <v>0</v>
      </c>
      <c r="O260" s="621">
        <v>504</v>
      </c>
      <c r="P260" s="621"/>
      <c r="Q260" s="621">
        <v>0</v>
      </c>
      <c r="R260" s="621">
        <f>616-72</f>
        <v>544</v>
      </c>
      <c r="S260" s="621">
        <f>615-101</f>
        <v>514</v>
      </c>
      <c r="T260" s="621">
        <v>504</v>
      </c>
      <c r="U260" s="621">
        <v>504</v>
      </c>
      <c r="V260" s="621">
        <v>504</v>
      </c>
      <c r="W260" s="621">
        <f>3134-2317</f>
        <v>817</v>
      </c>
      <c r="X260" s="621"/>
      <c r="Y260" s="621"/>
      <c r="Z260" s="621"/>
      <c r="AA260" s="620">
        <f>500-260</f>
        <v>240</v>
      </c>
      <c r="AB260" s="620"/>
      <c r="AC260" s="620"/>
      <c r="AD260" s="620"/>
      <c r="AE260" s="620"/>
      <c r="AF260" s="620"/>
      <c r="AG260" s="620"/>
      <c r="AH260" s="620"/>
      <c r="AI260" s="620"/>
      <c r="AJ260" s="620"/>
      <c r="AK260" s="620"/>
      <c r="AL260" s="620"/>
    </row>
    <row r="261" spans="1:38" s="528" customFormat="1" thickBot="1">
      <c r="A261" s="505"/>
      <c r="C261" s="507"/>
      <c r="L261" s="516"/>
      <c r="M261" s="516"/>
      <c r="N261" s="516"/>
      <c r="O261" s="516"/>
      <c r="P261" s="516"/>
      <c r="Q261" s="516"/>
      <c r="R261" s="516"/>
      <c r="S261" s="516"/>
      <c r="T261" s="516"/>
      <c r="U261" s="516"/>
      <c r="V261" s="516"/>
      <c r="W261" s="516"/>
      <c r="X261" s="516"/>
      <c r="Y261" s="516"/>
      <c r="Z261" s="516"/>
    </row>
    <row r="262" spans="1:38" s="528" customFormat="1" ht="12">
      <c r="B262" s="529"/>
      <c r="C262" s="530"/>
      <c r="D262" s="531"/>
      <c r="E262" s="596"/>
      <c r="F262" s="596"/>
      <c r="G262" s="596"/>
      <c r="H262" s="596"/>
      <c r="I262" s="596"/>
      <c r="J262" s="596"/>
      <c r="K262" s="597"/>
      <c r="L262" s="597"/>
      <c r="M262" s="598"/>
      <c r="N262" s="598"/>
      <c r="O262" s="597"/>
      <c r="P262" s="597"/>
      <c r="Q262" s="597"/>
      <c r="R262" s="598"/>
      <c r="S262" s="597"/>
      <c r="T262" s="598"/>
      <c r="U262" s="598"/>
      <c r="V262" s="598"/>
      <c r="W262" s="598"/>
      <c r="X262" s="598"/>
      <c r="Y262" s="598"/>
      <c r="Z262" s="598"/>
      <c r="AA262" s="599"/>
      <c r="AB262" s="599"/>
      <c r="AC262" s="599"/>
      <c r="AD262" s="599"/>
      <c r="AE262" s="599"/>
      <c r="AF262" s="599"/>
      <c r="AG262" s="599"/>
      <c r="AH262" s="599"/>
      <c r="AI262" s="599"/>
      <c r="AJ262" s="599"/>
      <c r="AK262" s="599"/>
      <c r="AL262" s="599"/>
    </row>
    <row r="263" spans="1:38" s="528" customFormat="1" ht="12">
      <c r="B263" s="532"/>
      <c r="C263" s="506" t="s">
        <v>271</v>
      </c>
      <c r="D263" s="540"/>
      <c r="I263" s="516"/>
      <c r="J263" s="516"/>
      <c r="K263" s="516"/>
      <c r="L263" s="516"/>
      <c r="M263" s="516"/>
      <c r="N263" s="516"/>
      <c r="O263" s="516"/>
      <c r="P263" s="516"/>
      <c r="Q263" s="516"/>
      <c r="R263" s="581"/>
      <c r="S263" s="516"/>
      <c r="T263" s="581"/>
      <c r="U263" s="581"/>
      <c r="V263" s="581"/>
      <c r="W263" s="581"/>
      <c r="X263" s="581"/>
      <c r="Y263" s="581"/>
      <c r="Z263" s="581"/>
      <c r="AA263" s="582"/>
      <c r="AB263" s="582"/>
      <c r="AC263" s="582"/>
      <c r="AD263" s="582"/>
      <c r="AE263" s="582"/>
      <c r="AF263" s="582"/>
      <c r="AG263" s="582"/>
      <c r="AH263" s="582"/>
      <c r="AI263" s="582"/>
      <c r="AJ263" s="582"/>
      <c r="AK263" s="582"/>
      <c r="AL263" s="582"/>
    </row>
    <row r="264" spans="1:38" s="528" customFormat="1" ht="12">
      <c r="A264" s="507"/>
      <c r="B264" s="532"/>
      <c r="C264" s="507" t="s">
        <v>237</v>
      </c>
      <c r="D264" s="615"/>
      <c r="E264" s="516"/>
      <c r="F264" s="516"/>
      <c r="G264" s="516"/>
      <c r="H264" s="516"/>
      <c r="I264" s="609"/>
      <c r="J264" s="609"/>
      <c r="K264" s="516"/>
      <c r="L264" s="609"/>
      <c r="M264" s="609"/>
      <c r="N264" s="609"/>
      <c r="O264" s="609"/>
      <c r="P264" s="609">
        <v>1551.3259296697015</v>
      </c>
      <c r="Q264" s="609">
        <v>1360.5</v>
      </c>
      <c r="R264" s="609">
        <v>1858</v>
      </c>
      <c r="S264" s="609">
        <v>1826.825210007999</v>
      </c>
      <c r="T264" s="609">
        <v>2073.6000000000004</v>
      </c>
      <c r="U264" s="609">
        <v>2073.6000000000004</v>
      </c>
      <c r="V264" s="609">
        <v>2073.6000000000004</v>
      </c>
      <c r="W264" s="609">
        <v>1551.3259296697015</v>
      </c>
      <c r="X264" s="609">
        <v>1418</v>
      </c>
      <c r="Y264" s="609">
        <v>1553</v>
      </c>
      <c r="Z264" s="609">
        <v>1007.222</v>
      </c>
      <c r="AA264" s="609">
        <v>1323</v>
      </c>
      <c r="AB264" s="609">
        <v>1226.5840004899999</v>
      </c>
      <c r="AC264" s="609">
        <f t="shared" ref="AA264:AL279" si="91">AB264*1.05</f>
        <v>1287.9132005145</v>
      </c>
      <c r="AD264" s="609">
        <f t="shared" si="91"/>
        <v>1352.3088605402249</v>
      </c>
      <c r="AE264" s="609">
        <f t="shared" si="91"/>
        <v>1419.9243035672362</v>
      </c>
      <c r="AF264" s="609">
        <f t="shared" si="91"/>
        <v>1490.920518745598</v>
      </c>
      <c r="AG264" s="609">
        <f t="shared" si="91"/>
        <v>1565.4665446828778</v>
      </c>
      <c r="AH264" s="609">
        <f t="shared" si="91"/>
        <v>1643.7398719170219</v>
      </c>
      <c r="AI264" s="609">
        <f t="shared" si="91"/>
        <v>1725.9268655128731</v>
      </c>
      <c r="AJ264" s="609">
        <f t="shared" si="91"/>
        <v>1812.2232087885168</v>
      </c>
      <c r="AK264" s="609">
        <f t="shared" si="91"/>
        <v>1902.8343692279427</v>
      </c>
      <c r="AL264" s="609">
        <f t="shared" si="91"/>
        <v>1997.9760876893399</v>
      </c>
    </row>
    <row r="265" spans="1:38" s="528" customFormat="1" ht="12">
      <c r="A265" s="507"/>
      <c r="B265" s="532"/>
      <c r="C265" s="507" t="s">
        <v>238</v>
      </c>
      <c r="D265" s="615"/>
      <c r="E265" s="516"/>
      <c r="F265" s="516"/>
      <c r="G265" s="516"/>
      <c r="H265" s="516"/>
      <c r="I265" s="609"/>
      <c r="J265" s="609"/>
      <c r="K265" s="516"/>
      <c r="L265" s="609"/>
      <c r="M265" s="609"/>
      <c r="N265" s="609"/>
      <c r="O265" s="609"/>
      <c r="P265" s="609">
        <v>1474.5082299999999</v>
      </c>
      <c r="Q265" s="609">
        <v>1010.60903</v>
      </c>
      <c r="R265" s="609">
        <v>1315.6090300000001</v>
      </c>
      <c r="S265" s="609">
        <v>1576.3873200000003</v>
      </c>
      <c r="T265" s="609">
        <v>1320</v>
      </c>
      <c r="U265" s="609">
        <v>1320</v>
      </c>
      <c r="V265" s="609">
        <v>1320</v>
      </c>
      <c r="W265" s="609">
        <v>1474.5082299999999</v>
      </c>
      <c r="X265" s="609">
        <v>1927</v>
      </c>
      <c r="Y265" s="609">
        <v>1644</v>
      </c>
      <c r="Z265" s="609">
        <v>1585.54</v>
      </c>
      <c r="AA265" s="609">
        <v>1560</v>
      </c>
      <c r="AB265" s="609">
        <v>1421.6460200000001</v>
      </c>
      <c r="AC265" s="609">
        <v>826.875</v>
      </c>
      <c r="AD265" s="609">
        <v>868.21875</v>
      </c>
      <c r="AE265" s="609">
        <v>868.21875</v>
      </c>
      <c r="AF265" s="609">
        <f t="shared" si="91"/>
        <v>911.62968750000005</v>
      </c>
      <c r="AG265" s="609">
        <f t="shared" si="91"/>
        <v>957.2111718750001</v>
      </c>
      <c r="AH265" s="609">
        <f t="shared" si="91"/>
        <v>1005.0717304687502</v>
      </c>
      <c r="AI265" s="609">
        <f t="shared" si="91"/>
        <v>1055.3253169921877</v>
      </c>
      <c r="AJ265" s="609">
        <f t="shared" si="91"/>
        <v>1108.0915828417972</v>
      </c>
      <c r="AK265" s="609">
        <f t="shared" si="91"/>
        <v>1163.4961619838871</v>
      </c>
      <c r="AL265" s="609">
        <f t="shared" si="91"/>
        <v>1221.6709700830816</v>
      </c>
    </row>
    <row r="266" spans="1:38" s="528" customFormat="1" ht="12">
      <c r="A266" s="507"/>
      <c r="B266" s="532"/>
      <c r="C266" s="507" t="s">
        <v>239</v>
      </c>
      <c r="D266" s="615"/>
      <c r="E266" s="516"/>
      <c r="F266" s="516"/>
      <c r="G266" s="516"/>
      <c r="H266" s="516"/>
      <c r="I266" s="609">
        <v>976</v>
      </c>
      <c r="J266" s="609">
        <v>1222</v>
      </c>
      <c r="K266" s="516"/>
      <c r="L266" s="609">
        <v>1381</v>
      </c>
      <c r="M266" s="609"/>
      <c r="N266" s="609"/>
      <c r="O266" s="609">
        <v>1262</v>
      </c>
      <c r="P266" s="609">
        <v>1706.4119501844225</v>
      </c>
      <c r="Q266" s="609">
        <v>1154.1551962620779</v>
      </c>
      <c r="R266" s="609">
        <v>1507.4294807692308</v>
      </c>
      <c r="S266" s="609">
        <v>1486.5983396838692</v>
      </c>
      <c r="T266" s="609">
        <v>1523.0769230769231</v>
      </c>
      <c r="U266" s="609">
        <v>1523.0769230769231</v>
      </c>
      <c r="V266" s="609">
        <v>1523.0769230769231</v>
      </c>
      <c r="W266" s="609">
        <v>1706.4119501844225</v>
      </c>
      <c r="X266" s="609">
        <v>2568</v>
      </c>
      <c r="Y266" s="609">
        <v>1664</v>
      </c>
      <c r="Z266" s="609">
        <v>2078.8110000000001</v>
      </c>
      <c r="AA266" s="609">
        <v>2164</v>
      </c>
      <c r="AB266" s="609">
        <v>2153.3251758686911</v>
      </c>
      <c r="AC266" s="609">
        <f t="shared" si="91"/>
        <v>2260.9914346621258</v>
      </c>
      <c r="AD266" s="609">
        <f t="shared" si="91"/>
        <v>2374.0410063952322</v>
      </c>
      <c r="AE266" s="609">
        <f t="shared" si="91"/>
        <v>2492.7430567149941</v>
      </c>
      <c r="AF266" s="609">
        <f t="shared" si="91"/>
        <v>2617.380209550744</v>
      </c>
      <c r="AG266" s="609">
        <f t="shared" si="91"/>
        <v>2748.2492200282813</v>
      </c>
      <c r="AH266" s="609">
        <f t="shared" si="91"/>
        <v>2885.6616810296955</v>
      </c>
      <c r="AI266" s="609">
        <f t="shared" si="91"/>
        <v>3029.9447650811803</v>
      </c>
      <c r="AJ266" s="609">
        <f t="shared" si="91"/>
        <v>3181.4420033352394</v>
      </c>
      <c r="AK266" s="609">
        <f t="shared" si="91"/>
        <v>3340.5141035020015</v>
      </c>
      <c r="AL266" s="609">
        <f t="shared" si="91"/>
        <v>3507.5398086771015</v>
      </c>
    </row>
    <row r="267" spans="1:38" s="528" customFormat="1" ht="12">
      <c r="A267" s="507"/>
      <c r="B267" s="532"/>
      <c r="C267" s="507" t="s">
        <v>240</v>
      </c>
      <c r="D267" s="615"/>
      <c r="E267" s="516"/>
      <c r="F267" s="516"/>
      <c r="G267" s="516"/>
      <c r="H267" s="516"/>
      <c r="I267" s="609"/>
      <c r="J267" s="609"/>
      <c r="K267" s="516"/>
      <c r="L267" s="609"/>
      <c r="M267" s="609"/>
      <c r="N267" s="609"/>
      <c r="O267" s="609"/>
      <c r="P267" s="609">
        <v>255.76694510629596</v>
      </c>
      <c r="Q267" s="609">
        <v>134.98521323081602</v>
      </c>
      <c r="R267" s="609">
        <v>19.364800000000002</v>
      </c>
      <c r="S267" s="609">
        <v>182.30575552123997</v>
      </c>
      <c r="T267" s="609">
        <v>19.656000000000002</v>
      </c>
      <c r="U267" s="609">
        <v>19.656000000000002</v>
      </c>
      <c r="V267" s="609">
        <v>19.656000000000002</v>
      </c>
      <c r="W267" s="609">
        <v>255.76694510629596</v>
      </c>
      <c r="X267" s="609">
        <v>161.72</v>
      </c>
      <c r="Y267" s="609">
        <v>563.4</v>
      </c>
      <c r="Z267" s="609">
        <v>143.999</v>
      </c>
      <c r="AA267" s="609">
        <v>156</v>
      </c>
      <c r="AB267" s="609">
        <v>160.86430266880001</v>
      </c>
      <c r="AC267" s="609">
        <f t="shared" si="91"/>
        <v>168.90751780224002</v>
      </c>
      <c r="AD267" s="609">
        <f t="shared" si="91"/>
        <v>177.35289369235204</v>
      </c>
      <c r="AE267" s="609">
        <f t="shared" si="91"/>
        <v>186.22053837696964</v>
      </c>
      <c r="AF267" s="609">
        <f t="shared" si="91"/>
        <v>195.53156529581813</v>
      </c>
      <c r="AG267" s="609">
        <f t="shared" si="91"/>
        <v>205.30814356060904</v>
      </c>
      <c r="AH267" s="609">
        <f t="shared" si="91"/>
        <v>215.57355073863951</v>
      </c>
      <c r="AI267" s="609">
        <f t="shared" si="91"/>
        <v>226.35222827557149</v>
      </c>
      <c r="AJ267" s="609">
        <f t="shared" si="91"/>
        <v>237.66983968935008</v>
      </c>
      <c r="AK267" s="609">
        <f t="shared" si="91"/>
        <v>249.55333167381761</v>
      </c>
      <c r="AL267" s="609">
        <f t="shared" si="91"/>
        <v>262.03099825750849</v>
      </c>
    </row>
    <row r="268" spans="1:38" s="528" customFormat="1" ht="12">
      <c r="A268" s="507"/>
      <c r="B268" s="532"/>
      <c r="C268" s="507" t="s">
        <v>223</v>
      </c>
      <c r="D268" s="615"/>
      <c r="E268" s="516"/>
      <c r="F268" s="516"/>
      <c r="G268" s="516"/>
      <c r="H268" s="516"/>
      <c r="I268" s="609"/>
      <c r="J268" s="609"/>
      <c r="K268" s="516"/>
      <c r="L268" s="609"/>
      <c r="M268" s="609"/>
      <c r="N268" s="609"/>
      <c r="O268" s="609"/>
      <c r="P268" s="609">
        <v>105.73491</v>
      </c>
      <c r="Q268" s="610">
        <v>0</v>
      </c>
      <c r="R268" s="610">
        <f>9.6*0</f>
        <v>0</v>
      </c>
      <c r="S268" s="609">
        <v>0</v>
      </c>
      <c r="T268" s="609">
        <v>15</v>
      </c>
      <c r="U268" s="609">
        <v>15</v>
      </c>
      <c r="V268" s="609">
        <v>15</v>
      </c>
      <c r="W268" s="609">
        <v>105.73491</v>
      </c>
      <c r="X268" s="609">
        <v>216</v>
      </c>
      <c r="Y268" s="609">
        <v>188</v>
      </c>
      <c r="Z268" s="609">
        <v>244.33</v>
      </c>
      <c r="AA268" s="609">
        <v>630</v>
      </c>
      <c r="AB268" s="609">
        <v>410.22166706295729</v>
      </c>
      <c r="AC268" s="609">
        <f t="shared" si="91"/>
        <v>430.7327504161052</v>
      </c>
      <c r="AD268" s="609">
        <f t="shared" si="91"/>
        <v>452.2693879369105</v>
      </c>
      <c r="AE268" s="609">
        <f t="shared" si="91"/>
        <v>474.88285733375608</v>
      </c>
      <c r="AF268" s="609">
        <f t="shared" si="91"/>
        <v>498.62700020044389</v>
      </c>
      <c r="AG268" s="609">
        <f t="shared" si="91"/>
        <v>523.55835021046607</v>
      </c>
      <c r="AH268" s="609">
        <f t="shared" si="91"/>
        <v>549.73626772098942</v>
      </c>
      <c r="AI268" s="609">
        <f t="shared" si="91"/>
        <v>577.22308110703887</v>
      </c>
      <c r="AJ268" s="609">
        <f t="shared" si="91"/>
        <v>606.08423516239088</v>
      </c>
      <c r="AK268" s="609">
        <f t="shared" si="91"/>
        <v>636.38844692051043</v>
      </c>
      <c r="AL268" s="609">
        <f t="shared" si="91"/>
        <v>668.20786926653602</v>
      </c>
    </row>
    <row r="269" spans="1:38" s="528" customFormat="1" ht="12">
      <c r="A269" s="507"/>
      <c r="B269" s="532"/>
      <c r="C269" s="507" t="s">
        <v>224</v>
      </c>
      <c r="D269" s="615"/>
      <c r="E269" s="516"/>
      <c r="F269" s="516"/>
      <c r="G269" s="516"/>
      <c r="H269" s="516"/>
      <c r="I269" s="609"/>
      <c r="J269" s="609"/>
      <c r="K269" s="516"/>
      <c r="L269" s="609"/>
      <c r="M269" s="609"/>
      <c r="N269" s="609"/>
      <c r="O269" s="609"/>
      <c r="P269" s="609">
        <v>23.224594950502908</v>
      </c>
      <c r="Q269" s="610">
        <f>32*0</f>
        <v>0</v>
      </c>
      <c r="R269" s="610">
        <f>106*0</f>
        <v>0</v>
      </c>
      <c r="S269" s="609">
        <f>45.0842492329416</f>
        <v>45.084249232941602</v>
      </c>
      <c r="T269" s="609">
        <v>722</v>
      </c>
      <c r="U269" s="609">
        <v>722</v>
      </c>
      <c r="V269" s="609">
        <v>722</v>
      </c>
      <c r="W269" s="609">
        <v>23.224594950502908</v>
      </c>
      <c r="X269" s="609">
        <v>1213</v>
      </c>
      <c r="Y269" s="609">
        <v>518</v>
      </c>
      <c r="Z269" s="609">
        <v>535.02</v>
      </c>
      <c r="AA269" s="609">
        <v>552</v>
      </c>
      <c r="AB269" s="609">
        <v>614.27761607388061</v>
      </c>
      <c r="AC269" s="609">
        <v>550</v>
      </c>
      <c r="AD269" s="609">
        <v>500</v>
      </c>
      <c r="AE269" s="609">
        <v>470</v>
      </c>
      <c r="AF269" s="609">
        <v>450</v>
      </c>
      <c r="AG269" s="609">
        <f t="shared" si="91"/>
        <v>472.5</v>
      </c>
      <c r="AH269" s="609">
        <f t="shared" si="91"/>
        <v>496.125</v>
      </c>
      <c r="AI269" s="609">
        <f t="shared" si="91"/>
        <v>520.93124999999998</v>
      </c>
      <c r="AJ269" s="609">
        <f t="shared" si="91"/>
        <v>546.97781250000003</v>
      </c>
      <c r="AK269" s="609">
        <f t="shared" si="91"/>
        <v>574.32670312500011</v>
      </c>
      <c r="AL269" s="609">
        <f t="shared" si="91"/>
        <v>603.04303828125012</v>
      </c>
    </row>
    <row r="270" spans="1:38" s="528" customFormat="1" ht="12">
      <c r="A270" s="507"/>
      <c r="B270" s="532"/>
      <c r="C270" s="507" t="s">
        <v>241</v>
      </c>
      <c r="D270" s="615"/>
      <c r="E270" s="516"/>
      <c r="F270" s="516"/>
      <c r="G270" s="516"/>
      <c r="H270" s="516"/>
      <c r="I270" s="609"/>
      <c r="J270" s="609"/>
      <c r="K270" s="516"/>
      <c r="L270" s="609"/>
      <c r="M270" s="609"/>
      <c r="N270" s="609"/>
      <c r="O270" s="609"/>
      <c r="P270" s="609">
        <v>54.0418102</v>
      </c>
      <c r="Q270" s="609">
        <v>23.923999999999999</v>
      </c>
      <c r="R270" s="609">
        <v>79</v>
      </c>
      <c r="S270" s="609">
        <v>89.267797476200002</v>
      </c>
      <c r="T270" s="609">
        <v>120.30769230769232</v>
      </c>
      <c r="U270" s="609">
        <v>120.30769230769232</v>
      </c>
      <c r="V270" s="609">
        <v>120.30769230769232</v>
      </c>
      <c r="W270" s="609">
        <v>54.0418102</v>
      </c>
      <c r="X270" s="609">
        <v>144</v>
      </c>
      <c r="Y270" s="609">
        <v>250</v>
      </c>
      <c r="Z270" s="609">
        <v>111.02200000000001</v>
      </c>
      <c r="AA270" s="609">
        <v>122</v>
      </c>
      <c r="AB270" s="609">
        <v>125.79613148206414</v>
      </c>
      <c r="AC270" s="609">
        <v>168.49799999999999</v>
      </c>
      <c r="AD270" s="609">
        <v>185.34780000000001</v>
      </c>
      <c r="AE270" s="609">
        <v>203.88258000000002</v>
      </c>
      <c r="AF270" s="609">
        <f t="shared" si="91"/>
        <v>214.07670900000002</v>
      </c>
      <c r="AG270" s="609">
        <f t="shared" si="91"/>
        <v>224.78054445000004</v>
      </c>
      <c r="AH270" s="609">
        <f t="shared" si="91"/>
        <v>236.01957167250004</v>
      </c>
      <c r="AI270" s="609">
        <f t="shared" si="91"/>
        <v>247.82055025612505</v>
      </c>
      <c r="AJ270" s="609">
        <f t="shared" si="91"/>
        <v>260.21157776893131</v>
      </c>
      <c r="AK270" s="609">
        <f t="shared" si="91"/>
        <v>273.22215665737787</v>
      </c>
      <c r="AL270" s="609">
        <f t="shared" si="91"/>
        <v>286.88326449024675</v>
      </c>
    </row>
    <row r="271" spans="1:38" s="528" customFormat="1" ht="12">
      <c r="A271" s="507"/>
      <c r="B271" s="532"/>
      <c r="C271" s="507" t="s">
        <v>225</v>
      </c>
      <c r="D271" s="615"/>
      <c r="E271" s="516"/>
      <c r="F271" s="516"/>
      <c r="G271" s="516"/>
      <c r="H271" s="516"/>
      <c r="I271" s="609"/>
      <c r="J271" s="609"/>
      <c r="K271" s="516"/>
      <c r="L271" s="609"/>
      <c r="M271" s="609"/>
      <c r="N271" s="609"/>
      <c r="O271" s="609"/>
      <c r="P271" s="609">
        <v>0</v>
      </c>
      <c r="Q271" s="609">
        <v>0</v>
      </c>
      <c r="R271" s="609">
        <v>0</v>
      </c>
      <c r="S271" s="609">
        <v>0</v>
      </c>
      <c r="T271" s="609">
        <v>0</v>
      </c>
      <c r="U271" s="609">
        <v>0</v>
      </c>
      <c r="V271" s="609">
        <v>0</v>
      </c>
      <c r="W271" s="609">
        <v>0</v>
      </c>
      <c r="X271" s="609">
        <v>0</v>
      </c>
      <c r="Y271" s="609"/>
      <c r="Z271" s="609">
        <v>457.17</v>
      </c>
      <c r="AA271" s="609">
        <v>513</v>
      </c>
      <c r="AB271" s="609">
        <v>545.71225792609823</v>
      </c>
      <c r="AC271" s="609">
        <f t="shared" si="91"/>
        <v>572.99787082240312</v>
      </c>
      <c r="AD271" s="609">
        <f t="shared" si="91"/>
        <v>601.64776436352327</v>
      </c>
      <c r="AE271" s="609">
        <f t="shared" si="91"/>
        <v>631.73015258169949</v>
      </c>
      <c r="AF271" s="609">
        <f t="shared" si="91"/>
        <v>663.31666021078445</v>
      </c>
      <c r="AG271" s="609">
        <f t="shared" si="91"/>
        <v>696.48249322132369</v>
      </c>
      <c r="AH271" s="609">
        <f t="shared" si="91"/>
        <v>731.3066178823899</v>
      </c>
      <c r="AI271" s="609">
        <f t="shared" si="91"/>
        <v>767.87194877650938</v>
      </c>
      <c r="AJ271" s="609">
        <f t="shared" si="91"/>
        <v>806.26554621533489</v>
      </c>
      <c r="AK271" s="609">
        <f t="shared" si="91"/>
        <v>846.5788235261017</v>
      </c>
      <c r="AL271" s="609">
        <f t="shared" si="91"/>
        <v>888.90776470240678</v>
      </c>
    </row>
    <row r="272" spans="1:38" s="528" customFormat="1" ht="12">
      <c r="A272" s="507"/>
      <c r="B272" s="532"/>
      <c r="C272" s="507" t="s">
        <v>226</v>
      </c>
      <c r="D272" s="615"/>
      <c r="E272" s="516"/>
      <c r="F272" s="516"/>
      <c r="G272" s="516"/>
      <c r="H272" s="516"/>
      <c r="I272" s="609"/>
      <c r="J272" s="609"/>
      <c r="K272" s="516"/>
      <c r="L272" s="609"/>
      <c r="M272" s="609"/>
      <c r="N272" s="609"/>
      <c r="O272" s="609"/>
      <c r="P272" s="609">
        <v>0</v>
      </c>
      <c r="Q272" s="609">
        <v>0</v>
      </c>
      <c r="R272" s="609">
        <v>0</v>
      </c>
      <c r="S272" s="609">
        <v>0</v>
      </c>
      <c r="T272" s="609">
        <v>0</v>
      </c>
      <c r="U272" s="609">
        <v>0</v>
      </c>
      <c r="V272" s="609">
        <v>0</v>
      </c>
      <c r="W272" s="609">
        <v>0</v>
      </c>
      <c r="X272" s="609"/>
      <c r="Y272" s="609"/>
      <c r="Z272" s="609"/>
      <c r="AA272" s="609">
        <f t="shared" si="91"/>
        <v>0</v>
      </c>
      <c r="AB272" s="609">
        <f>AA272*1.05</f>
        <v>0</v>
      </c>
      <c r="AC272" s="609">
        <f t="shared" si="91"/>
        <v>0</v>
      </c>
      <c r="AD272" s="609">
        <f t="shared" si="91"/>
        <v>0</v>
      </c>
      <c r="AE272" s="609">
        <f t="shared" si="91"/>
        <v>0</v>
      </c>
      <c r="AF272" s="609">
        <f t="shared" si="91"/>
        <v>0</v>
      </c>
      <c r="AG272" s="609">
        <f t="shared" si="91"/>
        <v>0</v>
      </c>
      <c r="AH272" s="609">
        <f t="shared" si="91"/>
        <v>0</v>
      </c>
      <c r="AI272" s="609">
        <f t="shared" si="91"/>
        <v>0</v>
      </c>
      <c r="AJ272" s="609">
        <f t="shared" si="91"/>
        <v>0</v>
      </c>
      <c r="AK272" s="609">
        <f t="shared" si="91"/>
        <v>0</v>
      </c>
      <c r="AL272" s="609">
        <f t="shared" si="91"/>
        <v>0</v>
      </c>
    </row>
    <row r="273" spans="1:38" s="528" customFormat="1" ht="12">
      <c r="A273" s="533"/>
      <c r="B273" s="532"/>
      <c r="C273" s="533" t="s">
        <v>242</v>
      </c>
      <c r="D273" s="615"/>
      <c r="E273" s="516"/>
      <c r="F273" s="516"/>
      <c r="G273" s="516"/>
      <c r="H273" s="516"/>
      <c r="I273" s="609"/>
      <c r="J273" s="609"/>
      <c r="K273" s="516"/>
      <c r="L273" s="609"/>
      <c r="M273" s="609"/>
      <c r="N273" s="609"/>
      <c r="O273" s="609"/>
      <c r="P273" s="609">
        <v>0</v>
      </c>
      <c r="Q273" s="609">
        <v>0</v>
      </c>
      <c r="R273" s="609">
        <v>0</v>
      </c>
      <c r="S273" s="609">
        <v>81.44</v>
      </c>
      <c r="T273" s="609">
        <v>0</v>
      </c>
      <c r="U273" s="609">
        <v>0</v>
      </c>
      <c r="V273" s="609">
        <v>0</v>
      </c>
      <c r="W273" s="609">
        <v>0</v>
      </c>
      <c r="X273" s="609"/>
      <c r="Y273" s="609"/>
      <c r="Z273" s="609"/>
      <c r="AA273" s="609">
        <f t="shared" si="91"/>
        <v>0</v>
      </c>
      <c r="AB273" s="609">
        <f>AA273*1.05</f>
        <v>0</v>
      </c>
      <c r="AC273" s="609">
        <f t="shared" si="91"/>
        <v>0</v>
      </c>
      <c r="AD273" s="609">
        <f t="shared" si="91"/>
        <v>0</v>
      </c>
      <c r="AE273" s="609">
        <f t="shared" si="91"/>
        <v>0</v>
      </c>
      <c r="AF273" s="609">
        <f t="shared" si="91"/>
        <v>0</v>
      </c>
      <c r="AG273" s="609">
        <f t="shared" si="91"/>
        <v>0</v>
      </c>
      <c r="AH273" s="609">
        <f t="shared" si="91"/>
        <v>0</v>
      </c>
      <c r="AI273" s="609">
        <f t="shared" si="91"/>
        <v>0</v>
      </c>
      <c r="AJ273" s="609">
        <f t="shared" si="91"/>
        <v>0</v>
      </c>
      <c r="AK273" s="609">
        <f t="shared" si="91"/>
        <v>0</v>
      </c>
      <c r="AL273" s="609">
        <f t="shared" si="91"/>
        <v>0</v>
      </c>
    </row>
    <row r="274" spans="1:38" s="528" customFormat="1" ht="12">
      <c r="A274" s="507"/>
      <c r="B274" s="532"/>
      <c r="C274" s="507" t="s">
        <v>243</v>
      </c>
      <c r="D274" s="615"/>
      <c r="E274" s="516"/>
      <c r="F274" s="516"/>
      <c r="G274" s="516"/>
      <c r="H274" s="516"/>
      <c r="I274" s="609"/>
      <c r="J274" s="609"/>
      <c r="K274" s="516"/>
      <c r="L274" s="609"/>
      <c r="M274" s="609"/>
      <c r="N274" s="609"/>
      <c r="O274" s="609"/>
      <c r="P274" s="609">
        <v>363.58499999999998</v>
      </c>
      <c r="Q274" s="609">
        <v>249.23125999999999</v>
      </c>
      <c r="R274" s="609">
        <v>350</v>
      </c>
      <c r="S274" s="609">
        <v>362.41899999999998</v>
      </c>
      <c r="T274" s="609">
        <v>375</v>
      </c>
      <c r="U274" s="609">
        <v>375</v>
      </c>
      <c r="V274" s="609">
        <v>375</v>
      </c>
      <c r="W274" s="609">
        <v>363.58499999999998</v>
      </c>
      <c r="X274" s="609">
        <v>367</v>
      </c>
      <c r="Y274" s="609">
        <v>403</v>
      </c>
      <c r="Z274" s="609">
        <v>344.46</v>
      </c>
      <c r="AA274" s="609">
        <v>0</v>
      </c>
      <c r="AB274" s="609">
        <v>0</v>
      </c>
      <c r="AC274" s="609">
        <f t="shared" si="91"/>
        <v>0</v>
      </c>
      <c r="AD274" s="609">
        <f t="shared" si="91"/>
        <v>0</v>
      </c>
      <c r="AE274" s="609">
        <f t="shared" si="91"/>
        <v>0</v>
      </c>
      <c r="AF274" s="609">
        <f t="shared" si="91"/>
        <v>0</v>
      </c>
      <c r="AG274" s="609">
        <f t="shared" si="91"/>
        <v>0</v>
      </c>
      <c r="AH274" s="609">
        <f t="shared" si="91"/>
        <v>0</v>
      </c>
      <c r="AI274" s="609">
        <f t="shared" si="91"/>
        <v>0</v>
      </c>
      <c r="AJ274" s="609">
        <f t="shared" si="91"/>
        <v>0</v>
      </c>
      <c r="AK274" s="609">
        <f t="shared" si="91"/>
        <v>0</v>
      </c>
      <c r="AL274" s="609">
        <f t="shared" si="91"/>
        <v>0</v>
      </c>
    </row>
    <row r="275" spans="1:38" s="528" customFormat="1" ht="12">
      <c r="A275" s="507"/>
      <c r="B275" s="532"/>
      <c r="C275" s="507" t="s">
        <v>268</v>
      </c>
      <c r="D275" s="615"/>
      <c r="E275" s="516"/>
      <c r="F275" s="516"/>
      <c r="G275" s="516"/>
      <c r="H275" s="516"/>
      <c r="I275" s="609"/>
      <c r="J275" s="609"/>
      <c r="K275" s="516"/>
      <c r="L275" s="609"/>
      <c r="M275" s="609"/>
      <c r="N275" s="609"/>
      <c r="O275" s="609"/>
      <c r="P275" s="609">
        <v>0</v>
      </c>
      <c r="Q275" s="609"/>
      <c r="R275" s="609"/>
      <c r="S275" s="609">
        <v>0</v>
      </c>
      <c r="T275" s="609"/>
      <c r="U275" s="609"/>
      <c r="V275" s="609"/>
      <c r="W275" s="609">
        <v>0</v>
      </c>
      <c r="X275" s="609"/>
      <c r="Y275" s="609"/>
      <c r="Z275" s="609"/>
      <c r="AA275" s="609">
        <f t="shared" si="91"/>
        <v>0</v>
      </c>
      <c r="AB275" s="609">
        <f t="shared" si="91"/>
        <v>0</v>
      </c>
      <c r="AC275" s="609">
        <f t="shared" si="91"/>
        <v>0</v>
      </c>
      <c r="AD275" s="609">
        <f t="shared" si="91"/>
        <v>0</v>
      </c>
      <c r="AE275" s="609">
        <f t="shared" si="91"/>
        <v>0</v>
      </c>
      <c r="AF275" s="609">
        <f t="shared" si="91"/>
        <v>0</v>
      </c>
      <c r="AG275" s="609">
        <f t="shared" si="91"/>
        <v>0</v>
      </c>
      <c r="AH275" s="609">
        <f t="shared" si="91"/>
        <v>0</v>
      </c>
      <c r="AI275" s="609">
        <f t="shared" si="91"/>
        <v>0</v>
      </c>
      <c r="AJ275" s="609">
        <f t="shared" si="91"/>
        <v>0</v>
      </c>
      <c r="AK275" s="609">
        <f t="shared" si="91"/>
        <v>0</v>
      </c>
      <c r="AL275" s="609">
        <f t="shared" si="91"/>
        <v>0</v>
      </c>
    </row>
    <row r="276" spans="1:38" s="528" customFormat="1" ht="12">
      <c r="A276" s="507"/>
      <c r="B276" s="532"/>
      <c r="C276" s="507" t="s">
        <v>245</v>
      </c>
      <c r="D276" s="615"/>
      <c r="E276" s="516"/>
      <c r="F276" s="516"/>
      <c r="G276" s="516"/>
      <c r="H276" s="516"/>
      <c r="I276" s="609"/>
      <c r="J276" s="609"/>
      <c r="K276" s="516"/>
      <c r="L276" s="609"/>
      <c r="M276" s="609"/>
      <c r="N276" s="609"/>
      <c r="O276" s="609"/>
      <c r="P276" s="609">
        <v>0</v>
      </c>
      <c r="Q276" s="609">
        <v>0</v>
      </c>
      <c r="R276" s="609">
        <v>0</v>
      </c>
      <c r="S276" s="609">
        <v>0</v>
      </c>
      <c r="T276" s="609">
        <v>0</v>
      </c>
      <c r="U276" s="609">
        <v>0</v>
      </c>
      <c r="V276" s="609">
        <v>0</v>
      </c>
      <c r="W276" s="609">
        <v>0</v>
      </c>
      <c r="X276" s="609"/>
      <c r="Y276" s="609"/>
      <c r="Z276" s="609"/>
      <c r="AA276" s="609">
        <f t="shared" si="91"/>
        <v>0</v>
      </c>
      <c r="AB276" s="609">
        <f t="shared" si="91"/>
        <v>0</v>
      </c>
      <c r="AC276" s="609">
        <f t="shared" si="91"/>
        <v>0</v>
      </c>
      <c r="AD276" s="609">
        <f t="shared" si="91"/>
        <v>0</v>
      </c>
      <c r="AE276" s="609">
        <f t="shared" si="91"/>
        <v>0</v>
      </c>
      <c r="AF276" s="609">
        <f t="shared" si="91"/>
        <v>0</v>
      </c>
      <c r="AG276" s="609">
        <f t="shared" si="91"/>
        <v>0</v>
      </c>
      <c r="AH276" s="609">
        <f t="shared" si="91"/>
        <v>0</v>
      </c>
      <c r="AI276" s="609">
        <f t="shared" si="91"/>
        <v>0</v>
      </c>
      <c r="AJ276" s="609">
        <f t="shared" si="91"/>
        <v>0</v>
      </c>
      <c r="AK276" s="609">
        <f t="shared" si="91"/>
        <v>0</v>
      </c>
      <c r="AL276" s="609">
        <f t="shared" si="91"/>
        <v>0</v>
      </c>
    </row>
    <row r="277" spans="1:38" s="528" customFormat="1" ht="12">
      <c r="A277" s="507"/>
      <c r="B277" s="532"/>
      <c r="C277" s="507" t="s">
        <v>246</v>
      </c>
      <c r="D277" s="615"/>
      <c r="E277" s="516"/>
      <c r="F277" s="516"/>
      <c r="G277" s="516"/>
      <c r="H277" s="516"/>
      <c r="I277" s="609"/>
      <c r="J277" s="609"/>
      <c r="K277" s="516"/>
      <c r="L277" s="609"/>
      <c r="M277" s="609"/>
      <c r="N277" s="609"/>
      <c r="O277" s="609"/>
      <c r="P277" s="609">
        <v>566</v>
      </c>
      <c r="Q277" s="609">
        <v>441.67553952903938</v>
      </c>
      <c r="R277" s="609">
        <v>589</v>
      </c>
      <c r="S277" s="609">
        <v>592.41335174590358</v>
      </c>
      <c r="T277" s="609">
        <v>525</v>
      </c>
      <c r="U277" s="609">
        <v>525</v>
      </c>
      <c r="V277" s="609">
        <v>525</v>
      </c>
      <c r="W277" s="609">
        <v>566</v>
      </c>
      <c r="X277" s="609">
        <v>472</v>
      </c>
      <c r="Y277" s="609">
        <v>531</v>
      </c>
      <c r="Z277" s="609">
        <v>510</v>
      </c>
      <c r="AA277" s="609">
        <v>545</v>
      </c>
      <c r="AB277" s="609">
        <v>413.947</v>
      </c>
      <c r="AC277" s="609">
        <f t="shared" si="91"/>
        <v>434.64435000000003</v>
      </c>
      <c r="AD277" s="609">
        <f t="shared" si="91"/>
        <v>456.37656750000008</v>
      </c>
      <c r="AE277" s="609">
        <f t="shared" si="91"/>
        <v>479.19539587500009</v>
      </c>
      <c r="AF277" s="609">
        <f t="shared" si="91"/>
        <v>503.1551656687501</v>
      </c>
      <c r="AG277" s="609">
        <f t="shared" si="91"/>
        <v>528.31292395218759</v>
      </c>
      <c r="AH277" s="609">
        <f t="shared" si="91"/>
        <v>554.72857014979695</v>
      </c>
      <c r="AI277" s="609">
        <f t="shared" si="91"/>
        <v>582.46499865728686</v>
      </c>
      <c r="AJ277" s="609">
        <f t="shared" si="91"/>
        <v>611.58824859015124</v>
      </c>
      <c r="AK277" s="609">
        <f t="shared" si="91"/>
        <v>642.16766101965879</v>
      </c>
      <c r="AL277" s="609">
        <f t="shared" si="91"/>
        <v>674.27604407064177</v>
      </c>
    </row>
    <row r="278" spans="1:38" s="528" customFormat="1" ht="12">
      <c r="A278" s="507"/>
      <c r="B278" s="532"/>
      <c r="C278" s="507" t="s">
        <v>247</v>
      </c>
      <c r="D278" s="615"/>
      <c r="E278" s="516"/>
      <c r="F278" s="516"/>
      <c r="G278" s="516"/>
      <c r="H278" s="516"/>
      <c r="I278" s="609"/>
      <c r="J278" s="609"/>
      <c r="K278" s="516"/>
      <c r="L278" s="609"/>
      <c r="M278" s="609"/>
      <c r="N278" s="609"/>
      <c r="O278" s="609"/>
      <c r="P278" s="609">
        <v>394.37330539090419</v>
      </c>
      <c r="Q278" s="609">
        <v>268.40036673808424</v>
      </c>
      <c r="R278" s="609">
        <v>353.84615384615387</v>
      </c>
      <c r="S278" s="609">
        <v>347.09667718924266</v>
      </c>
      <c r="T278" s="609">
        <v>353.84615384615387</v>
      </c>
      <c r="U278" s="609">
        <v>353.84615384615387</v>
      </c>
      <c r="V278" s="609">
        <v>353.84615384615387</v>
      </c>
      <c r="W278" s="609">
        <v>394.37330539090419</v>
      </c>
      <c r="X278" s="609">
        <v>386</v>
      </c>
      <c r="Y278" s="609">
        <v>254</v>
      </c>
      <c r="Z278" s="609">
        <v>330.637</v>
      </c>
      <c r="AA278" s="609">
        <v>290</v>
      </c>
      <c r="AB278" s="609">
        <v>466.69052839358642</v>
      </c>
      <c r="AC278" s="609">
        <f t="shared" si="91"/>
        <v>490.02505481326574</v>
      </c>
      <c r="AD278" s="609">
        <f t="shared" si="91"/>
        <v>514.52630755392909</v>
      </c>
      <c r="AE278" s="609">
        <f t="shared" si="91"/>
        <v>540.25262293162552</v>
      </c>
      <c r="AF278" s="609">
        <f t="shared" si="91"/>
        <v>567.26525407820679</v>
      </c>
      <c r="AG278" s="609">
        <f t="shared" si="91"/>
        <v>595.62851678211712</v>
      </c>
      <c r="AH278" s="609">
        <f t="shared" si="91"/>
        <v>625.40994262122297</v>
      </c>
      <c r="AI278" s="609">
        <f t="shared" si="91"/>
        <v>656.68043975228409</v>
      </c>
      <c r="AJ278" s="609">
        <f t="shared" si="91"/>
        <v>689.51446173989837</v>
      </c>
      <c r="AK278" s="609">
        <f t="shared" si="91"/>
        <v>723.99018482689337</v>
      </c>
      <c r="AL278" s="609">
        <f t="shared" si="91"/>
        <v>760.18969406823805</v>
      </c>
    </row>
    <row r="279" spans="1:38" s="528" customFormat="1" ht="12">
      <c r="A279" s="507"/>
      <c r="B279" s="532"/>
      <c r="C279" s="507" t="s">
        <v>248</v>
      </c>
      <c r="D279" s="615"/>
      <c r="E279" s="516"/>
      <c r="F279" s="516"/>
      <c r="G279" s="516"/>
      <c r="H279" s="516"/>
      <c r="I279" s="609"/>
      <c r="J279" s="609"/>
      <c r="K279" s="516"/>
      <c r="L279" s="609"/>
      <c r="M279" s="609"/>
      <c r="N279" s="609"/>
      <c r="O279" s="609"/>
      <c r="P279" s="609">
        <v>7</v>
      </c>
      <c r="Q279" s="609">
        <v>16</v>
      </c>
      <c r="R279" s="609">
        <v>21</v>
      </c>
      <c r="S279" s="609">
        <v>0</v>
      </c>
      <c r="T279" s="609">
        <v>21</v>
      </c>
      <c r="U279" s="609">
        <v>21</v>
      </c>
      <c r="V279" s="609">
        <v>21</v>
      </c>
      <c r="W279" s="609">
        <v>7</v>
      </c>
      <c r="X279" s="609">
        <v>1.7910795000000002</v>
      </c>
      <c r="Y279" s="609"/>
      <c r="Z279" s="609">
        <v>2.42</v>
      </c>
      <c r="AA279" s="609">
        <f>Z279*1.05</f>
        <v>2.5409999999999999</v>
      </c>
      <c r="AB279" s="609">
        <f t="shared" si="91"/>
        <v>2.66805</v>
      </c>
      <c r="AC279" s="609">
        <f t="shared" si="91"/>
        <v>2.8014525000000003</v>
      </c>
      <c r="AD279" s="609">
        <f t="shared" si="91"/>
        <v>2.9415251250000005</v>
      </c>
      <c r="AE279" s="609">
        <f t="shared" si="91"/>
        <v>3.0886013812500006</v>
      </c>
      <c r="AF279" s="609">
        <f t="shared" si="91"/>
        <v>3.2430314503125008</v>
      </c>
      <c r="AG279" s="609">
        <f t="shared" si="91"/>
        <v>3.4051830228281261</v>
      </c>
      <c r="AH279" s="609">
        <f t="shared" si="91"/>
        <v>3.5754421739695328</v>
      </c>
      <c r="AI279" s="609">
        <f t="shared" si="91"/>
        <v>3.7542142826680096</v>
      </c>
      <c r="AJ279" s="609">
        <f t="shared" si="91"/>
        <v>3.9419249968014101</v>
      </c>
      <c r="AK279" s="609">
        <f t="shared" si="91"/>
        <v>4.1390212466414811</v>
      </c>
      <c r="AL279" s="609">
        <f t="shared" si="91"/>
        <v>4.3459723089735549</v>
      </c>
    </row>
    <row r="280" spans="1:38" s="528" customFormat="1" ht="12">
      <c r="A280" s="533"/>
      <c r="B280" s="532"/>
      <c r="C280" s="507" t="s">
        <v>230</v>
      </c>
      <c r="D280" s="615"/>
      <c r="E280" s="516"/>
      <c r="F280" s="516"/>
      <c r="G280" s="516"/>
      <c r="H280" s="516"/>
      <c r="I280" s="609"/>
      <c r="J280" s="609"/>
      <c r="K280" s="516"/>
      <c r="L280" s="609"/>
      <c r="M280" s="609"/>
      <c r="N280" s="609"/>
      <c r="O280" s="609"/>
      <c r="P280" s="609">
        <v>304.00051399928702</v>
      </c>
      <c r="Q280" s="609">
        <v>270.83365230675349</v>
      </c>
      <c r="R280" s="609">
        <v>347.53846153846155</v>
      </c>
      <c r="S280" s="609">
        <v>351.48957749607507</v>
      </c>
      <c r="T280" s="609">
        <v>353.84615384615387</v>
      </c>
      <c r="U280" s="609">
        <v>353.84615384615387</v>
      </c>
      <c r="V280" s="609">
        <v>353.84615384615387</v>
      </c>
      <c r="W280" s="609">
        <v>304.00051399928702</v>
      </c>
      <c r="X280" s="609">
        <v>332</v>
      </c>
      <c r="Y280" s="609">
        <v>346</v>
      </c>
      <c r="Z280" s="609">
        <v>365.63099999999997</v>
      </c>
      <c r="AA280" s="609">
        <v>385</v>
      </c>
      <c r="AB280" s="609">
        <v>415.20589076716112</v>
      </c>
      <c r="AC280" s="609">
        <f t="shared" ref="AC280:AL283" si="92">AB280*1.05</f>
        <v>435.96618530551922</v>
      </c>
      <c r="AD280" s="609">
        <f t="shared" si="92"/>
        <v>457.76449457079519</v>
      </c>
      <c r="AE280" s="609">
        <f t="shared" si="92"/>
        <v>480.65271929933499</v>
      </c>
      <c r="AF280" s="609">
        <f t="shared" si="92"/>
        <v>504.68535526430173</v>
      </c>
      <c r="AG280" s="609">
        <f t="shared" si="92"/>
        <v>529.91962302751688</v>
      </c>
      <c r="AH280" s="609">
        <f t="shared" si="92"/>
        <v>556.41560417889275</v>
      </c>
      <c r="AI280" s="609">
        <f t="shared" si="92"/>
        <v>584.23638438783746</v>
      </c>
      <c r="AJ280" s="609">
        <f t="shared" si="92"/>
        <v>613.4482036072294</v>
      </c>
      <c r="AK280" s="609">
        <f t="shared" si="92"/>
        <v>644.12061378759086</v>
      </c>
      <c r="AL280" s="609">
        <f t="shared" si="92"/>
        <v>676.32664447697039</v>
      </c>
    </row>
    <row r="281" spans="1:38" s="528" customFormat="1" ht="12">
      <c r="A281" s="533"/>
      <c r="B281" s="532"/>
      <c r="C281" s="533" t="s">
        <v>249</v>
      </c>
      <c r="D281" s="615"/>
      <c r="E281" s="516"/>
      <c r="F281" s="516"/>
      <c r="G281" s="516"/>
      <c r="H281" s="516"/>
      <c r="I281" s="609"/>
      <c r="J281" s="609"/>
      <c r="K281" s="516"/>
      <c r="L281" s="609"/>
      <c r="M281" s="609"/>
      <c r="N281" s="609"/>
      <c r="O281" s="609"/>
      <c r="P281" s="609">
        <v>0</v>
      </c>
      <c r="Q281" s="609">
        <v>0</v>
      </c>
      <c r="R281" s="609">
        <v>0</v>
      </c>
      <c r="S281" s="609">
        <v>0</v>
      </c>
      <c r="T281" s="609">
        <v>0</v>
      </c>
      <c r="U281" s="609">
        <v>0</v>
      </c>
      <c r="V281" s="609">
        <v>0</v>
      </c>
      <c r="W281" s="609">
        <v>0</v>
      </c>
      <c r="X281" s="609">
        <v>37.5</v>
      </c>
      <c r="Y281" s="609">
        <v>41</v>
      </c>
      <c r="Z281" s="609">
        <v>45.194000000000003</v>
      </c>
      <c r="AA281" s="609">
        <v>0</v>
      </c>
      <c r="AB281" s="609">
        <f t="shared" ref="AB281" si="93">AA281*1.05</f>
        <v>0</v>
      </c>
      <c r="AC281" s="609">
        <f t="shared" si="92"/>
        <v>0</v>
      </c>
      <c r="AD281" s="609">
        <f t="shared" si="92"/>
        <v>0</v>
      </c>
      <c r="AE281" s="609">
        <f t="shared" si="92"/>
        <v>0</v>
      </c>
      <c r="AF281" s="609">
        <f t="shared" si="92"/>
        <v>0</v>
      </c>
      <c r="AG281" s="609">
        <f t="shared" si="92"/>
        <v>0</v>
      </c>
      <c r="AH281" s="609">
        <f t="shared" si="92"/>
        <v>0</v>
      </c>
      <c r="AI281" s="609">
        <f t="shared" si="92"/>
        <v>0</v>
      </c>
      <c r="AJ281" s="609">
        <f t="shared" si="92"/>
        <v>0</v>
      </c>
      <c r="AK281" s="609">
        <f t="shared" si="92"/>
        <v>0</v>
      </c>
      <c r="AL281" s="609">
        <f t="shared" si="92"/>
        <v>0</v>
      </c>
    </row>
    <row r="282" spans="1:38" s="528" customFormat="1" ht="12">
      <c r="A282" s="533"/>
      <c r="B282" s="532"/>
      <c r="C282" s="533" t="s">
        <v>250</v>
      </c>
      <c r="D282" s="615"/>
      <c r="E282" s="516"/>
      <c r="F282" s="516"/>
      <c r="G282" s="516"/>
      <c r="H282" s="516"/>
      <c r="I282" s="609"/>
      <c r="J282" s="609"/>
      <c r="K282" s="516"/>
      <c r="L282" s="609"/>
      <c r="M282" s="609"/>
      <c r="N282" s="609"/>
      <c r="O282" s="609"/>
      <c r="P282" s="609">
        <v>54</v>
      </c>
      <c r="Q282" s="609">
        <v>40</v>
      </c>
      <c r="R282" s="609">
        <f>+Q282/9*12</f>
        <v>53.333333333333336</v>
      </c>
      <c r="S282" s="609">
        <v>53.938189874699205</v>
      </c>
      <c r="T282" s="609">
        <v>53</v>
      </c>
      <c r="U282" s="609">
        <v>53</v>
      </c>
      <c r="V282" s="609">
        <v>53</v>
      </c>
      <c r="W282" s="609">
        <v>54</v>
      </c>
      <c r="X282" s="609">
        <v>42.993262336039969</v>
      </c>
      <c r="Y282" s="609">
        <f>X282*1.05</f>
        <v>45.142925452841972</v>
      </c>
      <c r="Z282" s="609">
        <v>32.9129</v>
      </c>
      <c r="AA282" s="609">
        <v>3</v>
      </c>
      <c r="AB282" s="609">
        <v>31.165134329785349</v>
      </c>
      <c r="AC282" s="609">
        <f t="shared" si="92"/>
        <v>32.723391046274621</v>
      </c>
      <c r="AD282" s="609">
        <f t="shared" si="92"/>
        <v>34.359560598588352</v>
      </c>
      <c r="AE282" s="609">
        <f t="shared" si="92"/>
        <v>36.077538628517772</v>
      </c>
      <c r="AF282" s="609">
        <f t="shared" si="92"/>
        <v>37.881415559943662</v>
      </c>
      <c r="AG282" s="609">
        <f t="shared" si="92"/>
        <v>39.775486337940848</v>
      </c>
      <c r="AH282" s="609">
        <f t="shared" si="92"/>
        <v>41.764260654837891</v>
      </c>
      <c r="AI282" s="609">
        <f t="shared" si="92"/>
        <v>43.852473687579788</v>
      </c>
      <c r="AJ282" s="609">
        <f t="shared" si="92"/>
        <v>46.045097371958782</v>
      </c>
      <c r="AK282" s="609">
        <f t="shared" si="92"/>
        <v>48.347352240556724</v>
      </c>
      <c r="AL282" s="609">
        <f t="shared" si="92"/>
        <v>50.764719852584562</v>
      </c>
    </row>
    <row r="283" spans="1:38" s="528" customFormat="1" ht="12">
      <c r="A283" s="533"/>
      <c r="B283" s="532"/>
      <c r="C283" s="533" t="s">
        <v>251</v>
      </c>
      <c r="D283" s="615"/>
      <c r="E283" s="516"/>
      <c r="F283" s="516"/>
      <c r="G283" s="516"/>
      <c r="H283" s="516"/>
      <c r="I283" s="609"/>
      <c r="J283" s="609"/>
      <c r="K283" s="516"/>
      <c r="L283" s="609"/>
      <c r="M283" s="609"/>
      <c r="N283" s="609"/>
      <c r="O283" s="609"/>
      <c r="P283" s="609">
        <v>0</v>
      </c>
      <c r="Q283" s="609">
        <v>0</v>
      </c>
      <c r="R283" s="609">
        <v>0</v>
      </c>
      <c r="S283" s="609">
        <v>0</v>
      </c>
      <c r="T283" s="609">
        <v>0</v>
      </c>
      <c r="U283" s="609">
        <v>0</v>
      </c>
      <c r="V283" s="609">
        <v>0</v>
      </c>
      <c r="W283" s="609">
        <v>0</v>
      </c>
      <c r="X283" s="609">
        <v>0.67191210000000001</v>
      </c>
      <c r="Y283" s="609">
        <f>X283*1.05</f>
        <v>0.70550770500000004</v>
      </c>
      <c r="Z283" s="609">
        <v>20.192</v>
      </c>
      <c r="AA283" s="609">
        <v>20</v>
      </c>
      <c r="AB283" s="609">
        <v>18.767954559</v>
      </c>
      <c r="AC283" s="609">
        <f t="shared" si="92"/>
        <v>19.706352286950001</v>
      </c>
      <c r="AD283" s="609">
        <f t="shared" si="92"/>
        <v>20.691669901297502</v>
      </c>
      <c r="AE283" s="609">
        <f t="shared" si="92"/>
        <v>21.726253396362377</v>
      </c>
      <c r="AF283" s="609">
        <f t="shared" si="92"/>
        <v>22.812566066180498</v>
      </c>
      <c r="AG283" s="609">
        <f t="shared" si="92"/>
        <v>23.953194369489523</v>
      </c>
      <c r="AH283" s="609">
        <f t="shared" si="92"/>
        <v>25.150854087963999</v>
      </c>
      <c r="AI283" s="609">
        <f t="shared" si="92"/>
        <v>26.408396792362201</v>
      </c>
      <c r="AJ283" s="609">
        <f t="shared" si="92"/>
        <v>27.728816631980312</v>
      </c>
      <c r="AK283" s="609">
        <f t="shared" si="92"/>
        <v>29.115257463579329</v>
      </c>
      <c r="AL283" s="609">
        <f t="shared" si="92"/>
        <v>30.571020336758298</v>
      </c>
    </row>
    <row r="284" spans="1:38" s="528" customFormat="1" ht="12">
      <c r="A284" s="533"/>
      <c r="B284" s="532"/>
      <c r="C284" s="533" t="s">
        <v>227</v>
      </c>
      <c r="D284" s="615"/>
      <c r="E284" s="516"/>
      <c r="F284" s="516"/>
      <c r="G284" s="516"/>
      <c r="H284" s="516"/>
      <c r="I284" s="609"/>
      <c r="J284" s="609"/>
      <c r="K284" s="516"/>
      <c r="L284" s="609"/>
      <c r="M284" s="609"/>
      <c r="N284" s="609"/>
      <c r="O284" s="609"/>
      <c r="P284" s="609">
        <v>0</v>
      </c>
      <c r="Q284" s="609"/>
      <c r="R284" s="609"/>
      <c r="S284" s="609">
        <v>0</v>
      </c>
      <c r="T284" s="609"/>
      <c r="U284" s="609"/>
      <c r="V284" s="609"/>
      <c r="W284" s="609">
        <v>0</v>
      </c>
      <c r="X284" s="609"/>
      <c r="Y284" s="609"/>
      <c r="Z284" s="609">
        <v>7.319</v>
      </c>
      <c r="AA284" s="609">
        <v>0</v>
      </c>
      <c r="AB284" s="609">
        <v>0</v>
      </c>
      <c r="AC284" s="609">
        <v>0</v>
      </c>
      <c r="AD284" s="609">
        <v>0</v>
      </c>
      <c r="AE284" s="609">
        <v>0</v>
      </c>
      <c r="AF284" s="609">
        <v>0</v>
      </c>
      <c r="AG284" s="609">
        <v>0</v>
      </c>
      <c r="AH284" s="609">
        <v>0</v>
      </c>
      <c r="AI284" s="609">
        <v>0</v>
      </c>
      <c r="AJ284" s="609">
        <v>0</v>
      </c>
      <c r="AK284" s="609">
        <v>0</v>
      </c>
      <c r="AL284" s="609">
        <v>0</v>
      </c>
    </row>
    <row r="285" spans="1:38" s="528" customFormat="1" ht="12">
      <c r="A285" s="533"/>
      <c r="B285" s="532"/>
      <c r="C285" s="533" t="s">
        <v>228</v>
      </c>
      <c r="D285" s="615"/>
      <c r="E285" s="516"/>
      <c r="F285" s="516"/>
      <c r="G285" s="516"/>
      <c r="H285" s="516"/>
      <c r="I285" s="609"/>
      <c r="J285" s="609"/>
      <c r="K285" s="516"/>
      <c r="L285" s="609"/>
      <c r="M285" s="609"/>
      <c r="N285" s="609"/>
      <c r="O285" s="609"/>
      <c r="P285" s="609">
        <v>0</v>
      </c>
      <c r="Q285" s="609"/>
      <c r="R285" s="609"/>
      <c r="S285" s="609">
        <v>0</v>
      </c>
      <c r="T285" s="609"/>
      <c r="U285" s="609"/>
      <c r="V285" s="609"/>
      <c r="W285" s="609">
        <v>0</v>
      </c>
      <c r="X285" s="609"/>
      <c r="Y285" s="609"/>
      <c r="Z285" s="609">
        <v>51.542000000000002</v>
      </c>
      <c r="AA285" s="609">
        <v>48</v>
      </c>
      <c r="AB285" s="609">
        <v>45.459878972300004</v>
      </c>
      <c r="AC285" s="609">
        <f t="shared" ref="AC285:AL285" si="94">AB285*1.05</f>
        <v>47.732872920915007</v>
      </c>
      <c r="AD285" s="609">
        <f t="shared" si="94"/>
        <v>50.119516566960762</v>
      </c>
      <c r="AE285" s="609">
        <f t="shared" si="94"/>
        <v>52.625492395308804</v>
      </c>
      <c r="AF285" s="609">
        <f t="shared" si="94"/>
        <v>55.256767015074246</v>
      </c>
      <c r="AG285" s="609">
        <f t="shared" si="94"/>
        <v>58.019605365827964</v>
      </c>
      <c r="AH285" s="609">
        <f t="shared" si="94"/>
        <v>60.920585634119362</v>
      </c>
      <c r="AI285" s="609">
        <f t="shared" si="94"/>
        <v>63.966614915825332</v>
      </c>
      <c r="AJ285" s="609">
        <f t="shared" si="94"/>
        <v>67.164945661616599</v>
      </c>
      <c r="AK285" s="609">
        <f t="shared" si="94"/>
        <v>70.523192944697428</v>
      </c>
      <c r="AL285" s="609">
        <f t="shared" si="94"/>
        <v>74.049352591932305</v>
      </c>
    </row>
    <row r="286" spans="1:38" s="528" customFormat="1" ht="12">
      <c r="A286" s="533"/>
      <c r="B286" s="532"/>
      <c r="C286" s="533" t="s">
        <v>252</v>
      </c>
      <c r="D286" s="615"/>
      <c r="E286" s="516"/>
      <c r="F286" s="516"/>
      <c r="G286" s="516"/>
      <c r="H286" s="516"/>
      <c r="I286" s="609"/>
      <c r="J286" s="609"/>
      <c r="K286" s="516"/>
      <c r="L286" s="609"/>
      <c r="M286" s="609"/>
      <c r="N286" s="609"/>
      <c r="O286" s="609"/>
      <c r="P286" s="609">
        <v>0</v>
      </c>
      <c r="Q286" s="609"/>
      <c r="R286" s="609"/>
      <c r="S286" s="609">
        <v>0</v>
      </c>
      <c r="T286" s="609"/>
      <c r="U286" s="609"/>
      <c r="V286" s="609"/>
      <c r="W286" s="609">
        <v>0</v>
      </c>
      <c r="X286" s="609">
        <v>0</v>
      </c>
      <c r="Y286" s="609">
        <v>0</v>
      </c>
      <c r="Z286" s="609">
        <v>0</v>
      </c>
      <c r="AA286" s="609">
        <v>0</v>
      </c>
      <c r="AB286" s="609">
        <v>0</v>
      </c>
      <c r="AC286" s="609">
        <v>0</v>
      </c>
      <c r="AD286" s="609">
        <v>0</v>
      </c>
      <c r="AE286" s="609">
        <v>0</v>
      </c>
      <c r="AF286" s="609">
        <v>0</v>
      </c>
      <c r="AG286" s="609">
        <v>0</v>
      </c>
      <c r="AH286" s="609">
        <v>0</v>
      </c>
      <c r="AI286" s="609">
        <v>0</v>
      </c>
      <c r="AJ286" s="609">
        <v>0</v>
      </c>
      <c r="AK286" s="609">
        <v>0</v>
      </c>
      <c r="AL286" s="609">
        <v>0</v>
      </c>
    </row>
    <row r="287" spans="1:38" s="528" customFormat="1" ht="12">
      <c r="A287" s="533"/>
      <c r="B287" s="532"/>
      <c r="C287" s="533" t="s">
        <v>253</v>
      </c>
      <c r="D287" s="615"/>
      <c r="E287" s="516"/>
      <c r="F287" s="516"/>
      <c r="G287" s="516"/>
      <c r="H287" s="516"/>
      <c r="I287" s="609"/>
      <c r="J287" s="609"/>
      <c r="K287" s="516"/>
      <c r="L287" s="609"/>
      <c r="M287" s="609"/>
      <c r="N287" s="609"/>
      <c r="O287" s="609"/>
      <c r="P287" s="609">
        <v>214</v>
      </c>
      <c r="Q287" s="609">
        <v>188</v>
      </c>
      <c r="R287" s="609">
        <v>250</v>
      </c>
      <c r="S287" s="609">
        <v>244.01486944264897</v>
      </c>
      <c r="T287" s="609">
        <v>250</v>
      </c>
      <c r="U287" s="609">
        <v>250</v>
      </c>
      <c r="V287" s="609">
        <v>250</v>
      </c>
      <c r="W287" s="609">
        <v>214</v>
      </c>
      <c r="X287" s="609">
        <v>366.8410593379138</v>
      </c>
      <c r="Y287" s="609">
        <f>X287*1.05</f>
        <v>385.18311230480953</v>
      </c>
      <c r="Z287" s="609">
        <v>369.78160000000003</v>
      </c>
      <c r="AA287" s="609">
        <v>20</v>
      </c>
      <c r="AB287" s="609">
        <v>340.87047371248013</v>
      </c>
      <c r="AC287" s="609">
        <f t="shared" ref="AC287:AL287" si="95">AB287*1.05</f>
        <v>357.91399739810413</v>
      </c>
      <c r="AD287" s="609">
        <f t="shared" si="95"/>
        <v>375.80969726800936</v>
      </c>
      <c r="AE287" s="609">
        <f t="shared" si="95"/>
        <v>394.60018213140984</v>
      </c>
      <c r="AF287" s="609">
        <f t="shared" si="95"/>
        <v>414.33019123798033</v>
      </c>
      <c r="AG287" s="609">
        <f t="shared" si="95"/>
        <v>435.04670079987937</v>
      </c>
      <c r="AH287" s="609">
        <f t="shared" si="95"/>
        <v>456.79903583987334</v>
      </c>
      <c r="AI287" s="609">
        <f t="shared" si="95"/>
        <v>479.63898763186705</v>
      </c>
      <c r="AJ287" s="609">
        <f t="shared" si="95"/>
        <v>503.62093701346043</v>
      </c>
      <c r="AK287" s="609">
        <f t="shared" si="95"/>
        <v>528.80198386413349</v>
      </c>
      <c r="AL287" s="609">
        <f t="shared" si="95"/>
        <v>555.24208305734021</v>
      </c>
    </row>
    <row r="288" spans="1:38" s="528" customFormat="1" ht="12">
      <c r="A288" s="533"/>
      <c r="B288" s="532"/>
      <c r="C288" s="533" t="s">
        <v>254</v>
      </c>
      <c r="D288" s="615"/>
      <c r="E288" s="516"/>
      <c r="F288" s="516"/>
      <c r="G288" s="516"/>
      <c r="H288" s="516"/>
      <c r="I288" s="609"/>
      <c r="J288" s="609"/>
      <c r="K288" s="516"/>
      <c r="L288" s="609"/>
      <c r="M288" s="609"/>
      <c r="N288" s="609"/>
      <c r="O288" s="609"/>
      <c r="P288" s="609">
        <v>0</v>
      </c>
      <c r="Q288" s="609"/>
      <c r="R288" s="609"/>
      <c r="S288" s="609">
        <v>0</v>
      </c>
      <c r="T288" s="609"/>
      <c r="U288" s="609"/>
      <c r="V288" s="609"/>
      <c r="W288" s="609">
        <v>0</v>
      </c>
      <c r="X288" s="609"/>
      <c r="Y288" s="609"/>
      <c r="Z288" s="609"/>
      <c r="AA288" s="609">
        <v>0</v>
      </c>
      <c r="AB288" s="609">
        <v>0</v>
      </c>
      <c r="AC288" s="609">
        <v>0</v>
      </c>
      <c r="AD288" s="609">
        <v>0</v>
      </c>
      <c r="AE288" s="609">
        <v>0</v>
      </c>
      <c r="AF288" s="609">
        <v>0</v>
      </c>
      <c r="AG288" s="609">
        <v>0</v>
      </c>
      <c r="AH288" s="609">
        <v>0</v>
      </c>
      <c r="AI288" s="609">
        <v>0</v>
      </c>
      <c r="AJ288" s="609">
        <v>0</v>
      </c>
      <c r="AK288" s="609">
        <v>0</v>
      </c>
      <c r="AL288" s="609">
        <v>0</v>
      </c>
    </row>
    <row r="289" spans="1:38" s="528" customFormat="1" ht="12">
      <c r="A289" s="533"/>
      <c r="B289" s="532"/>
      <c r="C289" s="507" t="s">
        <v>263</v>
      </c>
      <c r="D289" s="615"/>
      <c r="E289" s="516"/>
      <c r="F289" s="516"/>
      <c r="G289" s="516"/>
      <c r="H289" s="516"/>
      <c r="I289" s="609"/>
      <c r="J289" s="609"/>
      <c r="K289" s="516"/>
      <c r="L289" s="609"/>
      <c r="M289" s="609"/>
      <c r="N289" s="609"/>
      <c r="O289" s="609"/>
      <c r="P289" s="609">
        <v>0</v>
      </c>
      <c r="Q289" s="609">
        <v>55</v>
      </c>
      <c r="R289" s="609">
        <v>0</v>
      </c>
      <c r="S289" s="609">
        <v>0</v>
      </c>
      <c r="T289" s="609">
        <v>0</v>
      </c>
      <c r="U289" s="609">
        <v>0</v>
      </c>
      <c r="V289" s="609">
        <v>0</v>
      </c>
      <c r="W289" s="609">
        <v>0</v>
      </c>
      <c r="X289" s="609"/>
      <c r="Y289" s="609"/>
      <c r="Z289" s="609"/>
      <c r="AA289" s="609">
        <f t="shared" ref="AA289:AL289" si="96">Z289*1.05</f>
        <v>0</v>
      </c>
      <c r="AB289" s="609">
        <f t="shared" si="96"/>
        <v>0</v>
      </c>
      <c r="AC289" s="609">
        <f t="shared" si="96"/>
        <v>0</v>
      </c>
      <c r="AD289" s="609">
        <f t="shared" si="96"/>
        <v>0</v>
      </c>
      <c r="AE289" s="609">
        <f t="shared" si="96"/>
        <v>0</v>
      </c>
      <c r="AF289" s="609">
        <f t="shared" si="96"/>
        <v>0</v>
      </c>
      <c r="AG289" s="609">
        <f t="shared" si="96"/>
        <v>0</v>
      </c>
      <c r="AH289" s="609">
        <f t="shared" si="96"/>
        <v>0</v>
      </c>
      <c r="AI289" s="609">
        <f t="shared" si="96"/>
        <v>0</v>
      </c>
      <c r="AJ289" s="609">
        <f t="shared" si="96"/>
        <v>0</v>
      </c>
      <c r="AK289" s="609">
        <f t="shared" si="96"/>
        <v>0</v>
      </c>
      <c r="AL289" s="609">
        <f t="shared" si="96"/>
        <v>0</v>
      </c>
    </row>
    <row r="290" spans="1:38" s="528" customFormat="1" ht="12">
      <c r="B290" s="532"/>
      <c r="C290" s="542" t="s">
        <v>154</v>
      </c>
      <c r="D290" s="617"/>
      <c r="E290" s="516"/>
      <c r="F290" s="516"/>
      <c r="G290" s="516"/>
      <c r="H290" s="516"/>
      <c r="I290" s="613"/>
      <c r="J290" s="613"/>
      <c r="K290" s="516"/>
      <c r="L290" s="613">
        <f>SUM(L264:L289)</f>
        <v>1381</v>
      </c>
      <c r="M290" s="613">
        <f t="shared" ref="M290:AH290" si="97">SUM(M264:M289)</f>
        <v>0</v>
      </c>
      <c r="N290" s="613">
        <f t="shared" si="97"/>
        <v>0</v>
      </c>
      <c r="O290" s="613">
        <f t="shared" si="97"/>
        <v>1262</v>
      </c>
      <c r="P290" s="613">
        <f t="shared" si="97"/>
        <v>7073.9731895011155</v>
      </c>
      <c r="Q290" s="613">
        <f t="shared" si="97"/>
        <v>5213.3142580667709</v>
      </c>
      <c r="R290" s="613">
        <f t="shared" si="97"/>
        <v>6744.1212594871804</v>
      </c>
      <c r="S290" s="613">
        <f t="shared" si="97"/>
        <v>7239.2803376708171</v>
      </c>
      <c r="T290" s="613">
        <f t="shared" si="97"/>
        <v>7725.3329230769241</v>
      </c>
      <c r="U290" s="613">
        <f t="shared" si="97"/>
        <v>7725.3329230769241</v>
      </c>
      <c r="V290" s="613">
        <f t="shared" si="97"/>
        <v>7725.3329230769241</v>
      </c>
      <c r="W290" s="613">
        <f t="shared" si="97"/>
        <v>7073.9731895011155</v>
      </c>
      <c r="X290" s="613">
        <f t="shared" si="97"/>
        <v>9654.5173132739565</v>
      </c>
      <c r="Y290" s="613">
        <f t="shared" si="97"/>
        <v>8386.4315454626503</v>
      </c>
      <c r="Z290" s="613">
        <f t="shared" si="97"/>
        <v>8243.2035000000014</v>
      </c>
      <c r="AA290" s="613">
        <f t="shared" si="97"/>
        <v>8333.5410000000011</v>
      </c>
      <c r="AB290" s="613">
        <f t="shared" si="97"/>
        <v>8393.2020823068051</v>
      </c>
      <c r="AC290" s="613">
        <f t="shared" si="97"/>
        <v>8088.4294304884024</v>
      </c>
      <c r="AD290" s="613">
        <f t="shared" si="97"/>
        <v>8423.775802012824</v>
      </c>
      <c r="AE290" s="613">
        <f t="shared" si="97"/>
        <v>8755.8210446134653</v>
      </c>
      <c r="AF290" s="613">
        <f t="shared" si="97"/>
        <v>9150.1120968441373</v>
      </c>
      <c r="AG290" s="613">
        <f t="shared" si="97"/>
        <v>9607.6177016863458</v>
      </c>
      <c r="AH290" s="613">
        <f t="shared" si="97"/>
        <v>10087.998586770664</v>
      </c>
      <c r="AI290" s="613">
        <f>SUM(AI264:AI289)</f>
        <v>10592.398516109195</v>
      </c>
      <c r="AJ290" s="613">
        <f>SUM(AJ264:AJ289)</f>
        <v>11122.018441914654</v>
      </c>
      <c r="AK290" s="613">
        <f>SUM(AK264:AK289)</f>
        <v>11678.119364010392</v>
      </c>
      <c r="AL290" s="613">
        <f>SUM(AL264:AL289)</f>
        <v>12262.025332210911</v>
      </c>
    </row>
    <row r="291" spans="1:38" s="528" customFormat="1" ht="12">
      <c r="B291" s="532"/>
      <c r="C291" s="570" t="s">
        <v>270</v>
      </c>
      <c r="D291" s="615"/>
      <c r="E291" s="516"/>
      <c r="F291" s="516"/>
      <c r="G291" s="516"/>
      <c r="H291" s="516"/>
      <c r="I291" s="609"/>
      <c r="J291" s="609"/>
      <c r="K291" s="516"/>
      <c r="L291" s="609">
        <f>-L256</f>
        <v>4124</v>
      </c>
      <c r="M291" s="609">
        <f>-M256</f>
        <v>4414</v>
      </c>
      <c r="N291" s="609">
        <f>-N256</f>
        <v>2044</v>
      </c>
      <c r="O291" s="609">
        <f>-O256</f>
        <v>4584</v>
      </c>
      <c r="P291" s="609">
        <f>7563-7074</f>
        <v>489</v>
      </c>
      <c r="Q291" s="609">
        <f t="shared" ref="Q291:V291" si="98">-Q256</f>
        <v>398</v>
      </c>
      <c r="R291" s="609">
        <f t="shared" si="98"/>
        <v>525</v>
      </c>
      <c r="S291" s="609">
        <f t="shared" si="98"/>
        <v>-4188</v>
      </c>
      <c r="T291" s="609">
        <f t="shared" si="98"/>
        <v>0</v>
      </c>
      <c r="U291" s="609">
        <f t="shared" si="98"/>
        <v>525</v>
      </c>
      <c r="V291" s="609">
        <f t="shared" si="98"/>
        <v>525</v>
      </c>
      <c r="W291" s="609">
        <f>7563-7074</f>
        <v>489</v>
      </c>
      <c r="X291" s="609">
        <v>85</v>
      </c>
      <c r="Y291" s="609">
        <v>91</v>
      </c>
      <c r="Z291" s="609">
        <v>77</v>
      </c>
      <c r="AA291" s="609">
        <v>2</v>
      </c>
      <c r="AB291" s="609">
        <f>8258-8393</f>
        <v>-135</v>
      </c>
      <c r="AC291" s="609">
        <f t="shared" ref="AC291:AL291" si="99">AB291*1.05</f>
        <v>-141.75</v>
      </c>
      <c r="AD291" s="609">
        <f t="shared" si="99"/>
        <v>-148.83750000000001</v>
      </c>
      <c r="AE291" s="609">
        <f t="shared" si="99"/>
        <v>-156.27937500000002</v>
      </c>
      <c r="AF291" s="609">
        <f t="shared" si="99"/>
        <v>-164.09334375000003</v>
      </c>
      <c r="AG291" s="609">
        <f t="shared" si="99"/>
        <v>-172.29801093750004</v>
      </c>
      <c r="AH291" s="609">
        <f t="shared" si="99"/>
        <v>-180.91291148437506</v>
      </c>
      <c r="AI291" s="609">
        <f t="shared" si="99"/>
        <v>-189.95855705859381</v>
      </c>
      <c r="AJ291" s="609">
        <f t="shared" si="99"/>
        <v>-199.45648491152352</v>
      </c>
      <c r="AK291" s="609">
        <f t="shared" si="99"/>
        <v>-209.42930915709971</v>
      </c>
      <c r="AL291" s="609">
        <f t="shared" si="99"/>
        <v>-219.90077461495471</v>
      </c>
    </row>
    <row r="292" spans="1:38" s="528" customFormat="1" thickBot="1">
      <c r="B292" s="544"/>
      <c r="C292" s="545"/>
      <c r="D292" s="546"/>
      <c r="E292" s="618"/>
      <c r="F292" s="618"/>
      <c r="G292" s="618"/>
      <c r="H292" s="618"/>
      <c r="I292" s="618"/>
      <c r="J292" s="618"/>
      <c r="K292" s="619"/>
      <c r="L292" s="619"/>
      <c r="M292" s="619"/>
      <c r="N292" s="619"/>
      <c r="O292" s="619"/>
      <c r="P292" s="619"/>
      <c r="Q292" s="619"/>
      <c r="R292" s="619"/>
      <c r="S292" s="619"/>
      <c r="T292" s="619"/>
      <c r="U292" s="619"/>
      <c r="V292" s="619"/>
      <c r="W292" s="619"/>
      <c r="X292" s="618"/>
      <c r="Y292" s="618"/>
      <c r="Z292" s="618"/>
      <c r="AA292" s="618"/>
      <c r="AB292" s="618"/>
      <c r="AC292" s="618"/>
      <c r="AD292" s="618"/>
      <c r="AE292" s="618"/>
      <c r="AF292" s="618"/>
      <c r="AG292" s="618"/>
      <c r="AH292" s="618"/>
      <c r="AI292" s="618"/>
      <c r="AJ292" s="618"/>
      <c r="AK292" s="618"/>
      <c r="AL292" s="618"/>
    </row>
    <row r="293" spans="1:38">
      <c r="A293" s="446"/>
      <c r="B293" s="446"/>
      <c r="C293" s="457"/>
      <c r="D293" s="446"/>
      <c r="E293" s="448"/>
      <c r="F293" s="448"/>
      <c r="G293" s="446"/>
      <c r="H293" s="446"/>
      <c r="I293" s="446"/>
      <c r="J293" s="446"/>
      <c r="K293" s="448"/>
      <c r="L293" s="448"/>
      <c r="M293" s="448"/>
      <c r="N293" s="448"/>
      <c r="O293" s="448"/>
      <c r="P293" s="448"/>
      <c r="Q293" s="448"/>
      <c r="R293" s="448"/>
      <c r="S293" s="622">
        <f t="shared" ref="S293:Y293" si="100">+S30-S290-S291</f>
        <v>4632.7196623291829</v>
      </c>
      <c r="T293" s="622">
        <f t="shared" si="100"/>
        <v>-4123.3329230769241</v>
      </c>
      <c r="U293" s="622">
        <f t="shared" si="100"/>
        <v>-13.332923076924089</v>
      </c>
      <c r="V293" s="622">
        <f t="shared" si="100"/>
        <v>-9.0949470177292824E-13</v>
      </c>
      <c r="W293" s="622">
        <f t="shared" si="100"/>
        <v>0</v>
      </c>
      <c r="X293" s="622">
        <f t="shared" si="100"/>
        <v>0</v>
      </c>
      <c r="Y293" s="622">
        <f t="shared" si="100"/>
        <v>-223.43154546265032</v>
      </c>
      <c r="Z293" s="446"/>
      <c r="AA293" s="446"/>
      <c r="AB293" s="446"/>
      <c r="AC293" s="446"/>
      <c r="AD293" s="446"/>
      <c r="AE293" s="446"/>
      <c r="AF293" s="446"/>
      <c r="AG293" s="446"/>
      <c r="AH293" s="446"/>
      <c r="AI293" s="446"/>
      <c r="AJ293" s="446"/>
      <c r="AK293" s="446"/>
      <c r="AL293" s="446"/>
    </row>
    <row r="294" spans="1:38">
      <c r="A294" s="446"/>
      <c r="B294" s="446"/>
      <c r="C294" s="457"/>
      <c r="D294" s="446"/>
      <c r="E294" s="448"/>
      <c r="F294" s="448"/>
      <c r="G294" s="446"/>
      <c r="H294" s="446"/>
      <c r="I294" s="446"/>
      <c r="J294" s="446"/>
      <c r="K294" s="448"/>
      <c r="L294" s="448"/>
      <c r="M294" s="448"/>
      <c r="N294" s="448"/>
      <c r="O294" s="448"/>
      <c r="P294" s="448"/>
      <c r="Q294" s="459"/>
      <c r="R294" s="448"/>
      <c r="S294" s="448"/>
      <c r="T294" s="448"/>
      <c r="U294" s="448"/>
      <c r="V294" s="448"/>
      <c r="W294" s="448"/>
      <c r="X294" s="446"/>
      <c r="Y294" s="446"/>
      <c r="Z294" s="446"/>
      <c r="AA294" s="446"/>
      <c r="AB294" s="446"/>
      <c r="AC294" s="446"/>
      <c r="AD294" s="446"/>
      <c r="AE294" s="446"/>
      <c r="AF294" s="446"/>
      <c r="AG294" s="446"/>
      <c r="AH294" s="446"/>
      <c r="AI294" s="446"/>
      <c r="AJ294" s="446"/>
      <c r="AK294" s="446"/>
      <c r="AL294" s="446"/>
    </row>
    <row r="295" spans="1:38" ht="14" thickBot="1">
      <c r="A295" s="446"/>
      <c r="B295" s="448"/>
      <c r="C295" s="476"/>
      <c r="D295" s="448"/>
      <c r="E295" s="448"/>
      <c r="F295" s="448"/>
      <c r="G295" s="448"/>
      <c r="H295" s="448"/>
      <c r="I295" s="448"/>
      <c r="J295" s="448"/>
      <c r="K295" s="448"/>
      <c r="L295" s="448"/>
      <c r="M295" s="448"/>
      <c r="N295" s="448"/>
      <c r="O295" s="448"/>
      <c r="P295" s="448"/>
      <c r="Q295" s="448"/>
      <c r="R295" s="448"/>
      <c r="S295" s="448"/>
      <c r="T295" s="448"/>
      <c r="U295" s="448"/>
      <c r="V295" s="448"/>
      <c r="W295" s="448"/>
      <c r="X295" s="448"/>
      <c r="Y295" s="448"/>
      <c r="Z295" s="448"/>
      <c r="AA295" s="448"/>
      <c r="AB295" s="448"/>
      <c r="AC295" s="448"/>
      <c r="AD295" s="448"/>
      <c r="AE295" s="448"/>
      <c r="AF295" s="448"/>
      <c r="AG295" s="448"/>
      <c r="AH295" s="448"/>
      <c r="AI295" s="448"/>
      <c r="AJ295" s="448"/>
      <c r="AK295" s="448"/>
      <c r="AL295" s="448"/>
    </row>
    <row r="296" spans="1:38" s="528" customFormat="1" ht="12">
      <c r="B296" s="548"/>
      <c r="C296" s="549"/>
      <c r="D296" s="550"/>
      <c r="E296" s="597"/>
      <c r="F296" s="597"/>
      <c r="G296" s="597"/>
      <c r="H296" s="597"/>
      <c r="I296" s="597"/>
      <c r="J296" s="597"/>
      <c r="K296" s="597"/>
      <c r="L296" s="597"/>
      <c r="M296" s="598"/>
      <c r="N296" s="598"/>
      <c r="O296" s="597"/>
      <c r="P296" s="597"/>
      <c r="Q296" s="597"/>
      <c r="R296" s="598"/>
      <c r="S296" s="597"/>
      <c r="T296" s="598"/>
      <c r="U296" s="598"/>
      <c r="V296" s="598"/>
      <c r="W296" s="598"/>
      <c r="X296" s="598"/>
      <c r="Y296" s="598"/>
      <c r="Z296" s="598"/>
      <c r="AA296" s="598"/>
      <c r="AB296" s="598"/>
      <c r="AC296" s="598"/>
      <c r="AD296" s="598"/>
      <c r="AE296" s="598"/>
      <c r="AF296" s="598"/>
      <c r="AG296" s="598"/>
      <c r="AH296" s="598"/>
      <c r="AI296" s="598"/>
      <c r="AJ296" s="598"/>
      <c r="AK296" s="598"/>
      <c r="AL296" s="598"/>
    </row>
    <row r="297" spans="1:38" s="528" customFormat="1" ht="12">
      <c r="B297" s="553"/>
      <c r="C297" s="623" t="s">
        <v>272</v>
      </c>
      <c r="D297" s="624"/>
      <c r="E297" s="516"/>
      <c r="F297" s="516"/>
      <c r="G297" s="516"/>
      <c r="H297" s="516"/>
      <c r="I297" s="516"/>
      <c r="J297" s="516"/>
      <c r="K297" s="516"/>
      <c r="L297" s="516"/>
      <c r="M297" s="581"/>
      <c r="N297" s="581"/>
      <c r="O297" s="516"/>
      <c r="P297" s="516"/>
      <c r="Q297" s="516"/>
      <c r="R297" s="581"/>
      <c r="S297" s="516"/>
      <c r="T297" s="581"/>
      <c r="U297" s="581"/>
      <c r="V297" s="581"/>
      <c r="W297" s="581"/>
      <c r="X297" s="581"/>
      <c r="Y297" s="581"/>
      <c r="Z297" s="581"/>
      <c r="AA297" s="581"/>
      <c r="AB297" s="581"/>
      <c r="AC297" s="581"/>
      <c r="AD297" s="581"/>
      <c r="AE297" s="581"/>
      <c r="AF297" s="581"/>
      <c r="AG297" s="581"/>
      <c r="AH297" s="581"/>
      <c r="AI297" s="581"/>
      <c r="AJ297" s="581"/>
      <c r="AK297" s="581"/>
      <c r="AL297" s="581"/>
    </row>
    <row r="298" spans="1:38" s="528" customFormat="1" ht="12">
      <c r="A298" s="507"/>
      <c r="B298" s="553"/>
      <c r="C298" s="533" t="s">
        <v>237</v>
      </c>
      <c r="D298" s="616"/>
      <c r="E298" s="609">
        <v>0</v>
      </c>
      <c r="F298" s="609">
        <v>0</v>
      </c>
      <c r="G298" s="609">
        <v>0</v>
      </c>
      <c r="H298" s="609">
        <v>0</v>
      </c>
      <c r="I298" s="609">
        <v>0</v>
      </c>
      <c r="J298" s="609">
        <v>0</v>
      </c>
      <c r="K298" s="609">
        <v>0</v>
      </c>
      <c r="L298" s="609"/>
      <c r="M298" s="609"/>
      <c r="N298" s="609"/>
      <c r="O298" s="609"/>
      <c r="P298" s="609">
        <v>0</v>
      </c>
      <c r="Q298" s="609">
        <f t="shared" ref="Q298:W299" si="101">+Q229+Q264</f>
        <v>9156.9640016350568</v>
      </c>
      <c r="R298" s="609">
        <f t="shared" si="101"/>
        <v>14631.319999999996</v>
      </c>
      <c r="S298" s="609">
        <f t="shared" si="101"/>
        <v>17907.510597990677</v>
      </c>
      <c r="T298" s="609">
        <f t="shared" si="101"/>
        <v>2073.6000000000004</v>
      </c>
      <c r="U298" s="609">
        <f t="shared" si="101"/>
        <v>20553.599999999999</v>
      </c>
      <c r="V298" s="609">
        <f t="shared" si="101"/>
        <v>20553.599999999999</v>
      </c>
      <c r="W298" s="609">
        <f t="shared" si="101"/>
        <v>22553.985594973914</v>
      </c>
      <c r="X298" s="609">
        <v>12662</v>
      </c>
      <c r="Y298" s="609">
        <v>18795</v>
      </c>
      <c r="Z298" s="609">
        <f t="shared" ref="Z298:Z305" si="102">+Z229+Z264</f>
        <v>8398.281438701626</v>
      </c>
      <c r="AA298" s="609">
        <v>16243.127632936212</v>
      </c>
      <c r="AB298" s="609">
        <f t="shared" ref="AB298:AL313" si="103">+AB229+AB264</f>
        <v>10758.567380543618</v>
      </c>
      <c r="AC298" s="609">
        <f t="shared" si="103"/>
        <v>11116.660086233576</v>
      </c>
      <c r="AD298" s="609">
        <f t="shared" si="103"/>
        <v>11967.355497116825</v>
      </c>
      <c r="AE298" s="609">
        <f t="shared" si="103"/>
        <v>12884.174671069966</v>
      </c>
      <c r="AF298" s="609">
        <f t="shared" si="103"/>
        <v>13872.310915648546</v>
      </c>
      <c r="AG298" s="609">
        <f t="shared" si="103"/>
        <v>14937.368173338067</v>
      </c>
      <c r="AH298" s="609">
        <f t="shared" si="103"/>
        <v>18744.344839331836</v>
      </c>
      <c r="AI298" s="609">
        <f t="shared" si="103"/>
        <v>19681.562081298423</v>
      </c>
      <c r="AJ298" s="609">
        <f t="shared" si="103"/>
        <v>20665.640185363343</v>
      </c>
      <c r="AK298" s="609">
        <f t="shared" si="103"/>
        <v>21698.922194631512</v>
      </c>
      <c r="AL298" s="609">
        <f t="shared" si="103"/>
        <v>22783.868304363095</v>
      </c>
    </row>
    <row r="299" spans="1:38" s="528" customFormat="1" ht="12">
      <c r="A299" s="507"/>
      <c r="B299" s="553"/>
      <c r="C299" s="533" t="s">
        <v>238</v>
      </c>
      <c r="D299" s="616"/>
      <c r="E299" s="609">
        <v>0</v>
      </c>
      <c r="F299" s="609">
        <v>0</v>
      </c>
      <c r="G299" s="609">
        <v>0</v>
      </c>
      <c r="H299" s="609">
        <v>0</v>
      </c>
      <c r="I299" s="609">
        <v>0</v>
      </c>
      <c r="J299" s="609">
        <v>0</v>
      </c>
      <c r="K299" s="609">
        <v>0</v>
      </c>
      <c r="L299" s="609"/>
      <c r="M299" s="609"/>
      <c r="N299" s="609"/>
      <c r="O299" s="609"/>
      <c r="P299" s="609">
        <v>0</v>
      </c>
      <c r="Q299" s="609">
        <f t="shared" si="101"/>
        <v>1972.8217100000188</v>
      </c>
      <c r="R299" s="609">
        <f t="shared" si="101"/>
        <v>4193.4182880084718</v>
      </c>
      <c r="S299" s="609">
        <f t="shared" si="101"/>
        <v>4298.2765200000031</v>
      </c>
      <c r="T299" s="609">
        <f t="shared" si="101"/>
        <v>1320</v>
      </c>
      <c r="U299" s="609">
        <f t="shared" si="101"/>
        <v>4923.9999999999982</v>
      </c>
      <c r="V299" s="609">
        <f t="shared" si="101"/>
        <v>4923.9999999999982</v>
      </c>
      <c r="W299" s="609">
        <f t="shared" si="101"/>
        <v>4608.3499500000107</v>
      </c>
      <c r="X299" s="609">
        <v>-1002</v>
      </c>
      <c r="Y299" s="609">
        <v>2316</v>
      </c>
      <c r="Z299" s="609">
        <f t="shared" si="102"/>
        <v>2921.8163554926386</v>
      </c>
      <c r="AA299" s="609">
        <v>619</v>
      </c>
      <c r="AB299" s="609">
        <f t="shared" si="103"/>
        <v>-3234.9119899999823</v>
      </c>
      <c r="AC299" s="609">
        <f t="shared" si="103"/>
        <v>826.875</v>
      </c>
      <c r="AD299" s="609">
        <f t="shared" si="103"/>
        <v>868.21875</v>
      </c>
      <c r="AE299" s="609">
        <f t="shared" si="103"/>
        <v>868.21875</v>
      </c>
      <c r="AF299" s="609">
        <f t="shared" si="103"/>
        <v>911.62968750000005</v>
      </c>
      <c r="AG299" s="609">
        <f t="shared" si="103"/>
        <v>957.2111718750001</v>
      </c>
      <c r="AH299" s="609">
        <f t="shared" si="103"/>
        <v>1920.9048766252058</v>
      </c>
      <c r="AI299" s="609">
        <f t="shared" si="103"/>
        <v>2003.2126232641162</v>
      </c>
      <c r="AJ299" s="609">
        <f t="shared" si="103"/>
        <v>2089.1549448332453</v>
      </c>
      <c r="AK299" s="609">
        <f t="shared" si="103"/>
        <v>2178.8967416450323</v>
      </c>
      <c r="AL299" s="609">
        <f t="shared" si="103"/>
        <v>2272.6105700323697</v>
      </c>
    </row>
    <row r="300" spans="1:38" s="528" customFormat="1" ht="12">
      <c r="A300" s="507"/>
      <c r="B300" s="553"/>
      <c r="C300" s="533" t="s">
        <v>239</v>
      </c>
      <c r="D300" s="616"/>
      <c r="E300" s="609">
        <v>0</v>
      </c>
      <c r="F300" s="609">
        <v>0</v>
      </c>
      <c r="G300" s="609">
        <v>0</v>
      </c>
      <c r="H300" s="609">
        <v>0</v>
      </c>
      <c r="I300" s="609">
        <f>+I231+I266</f>
        <v>8216.0461422405369</v>
      </c>
      <c r="J300" s="609">
        <f>+J231+J266</f>
        <v>3390.7261158177007</v>
      </c>
      <c r="K300" s="609">
        <v>0</v>
      </c>
      <c r="L300" s="609">
        <f>+L231+L266</f>
        <v>6348.5816772914413</v>
      </c>
      <c r="M300" s="609"/>
      <c r="N300" s="609"/>
      <c r="O300" s="609">
        <f t="shared" ref="O300:AH315" si="104">+O231+O266</f>
        <v>6074.0646075308032</v>
      </c>
      <c r="P300" s="609">
        <v>0</v>
      </c>
      <c r="Q300" s="609">
        <f t="shared" si="104"/>
        <v>8584.8506089624843</v>
      </c>
      <c r="R300" s="609">
        <f t="shared" si="104"/>
        <v>10924.634695384577</v>
      </c>
      <c r="S300" s="609">
        <f t="shared" si="104"/>
        <v>10787.711383741336</v>
      </c>
      <c r="T300" s="609">
        <f t="shared" si="104"/>
        <v>1523.0769230769231</v>
      </c>
      <c r="U300" s="609">
        <f t="shared" si="104"/>
        <v>9523.0769230769238</v>
      </c>
      <c r="V300" s="609">
        <f t="shared" si="104"/>
        <v>9523.0769230769238</v>
      </c>
      <c r="W300" s="609">
        <f t="shared" si="104"/>
        <v>7952.2973726305108</v>
      </c>
      <c r="X300" s="609">
        <v>9653</v>
      </c>
      <c r="Y300" s="609">
        <v>5109</v>
      </c>
      <c r="Z300" s="609">
        <f t="shared" si="102"/>
        <v>4832.5262753247298</v>
      </c>
      <c r="AA300" s="609">
        <v>4477</v>
      </c>
      <c r="AB300" s="609">
        <f t="shared" si="104"/>
        <v>4367.3857541752459</v>
      </c>
      <c r="AC300" s="609">
        <f t="shared" si="104"/>
        <v>3566.6222414690178</v>
      </c>
      <c r="AD300" s="609">
        <f t="shared" si="104"/>
        <v>3810.2348938828136</v>
      </c>
      <c r="AE300" s="609">
        <f t="shared" si="104"/>
        <v>4072.5563329513343</v>
      </c>
      <c r="AF300" s="609">
        <f t="shared" si="104"/>
        <v>4355.1748134107183</v>
      </c>
      <c r="AG300" s="609">
        <f t="shared" si="104"/>
        <v>4659.8232842742527</v>
      </c>
      <c r="AH300" s="609">
        <f t="shared" si="104"/>
        <v>6262.7758611975778</v>
      </c>
      <c r="AI300" s="609">
        <f t="shared" si="103"/>
        <v>6609.6857960591369</v>
      </c>
      <c r="AJ300" s="609">
        <f t="shared" si="103"/>
        <v>6975.9674961718738</v>
      </c>
      <c r="AK300" s="609">
        <f t="shared" si="103"/>
        <v>7362.7111259088333</v>
      </c>
      <c r="AL300" s="609">
        <f t="shared" si="103"/>
        <v>7771.0686524283446</v>
      </c>
    </row>
    <row r="301" spans="1:38" s="528" customFormat="1" ht="12">
      <c r="A301" s="507"/>
      <c r="B301" s="553"/>
      <c r="C301" s="533" t="s">
        <v>240</v>
      </c>
      <c r="D301" s="616"/>
      <c r="E301" s="609">
        <v>0</v>
      </c>
      <c r="F301" s="609">
        <v>0</v>
      </c>
      <c r="G301" s="609">
        <v>0</v>
      </c>
      <c r="H301" s="609">
        <v>0</v>
      </c>
      <c r="I301" s="609">
        <v>0</v>
      </c>
      <c r="J301" s="609">
        <v>0</v>
      </c>
      <c r="K301" s="609">
        <v>0</v>
      </c>
      <c r="L301" s="609"/>
      <c r="M301" s="609"/>
      <c r="N301" s="609"/>
      <c r="O301" s="609"/>
      <c r="P301" s="609">
        <v>0</v>
      </c>
      <c r="Q301" s="609">
        <f t="shared" si="104"/>
        <v>-123.84828351849174</v>
      </c>
      <c r="R301" s="609">
        <f t="shared" si="104"/>
        <v>-70.700464684552969</v>
      </c>
      <c r="S301" s="609">
        <f t="shared" si="104"/>
        <v>-223.33694853454421</v>
      </c>
      <c r="T301" s="609">
        <f t="shared" si="104"/>
        <v>19.656000000000002</v>
      </c>
      <c r="U301" s="609">
        <f t="shared" si="104"/>
        <v>169.65600000000001</v>
      </c>
      <c r="V301" s="609">
        <f t="shared" si="104"/>
        <v>169.65600000000001</v>
      </c>
      <c r="W301" s="609">
        <f t="shared" si="104"/>
        <v>377.54582648868785</v>
      </c>
      <c r="X301" s="609">
        <f>2130*0.52</f>
        <v>1107.6000000000001</v>
      </c>
      <c r="Y301" s="609">
        <f>1733*0.52</f>
        <v>901.16000000000008</v>
      </c>
      <c r="Z301" s="609">
        <f t="shared" si="102"/>
        <v>1014.8514888175534</v>
      </c>
      <c r="AA301" s="609">
        <v>1014</v>
      </c>
      <c r="AB301" s="609">
        <f t="shared" si="104"/>
        <v>278.01622578576001</v>
      </c>
      <c r="AC301" s="609">
        <f t="shared" si="104"/>
        <v>296.46810564924613</v>
      </c>
      <c r="AD301" s="609">
        <f t="shared" si="104"/>
        <v>312.5671168101785</v>
      </c>
      <c r="AE301" s="609">
        <f t="shared" si="104"/>
        <v>329.5476148818658</v>
      </c>
      <c r="AF301" s="609">
        <f t="shared" si="104"/>
        <v>347.45826639100801</v>
      </c>
      <c r="AG301" s="609">
        <f t="shared" si="104"/>
        <v>366.35044672151031</v>
      </c>
      <c r="AH301" s="609">
        <f t="shared" si="104"/>
        <v>843.63853306615454</v>
      </c>
      <c r="AI301" s="609">
        <f t="shared" si="103"/>
        <v>879.53980989618742</v>
      </c>
      <c r="AJ301" s="609">
        <f t="shared" si="103"/>
        <v>916.98492457479051</v>
      </c>
      <c r="AK301" s="609">
        <f t="shared" si="103"/>
        <v>956.0410199546759</v>
      </c>
      <c r="AL301" s="609">
        <f t="shared" si="103"/>
        <v>996.778194069601</v>
      </c>
    </row>
    <row r="302" spans="1:38" s="528" customFormat="1" ht="12">
      <c r="A302" s="507"/>
      <c r="B302" s="553"/>
      <c r="C302" s="533" t="s">
        <v>223</v>
      </c>
      <c r="D302" s="616"/>
      <c r="E302" s="609">
        <v>0</v>
      </c>
      <c r="F302" s="609">
        <v>0</v>
      </c>
      <c r="G302" s="609">
        <v>0</v>
      </c>
      <c r="H302" s="609">
        <v>0</v>
      </c>
      <c r="I302" s="609">
        <v>0</v>
      </c>
      <c r="J302" s="609">
        <v>0</v>
      </c>
      <c r="K302" s="609">
        <v>0</v>
      </c>
      <c r="L302" s="609"/>
      <c r="M302" s="609"/>
      <c r="N302" s="609"/>
      <c r="O302" s="609"/>
      <c r="P302" s="609">
        <v>0</v>
      </c>
      <c r="Q302" s="609">
        <f t="shared" si="104"/>
        <v>0</v>
      </c>
      <c r="R302" s="609">
        <f t="shared" si="104"/>
        <v>0</v>
      </c>
      <c r="S302" s="609">
        <f t="shared" si="104"/>
        <v>-1217.8554387307997</v>
      </c>
      <c r="T302" s="609">
        <f t="shared" si="104"/>
        <v>15</v>
      </c>
      <c r="U302" s="609">
        <f t="shared" si="104"/>
        <v>-785</v>
      </c>
      <c r="V302" s="609">
        <f t="shared" si="104"/>
        <v>-785</v>
      </c>
      <c r="W302" s="609">
        <f t="shared" si="104"/>
        <v>498.61561458666722</v>
      </c>
      <c r="X302" s="609">
        <f>-321</f>
        <v>-321</v>
      </c>
      <c r="Y302" s="609">
        <v>269</v>
      </c>
      <c r="Z302" s="609">
        <f t="shared" si="102"/>
        <v>210.67671268293529</v>
      </c>
      <c r="AA302" s="609">
        <v>764</v>
      </c>
      <c r="AB302" s="609">
        <f t="shared" si="104"/>
        <v>852.94980303809439</v>
      </c>
      <c r="AC302" s="609">
        <f t="shared" si="104"/>
        <v>1096.4425759331994</v>
      </c>
      <c r="AD302" s="609">
        <f t="shared" si="104"/>
        <v>1251.121178557423</v>
      </c>
      <c r="AE302" s="609">
        <f t="shared" si="104"/>
        <v>1433.5050060783706</v>
      </c>
      <c r="AF302" s="609">
        <f t="shared" si="104"/>
        <v>1648.9735786939818</v>
      </c>
      <c r="AG302" s="609">
        <f t="shared" si="104"/>
        <v>1903.9742444027111</v>
      </c>
      <c r="AH302" s="609">
        <f t="shared" si="104"/>
        <v>2206.2353407516839</v>
      </c>
      <c r="AI302" s="609">
        <f t="shared" si="103"/>
        <v>2565.0219687438725</v>
      </c>
      <c r="AJ302" s="609">
        <f t="shared" si="103"/>
        <v>2991.44290032659</v>
      </c>
      <c r="AK302" s="609">
        <f t="shared" si="103"/>
        <v>3498.8188451175492</v>
      </c>
      <c r="AL302" s="609">
        <f t="shared" si="103"/>
        <v>4103.1243471029829</v>
      </c>
    </row>
    <row r="303" spans="1:38" s="528" customFormat="1" ht="12">
      <c r="A303" s="507"/>
      <c r="B303" s="553"/>
      <c r="C303" s="533" t="s">
        <v>224</v>
      </c>
      <c r="D303" s="616"/>
      <c r="E303" s="609">
        <v>0</v>
      </c>
      <c r="F303" s="609">
        <v>0</v>
      </c>
      <c r="G303" s="609">
        <v>0</v>
      </c>
      <c r="H303" s="609">
        <v>0</v>
      </c>
      <c r="I303" s="609">
        <v>0</v>
      </c>
      <c r="J303" s="609">
        <v>0</v>
      </c>
      <c r="K303" s="609">
        <v>0</v>
      </c>
      <c r="L303" s="609"/>
      <c r="M303" s="609"/>
      <c r="N303" s="609"/>
      <c r="O303" s="609"/>
      <c r="P303" s="609">
        <v>0</v>
      </c>
      <c r="Q303" s="609">
        <f t="shared" si="104"/>
        <v>0</v>
      </c>
      <c r="R303" s="609">
        <f t="shared" si="104"/>
        <v>0</v>
      </c>
      <c r="S303" s="609">
        <f t="shared" si="104"/>
        <v>-3056.663699911107</v>
      </c>
      <c r="T303" s="609">
        <f t="shared" si="104"/>
        <v>722</v>
      </c>
      <c r="U303" s="609">
        <f t="shared" si="104"/>
        <v>-403</v>
      </c>
      <c r="V303" s="609">
        <f t="shared" si="104"/>
        <v>-403</v>
      </c>
      <c r="W303" s="609">
        <f t="shared" si="104"/>
        <v>-4270.6710445322824</v>
      </c>
      <c r="X303" s="609">
        <v>-878</v>
      </c>
      <c r="Y303" s="609">
        <v>1164</v>
      </c>
      <c r="Z303" s="609">
        <f t="shared" si="102"/>
        <v>-2141.0340647427297</v>
      </c>
      <c r="AA303" s="609">
        <v>-1000.7126000000001</v>
      </c>
      <c r="AB303" s="609">
        <f t="shared" si="104"/>
        <v>133.21090322940131</v>
      </c>
      <c r="AC303" s="609">
        <f t="shared" si="104"/>
        <v>207.64345772798265</v>
      </c>
      <c r="AD303" s="609">
        <f t="shared" si="104"/>
        <v>123.40780350078091</v>
      </c>
      <c r="AE303" s="609">
        <f t="shared" si="104"/>
        <v>36.918974025898024</v>
      </c>
      <c r="AF303" s="609">
        <f t="shared" si="104"/>
        <v>-48.043179870217273</v>
      </c>
      <c r="AG303" s="609">
        <f t="shared" si="104"/>
        <v>-100.24965685074972</v>
      </c>
      <c r="AH303" s="609">
        <f t="shared" si="104"/>
        <v>-384.82492212169063</v>
      </c>
      <c r="AI303" s="609">
        <f t="shared" si="103"/>
        <v>-448.11366433385967</v>
      </c>
      <c r="AJ303" s="609">
        <f t="shared" si="103"/>
        <v>-518.97159326724568</v>
      </c>
      <c r="AK303" s="609">
        <f t="shared" si="103"/>
        <v>-598.21764321897024</v>
      </c>
      <c r="AL303" s="609">
        <f t="shared" si="103"/>
        <v>-686.75574269711728</v>
      </c>
    </row>
    <row r="304" spans="1:38" s="528" customFormat="1" ht="12">
      <c r="A304" s="507"/>
      <c r="B304" s="553"/>
      <c r="C304" s="533" t="s">
        <v>241</v>
      </c>
      <c r="D304" s="616"/>
      <c r="E304" s="609">
        <v>0</v>
      </c>
      <c r="F304" s="609">
        <v>0</v>
      </c>
      <c r="G304" s="609">
        <v>0</v>
      </c>
      <c r="H304" s="609">
        <v>0</v>
      </c>
      <c r="I304" s="609">
        <v>0</v>
      </c>
      <c r="J304" s="609">
        <v>0</v>
      </c>
      <c r="K304" s="609">
        <v>0</v>
      </c>
      <c r="L304" s="609"/>
      <c r="M304" s="609"/>
      <c r="N304" s="609"/>
      <c r="O304" s="609"/>
      <c r="P304" s="609">
        <v>0</v>
      </c>
      <c r="Q304" s="609">
        <f t="shared" si="104"/>
        <v>-333.61732970329933</v>
      </c>
      <c r="R304" s="609">
        <f t="shared" si="104"/>
        <v>476.00000000000023</v>
      </c>
      <c r="S304" s="609">
        <f t="shared" si="104"/>
        <v>446.97608369289969</v>
      </c>
      <c r="T304" s="609">
        <f t="shared" si="104"/>
        <v>120.30769230769232</v>
      </c>
      <c r="U304" s="609">
        <f t="shared" si="104"/>
        <v>600.30769230769238</v>
      </c>
      <c r="V304" s="609">
        <f t="shared" si="104"/>
        <v>600.30769230769238</v>
      </c>
      <c r="W304" s="609">
        <f t="shared" si="104"/>
        <v>1322.7941067563672</v>
      </c>
      <c r="X304" s="609">
        <v>3015</v>
      </c>
      <c r="Y304" s="609">
        <v>2716</v>
      </c>
      <c r="Z304" s="609">
        <f t="shared" si="102"/>
        <v>2992.8261193849985</v>
      </c>
      <c r="AA304" s="609">
        <v>2874.4328800000003</v>
      </c>
      <c r="AB304" s="609">
        <f t="shared" si="104"/>
        <v>3628.225247864214</v>
      </c>
      <c r="AC304" s="609">
        <f t="shared" si="104"/>
        <v>3863.0574241145218</v>
      </c>
      <c r="AD304" s="609">
        <f t="shared" si="104"/>
        <v>4360.1999492494087</v>
      </c>
      <c r="AE304" s="609">
        <f t="shared" si="104"/>
        <v>4921.4655086518333</v>
      </c>
      <c r="AF304" s="609">
        <f t="shared" si="104"/>
        <v>5544.9454183765711</v>
      </c>
      <c r="AG304" s="609">
        <f t="shared" si="104"/>
        <v>6248.6621860455243</v>
      </c>
      <c r="AH304" s="609">
        <f t="shared" si="104"/>
        <v>5985.8371081633113</v>
      </c>
      <c r="AI304" s="609">
        <f t="shared" si="103"/>
        <v>6284.8651067289738</v>
      </c>
      <c r="AJ304" s="609">
        <f t="shared" si="103"/>
        <v>6598.8313244890815</v>
      </c>
      <c r="AK304" s="609">
        <f t="shared" si="103"/>
        <v>6928.4820139715202</v>
      </c>
      <c r="AL304" s="609">
        <f t="shared" si="103"/>
        <v>7274.6007074391982</v>
      </c>
    </row>
    <row r="305" spans="1:38" s="528" customFormat="1" ht="12">
      <c r="A305" s="507"/>
      <c r="B305" s="553"/>
      <c r="C305" s="533" t="s">
        <v>225</v>
      </c>
      <c r="D305" s="616"/>
      <c r="E305" s="609">
        <v>0</v>
      </c>
      <c r="F305" s="609">
        <v>0</v>
      </c>
      <c r="G305" s="609">
        <v>0</v>
      </c>
      <c r="H305" s="609">
        <v>0</v>
      </c>
      <c r="I305" s="609">
        <v>0</v>
      </c>
      <c r="J305" s="609">
        <v>0</v>
      </c>
      <c r="K305" s="609">
        <v>0</v>
      </c>
      <c r="L305" s="609"/>
      <c r="M305" s="609"/>
      <c r="N305" s="609"/>
      <c r="O305" s="609"/>
      <c r="P305" s="609">
        <v>0</v>
      </c>
      <c r="Q305" s="609">
        <f t="shared" si="104"/>
        <v>0</v>
      </c>
      <c r="R305" s="609">
        <f t="shared" si="104"/>
        <v>0</v>
      </c>
      <c r="S305" s="609">
        <f t="shared" si="104"/>
        <v>0</v>
      </c>
      <c r="T305" s="609">
        <f t="shared" si="104"/>
        <v>0</v>
      </c>
      <c r="U305" s="609">
        <f t="shared" si="104"/>
        <v>-500</v>
      </c>
      <c r="V305" s="609">
        <f t="shared" si="104"/>
        <v>-500</v>
      </c>
      <c r="W305" s="609">
        <f t="shared" si="104"/>
        <v>0</v>
      </c>
      <c r="X305" s="609">
        <v>-366</v>
      </c>
      <c r="Y305" s="609">
        <v>-1332</v>
      </c>
      <c r="Z305" s="609">
        <f t="shared" si="102"/>
        <v>-1039.5181446115289</v>
      </c>
      <c r="AA305" s="609">
        <v>6.1113600000001043</v>
      </c>
      <c r="AB305" s="609">
        <f t="shared" si="104"/>
        <v>-107.09870844425757</v>
      </c>
      <c r="AC305" s="609">
        <f t="shared" si="104"/>
        <v>338.04253114553296</v>
      </c>
      <c r="AD305" s="609">
        <f t="shared" si="104"/>
        <v>296.20582278359302</v>
      </c>
      <c r="AE305" s="609">
        <f t="shared" si="104"/>
        <v>234.65562852778953</v>
      </c>
      <c r="AF305" s="609">
        <f t="shared" si="104"/>
        <v>147.11977894070105</v>
      </c>
      <c r="AG305" s="609">
        <f t="shared" si="104"/>
        <v>25.426547570214552</v>
      </c>
      <c r="AH305" s="609">
        <f t="shared" si="104"/>
        <v>-6516.0975951495739</v>
      </c>
      <c r="AI305" s="609">
        <f t="shared" si="103"/>
        <v>-7929.0131068618475</v>
      </c>
      <c r="AJ305" s="609">
        <f t="shared" si="103"/>
        <v>-9629.9965205506942</v>
      </c>
      <c r="AK305" s="609">
        <f t="shared" si="103"/>
        <v>-11676.935656593128</v>
      </c>
      <c r="AL305" s="609">
        <f t="shared" si="103"/>
        <v>-14139.309611440673</v>
      </c>
    </row>
    <row r="306" spans="1:38" s="528" customFormat="1" ht="12">
      <c r="A306" s="507"/>
      <c r="B306" s="553"/>
      <c r="C306" s="533" t="s">
        <v>226</v>
      </c>
      <c r="D306" s="616"/>
      <c r="E306" s="609">
        <v>0</v>
      </c>
      <c r="F306" s="609">
        <v>0</v>
      </c>
      <c r="G306" s="609">
        <v>0</v>
      </c>
      <c r="H306" s="609">
        <v>0</v>
      </c>
      <c r="I306" s="609">
        <v>0</v>
      </c>
      <c r="J306" s="609">
        <v>0</v>
      </c>
      <c r="K306" s="609">
        <v>0</v>
      </c>
      <c r="L306" s="609"/>
      <c r="M306" s="609"/>
      <c r="N306" s="609"/>
      <c r="O306" s="609"/>
      <c r="P306" s="609">
        <v>0</v>
      </c>
      <c r="Q306" s="609">
        <f t="shared" si="104"/>
        <v>0</v>
      </c>
      <c r="R306" s="609">
        <f t="shared" si="104"/>
        <v>0</v>
      </c>
      <c r="S306" s="609">
        <f t="shared" si="104"/>
        <v>0</v>
      </c>
      <c r="T306" s="609">
        <f t="shared" si="104"/>
        <v>0</v>
      </c>
      <c r="U306" s="609">
        <f t="shared" si="104"/>
        <v>-300</v>
      </c>
      <c r="V306" s="609">
        <f t="shared" si="104"/>
        <v>-300</v>
      </c>
      <c r="W306" s="609">
        <f t="shared" si="104"/>
        <v>0</v>
      </c>
      <c r="X306" s="609">
        <v>0</v>
      </c>
      <c r="Y306" s="625">
        <v>0</v>
      </c>
      <c r="Z306" s="609">
        <f t="shared" si="104"/>
        <v>0</v>
      </c>
      <c r="AA306" s="609">
        <v>0</v>
      </c>
      <c r="AB306" s="609">
        <f t="shared" si="104"/>
        <v>0</v>
      </c>
      <c r="AC306" s="609">
        <f t="shared" si="104"/>
        <v>0</v>
      </c>
      <c r="AD306" s="609">
        <f t="shared" si="104"/>
        <v>0</v>
      </c>
      <c r="AE306" s="609">
        <f t="shared" si="104"/>
        <v>0</v>
      </c>
      <c r="AF306" s="609">
        <f t="shared" si="104"/>
        <v>0</v>
      </c>
      <c r="AG306" s="609">
        <f t="shared" si="104"/>
        <v>0</v>
      </c>
      <c r="AH306" s="609">
        <f t="shared" si="104"/>
        <v>0</v>
      </c>
      <c r="AI306" s="609">
        <f t="shared" si="103"/>
        <v>0</v>
      </c>
      <c r="AJ306" s="609">
        <f t="shared" si="103"/>
        <v>0</v>
      </c>
      <c r="AK306" s="609">
        <f t="shared" si="103"/>
        <v>0</v>
      </c>
      <c r="AL306" s="609">
        <f t="shared" si="103"/>
        <v>0</v>
      </c>
    </row>
    <row r="307" spans="1:38" s="528" customFormat="1" ht="12">
      <c r="A307" s="533"/>
      <c r="B307" s="553"/>
      <c r="C307" s="533" t="s">
        <v>242</v>
      </c>
      <c r="D307" s="616"/>
      <c r="E307" s="609">
        <v>0</v>
      </c>
      <c r="F307" s="609">
        <v>0</v>
      </c>
      <c r="G307" s="609">
        <v>0</v>
      </c>
      <c r="H307" s="609">
        <v>0</v>
      </c>
      <c r="I307" s="609">
        <v>0</v>
      </c>
      <c r="J307" s="609">
        <v>0</v>
      </c>
      <c r="K307" s="609">
        <v>0</v>
      </c>
      <c r="L307" s="609"/>
      <c r="M307" s="609"/>
      <c r="N307" s="609"/>
      <c r="O307" s="609"/>
      <c r="P307" s="609">
        <v>0</v>
      </c>
      <c r="Q307" s="609">
        <f t="shared" si="104"/>
        <v>-868.2200000000006</v>
      </c>
      <c r="R307" s="609">
        <f t="shared" si="104"/>
        <v>-868.37277841163939</v>
      </c>
      <c r="S307" s="609">
        <f t="shared" si="104"/>
        <v>-88.750000000000057</v>
      </c>
      <c r="T307" s="609">
        <f t="shared" si="104"/>
        <v>0</v>
      </c>
      <c r="U307" s="609">
        <f t="shared" si="104"/>
        <v>0</v>
      </c>
      <c r="V307" s="609">
        <f t="shared" si="104"/>
        <v>0</v>
      </c>
      <c r="W307" s="609">
        <f t="shared" si="104"/>
        <v>0</v>
      </c>
      <c r="X307" s="609">
        <v>0</v>
      </c>
      <c r="Y307" s="609">
        <v>0</v>
      </c>
      <c r="Z307" s="609">
        <f t="shared" si="104"/>
        <v>0</v>
      </c>
      <c r="AA307" s="609">
        <v>0</v>
      </c>
      <c r="AB307" s="609">
        <f t="shared" si="104"/>
        <v>0</v>
      </c>
      <c r="AC307" s="609">
        <f t="shared" si="104"/>
        <v>0</v>
      </c>
      <c r="AD307" s="609">
        <f t="shared" si="104"/>
        <v>0</v>
      </c>
      <c r="AE307" s="609">
        <f t="shared" si="104"/>
        <v>0</v>
      </c>
      <c r="AF307" s="609">
        <f t="shared" si="104"/>
        <v>0</v>
      </c>
      <c r="AG307" s="609">
        <f t="shared" si="104"/>
        <v>0</v>
      </c>
      <c r="AH307" s="609">
        <f t="shared" si="104"/>
        <v>0</v>
      </c>
      <c r="AI307" s="609">
        <f t="shared" si="103"/>
        <v>0</v>
      </c>
      <c r="AJ307" s="609">
        <f t="shared" si="103"/>
        <v>0</v>
      </c>
      <c r="AK307" s="609">
        <f t="shared" si="103"/>
        <v>0</v>
      </c>
      <c r="AL307" s="609">
        <f t="shared" si="103"/>
        <v>0</v>
      </c>
    </row>
    <row r="308" spans="1:38" s="528" customFormat="1" ht="12">
      <c r="A308" s="507"/>
      <c r="B308" s="553"/>
      <c r="C308" s="533" t="s">
        <v>243</v>
      </c>
      <c r="D308" s="616"/>
      <c r="E308" s="609">
        <v>0</v>
      </c>
      <c r="F308" s="609">
        <v>0</v>
      </c>
      <c r="G308" s="609">
        <v>0</v>
      </c>
      <c r="H308" s="609">
        <v>0</v>
      </c>
      <c r="I308" s="609">
        <v>0</v>
      </c>
      <c r="J308" s="609">
        <v>0</v>
      </c>
      <c r="K308" s="609">
        <v>0</v>
      </c>
      <c r="L308" s="609"/>
      <c r="M308" s="609"/>
      <c r="N308" s="609"/>
      <c r="O308" s="609"/>
      <c r="P308" s="609">
        <v>0</v>
      </c>
      <c r="Q308" s="609">
        <f t="shared" si="104"/>
        <v>-265.2399780000037</v>
      </c>
      <c r="R308" s="609">
        <f t="shared" si="104"/>
        <v>195.00000000000682</v>
      </c>
      <c r="S308" s="609">
        <f t="shared" si="104"/>
        <v>-962.97329799999977</v>
      </c>
      <c r="T308" s="609">
        <f t="shared" si="104"/>
        <v>375</v>
      </c>
      <c r="U308" s="609">
        <f t="shared" si="104"/>
        <v>1753</v>
      </c>
      <c r="V308" s="609">
        <f t="shared" si="104"/>
        <v>1753</v>
      </c>
      <c r="W308" s="609">
        <f t="shared" si="104"/>
        <v>621.45200000000114</v>
      </c>
      <c r="X308" s="609">
        <v>23</v>
      </c>
      <c r="Y308" s="609">
        <v>1412</v>
      </c>
      <c r="Z308" s="609">
        <f t="shared" si="104"/>
        <v>679.89778158749505</v>
      </c>
      <c r="AA308" s="609">
        <v>0</v>
      </c>
      <c r="AB308" s="609">
        <f t="shared" si="104"/>
        <v>0</v>
      </c>
      <c r="AC308" s="609">
        <f t="shared" si="104"/>
        <v>0</v>
      </c>
      <c r="AD308" s="609">
        <f t="shared" si="104"/>
        <v>0</v>
      </c>
      <c r="AE308" s="609">
        <f t="shared" si="104"/>
        <v>0</v>
      </c>
      <c r="AF308" s="609">
        <f t="shared" si="104"/>
        <v>0</v>
      </c>
      <c r="AG308" s="609">
        <f t="shared" si="104"/>
        <v>0</v>
      </c>
      <c r="AH308" s="609">
        <f t="shared" si="104"/>
        <v>0</v>
      </c>
      <c r="AI308" s="609">
        <f t="shared" si="103"/>
        <v>0</v>
      </c>
      <c r="AJ308" s="609">
        <f t="shared" si="103"/>
        <v>0</v>
      </c>
      <c r="AK308" s="609">
        <f t="shared" si="103"/>
        <v>0</v>
      </c>
      <c r="AL308" s="609">
        <f t="shared" si="103"/>
        <v>0</v>
      </c>
    </row>
    <row r="309" spans="1:38" s="528" customFormat="1" ht="12">
      <c r="A309" s="507"/>
      <c r="B309" s="553"/>
      <c r="C309" s="533" t="s">
        <v>268</v>
      </c>
      <c r="D309" s="616"/>
      <c r="E309" s="609"/>
      <c r="F309" s="609"/>
      <c r="G309" s="609"/>
      <c r="H309" s="609"/>
      <c r="I309" s="609"/>
      <c r="J309" s="609"/>
      <c r="K309" s="609"/>
      <c r="L309" s="609"/>
      <c r="M309" s="609"/>
      <c r="N309" s="609"/>
      <c r="O309" s="609"/>
      <c r="P309" s="609"/>
      <c r="Q309" s="609"/>
      <c r="R309" s="609"/>
      <c r="S309" s="609"/>
      <c r="T309" s="609"/>
      <c r="U309" s="609"/>
      <c r="V309" s="609"/>
      <c r="W309" s="609"/>
      <c r="X309" s="609"/>
      <c r="Y309" s="609"/>
      <c r="Z309" s="609">
        <f t="shared" si="104"/>
        <v>0</v>
      </c>
      <c r="AA309" s="609">
        <v>0</v>
      </c>
      <c r="AB309" s="609">
        <f t="shared" si="104"/>
        <v>0</v>
      </c>
      <c r="AC309" s="609">
        <f t="shared" si="104"/>
        <v>0</v>
      </c>
      <c r="AD309" s="609">
        <f t="shared" si="104"/>
        <v>0</v>
      </c>
      <c r="AE309" s="609">
        <f t="shared" si="104"/>
        <v>0</v>
      </c>
      <c r="AF309" s="609">
        <f t="shared" si="104"/>
        <v>0</v>
      </c>
      <c r="AG309" s="609">
        <f t="shared" si="104"/>
        <v>0</v>
      </c>
      <c r="AH309" s="609">
        <f t="shared" si="104"/>
        <v>0</v>
      </c>
      <c r="AI309" s="609">
        <f t="shared" si="103"/>
        <v>0</v>
      </c>
      <c r="AJ309" s="609">
        <f t="shared" si="103"/>
        <v>0</v>
      </c>
      <c r="AK309" s="609">
        <f t="shared" si="103"/>
        <v>0</v>
      </c>
      <c r="AL309" s="609">
        <f t="shared" si="103"/>
        <v>0</v>
      </c>
    </row>
    <row r="310" spans="1:38" s="528" customFormat="1" ht="12">
      <c r="A310" s="507"/>
      <c r="B310" s="553"/>
      <c r="C310" s="533" t="s">
        <v>273</v>
      </c>
      <c r="D310" s="616"/>
      <c r="E310" s="609">
        <v>0</v>
      </c>
      <c r="F310" s="609">
        <v>0</v>
      </c>
      <c r="G310" s="609">
        <v>0</v>
      </c>
      <c r="H310" s="609">
        <v>0</v>
      </c>
      <c r="I310" s="609">
        <v>0</v>
      </c>
      <c r="J310" s="609">
        <v>0</v>
      </c>
      <c r="K310" s="609">
        <v>0</v>
      </c>
      <c r="L310" s="609"/>
      <c r="M310" s="609"/>
      <c r="N310" s="609"/>
      <c r="O310" s="609"/>
      <c r="P310" s="609">
        <v>0</v>
      </c>
      <c r="Q310" s="609">
        <f t="shared" ref="Q310:W317" si="105">+Q241+Q276</f>
        <v>0</v>
      </c>
      <c r="R310" s="609">
        <f t="shared" si="105"/>
        <v>0</v>
      </c>
      <c r="S310" s="609">
        <f t="shared" si="105"/>
        <v>0</v>
      </c>
      <c r="T310" s="609">
        <f t="shared" si="105"/>
        <v>0</v>
      </c>
      <c r="U310" s="609">
        <f t="shared" si="105"/>
        <v>-1500</v>
      </c>
      <c r="V310" s="609">
        <f t="shared" si="105"/>
        <v>-1500</v>
      </c>
      <c r="W310" s="609">
        <f t="shared" si="105"/>
        <v>0</v>
      </c>
      <c r="X310" s="609">
        <v>0</v>
      </c>
      <c r="Y310" s="609">
        <v>0</v>
      </c>
      <c r="Z310" s="609">
        <f t="shared" si="104"/>
        <v>0</v>
      </c>
      <c r="AA310" s="609">
        <v>0</v>
      </c>
      <c r="AB310" s="609">
        <f t="shared" si="104"/>
        <v>0</v>
      </c>
      <c r="AC310" s="609">
        <f t="shared" si="104"/>
        <v>0</v>
      </c>
      <c r="AD310" s="609">
        <f t="shared" si="104"/>
        <v>0</v>
      </c>
      <c r="AE310" s="609">
        <f t="shared" si="104"/>
        <v>0</v>
      </c>
      <c r="AF310" s="609">
        <f t="shared" si="104"/>
        <v>0</v>
      </c>
      <c r="AG310" s="609">
        <f t="shared" si="104"/>
        <v>0</v>
      </c>
      <c r="AH310" s="609">
        <f t="shared" si="104"/>
        <v>0</v>
      </c>
      <c r="AI310" s="609">
        <f t="shared" si="103"/>
        <v>0</v>
      </c>
      <c r="AJ310" s="609">
        <f t="shared" si="103"/>
        <v>0</v>
      </c>
      <c r="AK310" s="609">
        <f t="shared" si="103"/>
        <v>0</v>
      </c>
      <c r="AL310" s="609">
        <f t="shared" si="103"/>
        <v>0</v>
      </c>
    </row>
    <row r="311" spans="1:38" s="528" customFormat="1" ht="12">
      <c r="A311" s="507"/>
      <c r="B311" s="553"/>
      <c r="C311" s="533" t="s">
        <v>246</v>
      </c>
      <c r="D311" s="616"/>
      <c r="E311" s="609">
        <v>0</v>
      </c>
      <c r="F311" s="609">
        <v>0</v>
      </c>
      <c r="G311" s="609">
        <v>0</v>
      </c>
      <c r="H311" s="609">
        <v>0</v>
      </c>
      <c r="I311" s="609">
        <v>0</v>
      </c>
      <c r="J311" s="609">
        <v>0</v>
      </c>
      <c r="K311" s="609">
        <v>0</v>
      </c>
      <c r="L311" s="609"/>
      <c r="M311" s="609"/>
      <c r="N311" s="609"/>
      <c r="O311" s="609"/>
      <c r="P311" s="609">
        <v>0</v>
      </c>
      <c r="Q311" s="609">
        <f t="shared" si="105"/>
        <v>2375.559882268883</v>
      </c>
      <c r="R311" s="609">
        <f t="shared" si="105"/>
        <v>3198</v>
      </c>
      <c r="S311" s="609">
        <f t="shared" si="105"/>
        <v>3289.9568779514279</v>
      </c>
      <c r="T311" s="609">
        <f t="shared" si="105"/>
        <v>525</v>
      </c>
      <c r="U311" s="609">
        <f t="shared" si="105"/>
        <v>3825</v>
      </c>
      <c r="V311" s="609">
        <f t="shared" si="105"/>
        <v>3825</v>
      </c>
      <c r="W311" s="609">
        <f t="shared" si="105"/>
        <v>3921</v>
      </c>
      <c r="X311" s="609">
        <v>3966</v>
      </c>
      <c r="Y311" s="609">
        <v>4940</v>
      </c>
      <c r="Z311" s="609">
        <f t="shared" si="104"/>
        <v>4889.6351060661664</v>
      </c>
      <c r="AA311" s="609">
        <v>6024</v>
      </c>
      <c r="AB311" s="609">
        <f t="shared" si="104"/>
        <v>5438.5560000000014</v>
      </c>
      <c r="AC311" s="609">
        <f t="shared" si="104"/>
        <v>5125.2769540000008</v>
      </c>
      <c r="AD311" s="609">
        <f t="shared" si="104"/>
        <v>5709.8850839800007</v>
      </c>
      <c r="AE311" s="609">
        <f t="shared" si="104"/>
        <v>6363.1249343326008</v>
      </c>
      <c r="AF311" s="609">
        <f t="shared" si="104"/>
        <v>7093.1562487412612</v>
      </c>
      <c r="AG311" s="609">
        <f t="shared" si="104"/>
        <v>7909.1141369933994</v>
      </c>
      <c r="AH311" s="609">
        <f t="shared" si="104"/>
        <v>8821.2259287559555</v>
      </c>
      <c r="AI311" s="609">
        <f t="shared" si="103"/>
        <v>9840.9420402961878</v>
      </c>
      <c r="AJ311" s="609">
        <f t="shared" si="103"/>
        <v>10981.08253522572</v>
      </c>
      <c r="AK311" s="609">
        <f t="shared" si="103"/>
        <v>12256.001262051495</v>
      </c>
      <c r="AL311" s="609">
        <f t="shared" si="103"/>
        <v>13681.769677226295</v>
      </c>
    </row>
    <row r="312" spans="1:38" s="528" customFormat="1" ht="12">
      <c r="A312" s="507"/>
      <c r="B312" s="553"/>
      <c r="C312" s="533" t="s">
        <v>247</v>
      </c>
      <c r="D312" s="616"/>
      <c r="E312" s="609">
        <v>0</v>
      </c>
      <c r="F312" s="609">
        <v>0</v>
      </c>
      <c r="G312" s="609">
        <v>0</v>
      </c>
      <c r="H312" s="609">
        <v>0</v>
      </c>
      <c r="I312" s="609">
        <v>0</v>
      </c>
      <c r="J312" s="609">
        <v>0</v>
      </c>
      <c r="K312" s="609">
        <v>0</v>
      </c>
      <c r="L312" s="609"/>
      <c r="M312" s="609"/>
      <c r="N312" s="609"/>
      <c r="O312" s="609"/>
      <c r="P312" s="609">
        <v>0</v>
      </c>
      <c r="Q312" s="609">
        <f t="shared" si="105"/>
        <v>1323.0430891544438</v>
      </c>
      <c r="R312" s="609">
        <f t="shared" si="105"/>
        <v>1764.3653846153848</v>
      </c>
      <c r="S312" s="609">
        <f t="shared" si="105"/>
        <v>1971.0343451236074</v>
      </c>
      <c r="T312" s="609">
        <f t="shared" si="105"/>
        <v>353.84615384615387</v>
      </c>
      <c r="U312" s="609">
        <f t="shared" si="105"/>
        <v>2153.8461538461543</v>
      </c>
      <c r="V312" s="609">
        <f t="shared" si="105"/>
        <v>2153.8461538461543</v>
      </c>
      <c r="W312" s="609">
        <f t="shared" si="105"/>
        <v>1969.6505638276449</v>
      </c>
      <c r="X312" s="609">
        <v>2329</v>
      </c>
      <c r="Y312" s="609">
        <v>1506</v>
      </c>
      <c r="Z312" s="609">
        <f t="shared" si="104"/>
        <v>3419.0236070302694</v>
      </c>
      <c r="AA312" s="609">
        <v>4154.4659000000001</v>
      </c>
      <c r="AB312" s="609">
        <f t="shared" si="104"/>
        <v>1372.440995291128</v>
      </c>
      <c r="AC312" s="609">
        <f t="shared" si="104"/>
        <v>2493.2107033071229</v>
      </c>
      <c r="AD312" s="609">
        <f t="shared" si="104"/>
        <v>2818.1898033218649</v>
      </c>
      <c r="AE312" s="609">
        <f t="shared" si="104"/>
        <v>3189.4656430647519</v>
      </c>
      <c r="AF312" s="609">
        <f t="shared" si="104"/>
        <v>3613.8602272313024</v>
      </c>
      <c r="AG312" s="609">
        <f t="shared" si="104"/>
        <v>4099.2127359081778</v>
      </c>
      <c r="AH312" s="609">
        <f t="shared" si="104"/>
        <v>3806.2956152488296</v>
      </c>
      <c r="AI312" s="609">
        <f t="shared" si="103"/>
        <v>4314.6989632740315</v>
      </c>
      <c r="AJ312" s="609">
        <f t="shared" si="103"/>
        <v>4896.2357637899077</v>
      </c>
      <c r="AK312" s="609">
        <f t="shared" si="103"/>
        <v>5561.7196821844036</v>
      </c>
      <c r="AL312" s="609">
        <f t="shared" si="103"/>
        <v>6323.5786160293746</v>
      </c>
    </row>
    <row r="313" spans="1:38" s="528" customFormat="1" ht="12">
      <c r="A313" s="507"/>
      <c r="B313" s="553"/>
      <c r="C313" s="533" t="s">
        <v>248</v>
      </c>
      <c r="D313" s="616"/>
      <c r="E313" s="609">
        <v>0</v>
      </c>
      <c r="F313" s="609">
        <v>0</v>
      </c>
      <c r="G313" s="609">
        <v>0</v>
      </c>
      <c r="H313" s="609">
        <v>0</v>
      </c>
      <c r="I313" s="609">
        <v>0</v>
      </c>
      <c r="J313" s="609">
        <v>0</v>
      </c>
      <c r="K313" s="609">
        <v>0</v>
      </c>
      <c r="L313" s="609"/>
      <c r="M313" s="609"/>
      <c r="N313" s="609"/>
      <c r="O313" s="609"/>
      <c r="P313" s="609">
        <v>0</v>
      </c>
      <c r="Q313" s="609">
        <f t="shared" si="105"/>
        <v>-628</v>
      </c>
      <c r="R313" s="609">
        <f t="shared" si="105"/>
        <v>-837</v>
      </c>
      <c r="S313" s="609">
        <f t="shared" si="105"/>
        <v>-805.60083092570005</v>
      </c>
      <c r="T313" s="609">
        <f t="shared" si="105"/>
        <v>21</v>
      </c>
      <c r="U313" s="609">
        <f t="shared" si="105"/>
        <v>1221</v>
      </c>
      <c r="V313" s="609">
        <f t="shared" si="105"/>
        <v>1221</v>
      </c>
      <c r="W313" s="609">
        <f t="shared" si="105"/>
        <v>7</v>
      </c>
      <c r="X313" s="609">
        <v>-113</v>
      </c>
      <c r="Y313" s="609">
        <v>0</v>
      </c>
      <c r="Z313" s="609">
        <f t="shared" si="104"/>
        <v>732.28202579869333</v>
      </c>
      <c r="AA313" s="609">
        <v>1905</v>
      </c>
      <c r="AB313" s="609">
        <f t="shared" si="104"/>
        <v>1703.9721716751478</v>
      </c>
      <c r="AC313" s="609">
        <f t="shared" si="104"/>
        <v>800.98707472249839</v>
      </c>
      <c r="AD313" s="609">
        <f t="shared" si="104"/>
        <v>920.85499068087324</v>
      </c>
      <c r="AE313" s="609">
        <f t="shared" si="104"/>
        <v>1058.6890867705044</v>
      </c>
      <c r="AF313" s="609">
        <f t="shared" si="104"/>
        <v>1217.1835896479547</v>
      </c>
      <c r="AG313" s="609">
        <f t="shared" si="104"/>
        <v>1399.4368249501169</v>
      </c>
      <c r="AH313" s="609">
        <f t="shared" si="104"/>
        <v>2882.8907036490027</v>
      </c>
      <c r="AI313" s="609">
        <f t="shared" si="103"/>
        <v>3171.0010019052052</v>
      </c>
      <c r="AJ313" s="609">
        <f t="shared" si="103"/>
        <v>3487.9133913815922</v>
      </c>
      <c r="AK313" s="609">
        <f t="shared" si="103"/>
        <v>3836.5076342699113</v>
      </c>
      <c r="AL313" s="609">
        <f t="shared" si="103"/>
        <v>4219.9514466345709</v>
      </c>
    </row>
    <row r="314" spans="1:38" s="528" customFormat="1" ht="12">
      <c r="A314" s="533"/>
      <c r="B314" s="553"/>
      <c r="C314" s="533" t="s">
        <v>230</v>
      </c>
      <c r="D314" s="616"/>
      <c r="E314" s="609">
        <v>0</v>
      </c>
      <c r="F314" s="609">
        <v>0</v>
      </c>
      <c r="G314" s="609">
        <v>0</v>
      </c>
      <c r="H314" s="609">
        <v>0</v>
      </c>
      <c r="I314" s="609">
        <v>0</v>
      </c>
      <c r="J314" s="609">
        <v>0</v>
      </c>
      <c r="K314" s="609">
        <v>0</v>
      </c>
      <c r="L314" s="609"/>
      <c r="M314" s="609"/>
      <c r="N314" s="609"/>
      <c r="O314" s="609"/>
      <c r="P314" s="609">
        <v>0</v>
      </c>
      <c r="Q314" s="609">
        <f t="shared" si="105"/>
        <v>48.509012178590751</v>
      </c>
      <c r="R314" s="609">
        <f t="shared" si="105"/>
        <v>291.77087153846151</v>
      </c>
      <c r="S314" s="609">
        <f t="shared" si="105"/>
        <v>-735.17156993720869</v>
      </c>
      <c r="T314" s="609">
        <f t="shared" si="105"/>
        <v>353.84615384615387</v>
      </c>
      <c r="U314" s="609">
        <f t="shared" si="105"/>
        <v>371.84615384615387</v>
      </c>
      <c r="V314" s="609">
        <f t="shared" si="105"/>
        <v>371.84615384615387</v>
      </c>
      <c r="W314" s="609">
        <f t="shared" si="105"/>
        <v>416.48326244615646</v>
      </c>
      <c r="X314" s="609">
        <v>824</v>
      </c>
      <c r="Y314" s="609">
        <v>1031</v>
      </c>
      <c r="Z314" s="609">
        <f t="shared" si="104"/>
        <v>171.91052295959349</v>
      </c>
      <c r="AA314" s="609">
        <v>729</v>
      </c>
      <c r="AB314" s="609">
        <f t="shared" si="104"/>
        <v>-68.139772216836377</v>
      </c>
      <c r="AC314" s="609">
        <f t="shared" si="104"/>
        <v>300.2833906279281</v>
      </c>
      <c r="AD314" s="609">
        <f t="shared" si="104"/>
        <v>301.72464354889013</v>
      </c>
      <c r="AE314" s="609">
        <f t="shared" si="104"/>
        <v>301.20155775158696</v>
      </c>
      <c r="AF314" s="609">
        <f t="shared" si="104"/>
        <v>298.31038649869288</v>
      </c>
      <c r="AG314" s="609">
        <f t="shared" si="104"/>
        <v>292.58135580391001</v>
      </c>
      <c r="AH314" s="609">
        <f t="shared" si="104"/>
        <v>283.46848551606388</v>
      </c>
      <c r="AI314" s="609">
        <f t="shared" ref="AI314:AL320" si="106">+AI245+AI280</f>
        <v>270.33786958933456</v>
      </c>
      <c r="AJ314" s="609">
        <f t="shared" si="106"/>
        <v>252.45418368345543</v>
      </c>
      <c r="AK314" s="609">
        <f t="shared" si="106"/>
        <v>228.96515341729059</v>
      </c>
      <c r="AL314" s="609">
        <f t="shared" si="106"/>
        <v>198.88367655282104</v>
      </c>
    </row>
    <row r="315" spans="1:38" s="528" customFormat="1" ht="12">
      <c r="A315" s="533"/>
      <c r="B315" s="553"/>
      <c r="C315" s="533" t="s">
        <v>249</v>
      </c>
      <c r="D315" s="616"/>
      <c r="E315" s="609"/>
      <c r="F315" s="609"/>
      <c r="G315" s="609"/>
      <c r="H315" s="609">
        <v>0</v>
      </c>
      <c r="I315" s="609">
        <v>0</v>
      </c>
      <c r="J315" s="609">
        <v>0</v>
      </c>
      <c r="K315" s="609">
        <v>0</v>
      </c>
      <c r="L315" s="609"/>
      <c r="M315" s="609"/>
      <c r="N315" s="609"/>
      <c r="O315" s="609"/>
      <c r="P315" s="609"/>
      <c r="Q315" s="609">
        <f t="shared" si="105"/>
        <v>0</v>
      </c>
      <c r="R315" s="609">
        <f t="shared" si="105"/>
        <v>0</v>
      </c>
      <c r="S315" s="609">
        <f t="shared" si="105"/>
        <v>0</v>
      </c>
      <c r="T315" s="609">
        <f t="shared" si="105"/>
        <v>0</v>
      </c>
      <c r="U315" s="609">
        <f t="shared" si="105"/>
        <v>0</v>
      </c>
      <c r="V315" s="609">
        <f t="shared" si="105"/>
        <v>0</v>
      </c>
      <c r="W315" s="609">
        <f t="shared" si="105"/>
        <v>0</v>
      </c>
      <c r="X315" s="609">
        <v>0</v>
      </c>
      <c r="Y315" s="609">
        <v>0</v>
      </c>
      <c r="Z315" s="609">
        <f t="shared" si="104"/>
        <v>175.09886606380593</v>
      </c>
      <c r="AA315" s="609">
        <v>432</v>
      </c>
      <c r="AB315" s="609">
        <f t="shared" si="104"/>
        <v>176.36000000000024</v>
      </c>
      <c r="AC315" s="609">
        <f t="shared" si="104"/>
        <v>0</v>
      </c>
      <c r="AD315" s="609">
        <f t="shared" si="104"/>
        <v>0</v>
      </c>
      <c r="AE315" s="609">
        <f t="shared" si="104"/>
        <v>0</v>
      </c>
      <c r="AF315" s="609">
        <f t="shared" si="104"/>
        <v>0</v>
      </c>
      <c r="AG315" s="609">
        <f t="shared" si="104"/>
        <v>0</v>
      </c>
      <c r="AH315" s="609">
        <f t="shared" si="104"/>
        <v>0</v>
      </c>
      <c r="AI315" s="609">
        <f t="shared" si="106"/>
        <v>0</v>
      </c>
      <c r="AJ315" s="609">
        <f t="shared" si="106"/>
        <v>0</v>
      </c>
      <c r="AK315" s="609">
        <f t="shared" si="106"/>
        <v>0</v>
      </c>
      <c r="AL315" s="609">
        <f t="shared" si="106"/>
        <v>0</v>
      </c>
    </row>
    <row r="316" spans="1:38" s="528" customFormat="1" ht="12">
      <c r="A316" s="533"/>
      <c r="B316" s="553"/>
      <c r="C316" s="533" t="s">
        <v>250</v>
      </c>
      <c r="D316" s="616"/>
      <c r="E316" s="609"/>
      <c r="F316" s="609"/>
      <c r="G316" s="609"/>
      <c r="H316" s="609">
        <v>0</v>
      </c>
      <c r="I316" s="609">
        <v>0</v>
      </c>
      <c r="J316" s="609">
        <v>0</v>
      </c>
      <c r="K316" s="609">
        <v>0</v>
      </c>
      <c r="L316" s="609"/>
      <c r="M316" s="609"/>
      <c r="N316" s="609"/>
      <c r="O316" s="609"/>
      <c r="P316" s="609"/>
      <c r="Q316" s="609">
        <f t="shared" si="105"/>
        <v>-2072</v>
      </c>
      <c r="R316" s="609">
        <f t="shared" si="105"/>
        <v>-1756.4826666666675</v>
      </c>
      <c r="S316" s="609">
        <f t="shared" si="105"/>
        <v>-951.80063779583315</v>
      </c>
      <c r="T316" s="609">
        <f t="shared" si="105"/>
        <v>53</v>
      </c>
      <c r="U316" s="609">
        <f t="shared" si="105"/>
        <v>-3000.6306400000012</v>
      </c>
      <c r="V316" s="609">
        <f t="shared" si="105"/>
        <v>-3000.6306400000012</v>
      </c>
      <c r="W316" s="609">
        <f t="shared" si="105"/>
        <v>26.56800000000112</v>
      </c>
      <c r="X316" s="609">
        <f>X282+X247</f>
        <v>-759</v>
      </c>
      <c r="Y316" s="609">
        <v>-1470</v>
      </c>
      <c r="Z316" s="609">
        <f t="shared" ref="Z316:AH321" si="107">+Z247+Z282</f>
        <v>795.10089999999832</v>
      </c>
      <c r="AA316" s="609">
        <v>169</v>
      </c>
      <c r="AB316" s="609">
        <f t="shared" si="107"/>
        <v>787.71960073624723</v>
      </c>
      <c r="AC316" s="609">
        <f t="shared" si="107"/>
        <v>-4533.3913950244732</v>
      </c>
      <c r="AD316" s="609">
        <f t="shared" si="107"/>
        <v>-4760.0609647756974</v>
      </c>
      <c r="AE316" s="609">
        <f t="shared" si="107"/>
        <v>-4998.064013014483</v>
      </c>
      <c r="AF316" s="609">
        <f t="shared" si="107"/>
        <v>-5247.9672136652071</v>
      </c>
      <c r="AG316" s="609">
        <f t="shared" si="107"/>
        <v>-5510.3655743484678</v>
      </c>
      <c r="AH316" s="609">
        <f t="shared" si="107"/>
        <v>-5785.8838530658895</v>
      </c>
      <c r="AI316" s="609">
        <f t="shared" si="106"/>
        <v>-6075.1780457191844</v>
      </c>
      <c r="AJ316" s="609">
        <f t="shared" si="106"/>
        <v>-6378.9369480051446</v>
      </c>
      <c r="AK316" s="609">
        <f t="shared" si="106"/>
        <v>-6697.8837954054025</v>
      </c>
      <c r="AL316" s="609">
        <f t="shared" si="106"/>
        <v>-7032.7779851756732</v>
      </c>
    </row>
    <row r="317" spans="1:38" s="528" customFormat="1" ht="12">
      <c r="A317" s="533"/>
      <c r="B317" s="553"/>
      <c r="C317" s="533" t="s">
        <v>251</v>
      </c>
      <c r="D317" s="616"/>
      <c r="E317" s="609"/>
      <c r="F317" s="609"/>
      <c r="G317" s="609"/>
      <c r="H317" s="609">
        <v>0</v>
      </c>
      <c r="I317" s="609">
        <v>0</v>
      </c>
      <c r="J317" s="609">
        <v>0</v>
      </c>
      <c r="K317" s="609">
        <v>0</v>
      </c>
      <c r="L317" s="609"/>
      <c r="M317" s="609"/>
      <c r="N317" s="609"/>
      <c r="O317" s="609"/>
      <c r="P317" s="609"/>
      <c r="Q317" s="609">
        <f t="shared" si="105"/>
        <v>56.334192004989958</v>
      </c>
      <c r="R317" s="609">
        <f t="shared" si="105"/>
        <v>78.957577633743369</v>
      </c>
      <c r="S317" s="609">
        <f t="shared" si="105"/>
        <v>-45.652421360000119</v>
      </c>
      <c r="T317" s="609">
        <f t="shared" si="105"/>
        <v>0</v>
      </c>
      <c r="U317" s="609">
        <f t="shared" si="105"/>
        <v>89.645511053944887</v>
      </c>
      <c r="V317" s="609">
        <f t="shared" si="105"/>
        <v>89.645511053944887</v>
      </c>
      <c r="W317" s="609">
        <f t="shared" si="105"/>
        <v>238.89839999999998</v>
      </c>
      <c r="X317" s="609">
        <v>69.807843300000002</v>
      </c>
      <c r="Y317" s="609">
        <f>X317*1.05</f>
        <v>73.298235465000005</v>
      </c>
      <c r="Z317" s="609">
        <f t="shared" si="107"/>
        <v>258.31821456295017</v>
      </c>
      <c r="AA317" s="609">
        <v>206</v>
      </c>
      <c r="AB317" s="609">
        <f t="shared" si="107"/>
        <v>19.549094679336743</v>
      </c>
      <c r="AC317" s="609">
        <f t="shared" si="107"/>
        <v>20.534360814506961</v>
      </c>
      <c r="AD317" s="609">
        <f t="shared" si="107"/>
        <v>21.56935894050784</v>
      </c>
      <c r="AE317" s="609">
        <f t="shared" si="107"/>
        <v>22.656603777925366</v>
      </c>
      <c r="AF317" s="609">
        <f t="shared" si="107"/>
        <v>23.798737470637295</v>
      </c>
      <c r="AG317" s="609">
        <f t="shared" si="107"/>
        <v>24.998536058213659</v>
      </c>
      <c r="AH317" s="609">
        <f t="shared" si="107"/>
        <v>26.258916278011633</v>
      </c>
      <c r="AI317" s="609">
        <f t="shared" si="106"/>
        <v>27.582942713812688</v>
      </c>
      <c r="AJ317" s="609">
        <f t="shared" si="106"/>
        <v>28.973835308717828</v>
      </c>
      <c r="AK317" s="609">
        <f t="shared" si="106"/>
        <v>30.434977260921077</v>
      </c>
      <c r="AL317" s="609">
        <f t="shared" si="106"/>
        <v>31.969923321940602</v>
      </c>
    </row>
    <row r="318" spans="1:38" s="528" customFormat="1" ht="12">
      <c r="A318" s="533"/>
      <c r="B318" s="553"/>
      <c r="C318" s="533" t="s">
        <v>227</v>
      </c>
      <c r="D318" s="616"/>
      <c r="E318" s="609"/>
      <c r="F318" s="609"/>
      <c r="G318" s="609"/>
      <c r="H318" s="609"/>
      <c r="I318" s="609"/>
      <c r="J318" s="609"/>
      <c r="K318" s="609"/>
      <c r="L318" s="609"/>
      <c r="M318" s="609"/>
      <c r="N318" s="609"/>
      <c r="O318" s="609"/>
      <c r="P318" s="609"/>
      <c r="Q318" s="609"/>
      <c r="R318" s="609"/>
      <c r="S318" s="609"/>
      <c r="T318" s="609"/>
      <c r="U318" s="609"/>
      <c r="V318" s="609"/>
      <c r="W318" s="609"/>
      <c r="X318" s="609">
        <v>56</v>
      </c>
      <c r="Y318" s="609">
        <v>0</v>
      </c>
      <c r="Z318" s="609">
        <f>+Z249+Z284</f>
        <v>-559.13388000000009</v>
      </c>
      <c r="AA318" s="609">
        <v>0</v>
      </c>
      <c r="AB318" s="609">
        <f t="shared" si="107"/>
        <v>-5.6061719287397409</v>
      </c>
      <c r="AC318" s="609">
        <f t="shared" si="107"/>
        <v>840.76608879696255</v>
      </c>
      <c r="AD318" s="609">
        <f t="shared" si="107"/>
        <v>1008.9193065563551</v>
      </c>
      <c r="AE318" s="609">
        <f t="shared" si="107"/>
        <v>1210.703167867626</v>
      </c>
      <c r="AF318" s="609">
        <f t="shared" si="107"/>
        <v>1452.8438014411513</v>
      </c>
      <c r="AG318" s="609">
        <f t="shared" si="107"/>
        <v>1743.4125617293814</v>
      </c>
      <c r="AH318" s="609">
        <f t="shared" si="107"/>
        <v>2896.7470256426641</v>
      </c>
      <c r="AI318" s="609">
        <f t="shared" si="106"/>
        <v>3476.096430771197</v>
      </c>
      <c r="AJ318" s="609">
        <f t="shared" si="106"/>
        <v>4171.3157169254364</v>
      </c>
      <c r="AK318" s="609">
        <f t="shared" si="106"/>
        <v>5005.5788603105229</v>
      </c>
      <c r="AL318" s="609">
        <f t="shared" si="106"/>
        <v>6006.6946323726261</v>
      </c>
    </row>
    <row r="319" spans="1:38" s="528" customFormat="1" ht="12">
      <c r="A319" s="533"/>
      <c r="B319" s="553"/>
      <c r="C319" s="533" t="s">
        <v>228</v>
      </c>
      <c r="D319" s="616"/>
      <c r="E319" s="609"/>
      <c r="F319" s="609"/>
      <c r="G319" s="609"/>
      <c r="H319" s="609"/>
      <c r="I319" s="609"/>
      <c r="J319" s="609"/>
      <c r="K319" s="609"/>
      <c r="L319" s="609"/>
      <c r="M319" s="609"/>
      <c r="N319" s="609"/>
      <c r="O319" s="609"/>
      <c r="P319" s="609"/>
      <c r="Q319" s="609"/>
      <c r="R319" s="609"/>
      <c r="S319" s="609"/>
      <c r="T319" s="609"/>
      <c r="U319" s="609"/>
      <c r="V319" s="609"/>
      <c r="W319" s="609"/>
      <c r="X319" s="609">
        <v>0</v>
      </c>
      <c r="Y319" s="609">
        <v>0</v>
      </c>
      <c r="Z319" s="609">
        <f>+Z250+Z285</f>
        <v>-568.52781400853644</v>
      </c>
      <c r="AA319" s="609">
        <v>323.99999999999994</v>
      </c>
      <c r="AB319" s="609">
        <f t="shared" si="107"/>
        <v>950.36950156519993</v>
      </c>
      <c r="AC319" s="609">
        <f t="shared" si="107"/>
        <v>353.5126456560393</v>
      </c>
      <c r="AD319" s="609">
        <f t="shared" si="107"/>
        <v>417.05524384910996</v>
      </c>
      <c r="AE319" s="609">
        <f t="shared" si="107"/>
        <v>492.94836513388782</v>
      </c>
      <c r="AF319" s="609">
        <f t="shared" si="107"/>
        <v>583.64421430136895</v>
      </c>
      <c r="AG319" s="609">
        <f t="shared" si="107"/>
        <v>692.08454210938169</v>
      </c>
      <c r="AH319" s="609">
        <f t="shared" si="107"/>
        <v>1329.050459121227</v>
      </c>
      <c r="AI319" s="609">
        <f t="shared" si="106"/>
        <v>1585.7224631003546</v>
      </c>
      <c r="AJ319" s="609">
        <f t="shared" si="106"/>
        <v>1893.2719634830516</v>
      </c>
      <c r="AK319" s="609">
        <f t="shared" si="106"/>
        <v>2261.8516143304191</v>
      </c>
      <c r="AL319" s="609">
        <f t="shared" si="106"/>
        <v>2703.6434582547986</v>
      </c>
    </row>
    <row r="320" spans="1:38" s="528" customFormat="1" ht="12">
      <c r="A320" s="533"/>
      <c r="B320" s="553"/>
      <c r="C320" s="533" t="s">
        <v>252</v>
      </c>
      <c r="D320" s="616"/>
      <c r="E320" s="609"/>
      <c r="F320" s="609"/>
      <c r="G320" s="609"/>
      <c r="H320" s="609"/>
      <c r="I320" s="609"/>
      <c r="J320" s="609"/>
      <c r="K320" s="609"/>
      <c r="L320" s="609"/>
      <c r="M320" s="609"/>
      <c r="N320" s="609"/>
      <c r="O320" s="609"/>
      <c r="P320" s="609"/>
      <c r="Q320" s="609"/>
      <c r="R320" s="609"/>
      <c r="S320" s="609"/>
      <c r="T320" s="609"/>
      <c r="U320" s="609"/>
      <c r="V320" s="609"/>
      <c r="W320" s="609"/>
      <c r="X320" s="609">
        <v>-6.4977125235000299</v>
      </c>
      <c r="Y320" s="609">
        <v>0</v>
      </c>
      <c r="Z320" s="609">
        <f t="shared" si="107"/>
        <v>-73.365600000000001</v>
      </c>
      <c r="AA320" s="609">
        <v>0</v>
      </c>
      <c r="AB320" s="609">
        <f t="shared" si="107"/>
        <v>0</v>
      </c>
      <c r="AC320" s="609">
        <f t="shared" si="107"/>
        <v>0</v>
      </c>
      <c r="AD320" s="609">
        <f t="shared" si="107"/>
        <v>0</v>
      </c>
      <c r="AE320" s="609">
        <f t="shared" si="107"/>
        <v>0</v>
      </c>
      <c r="AF320" s="609">
        <f t="shared" si="107"/>
        <v>0</v>
      </c>
      <c r="AG320" s="609">
        <f t="shared" si="107"/>
        <v>0</v>
      </c>
      <c r="AH320" s="609">
        <f t="shared" si="107"/>
        <v>0</v>
      </c>
      <c r="AI320" s="609">
        <f t="shared" si="106"/>
        <v>0</v>
      </c>
      <c r="AJ320" s="609">
        <f t="shared" si="106"/>
        <v>0</v>
      </c>
      <c r="AK320" s="609">
        <f t="shared" si="106"/>
        <v>0</v>
      </c>
      <c r="AL320" s="609">
        <f t="shared" si="106"/>
        <v>0</v>
      </c>
    </row>
    <row r="321" spans="1:38" s="528" customFormat="1" ht="12">
      <c r="A321" s="533"/>
      <c r="B321" s="553"/>
      <c r="C321" s="533" t="s">
        <v>253</v>
      </c>
      <c r="D321" s="616"/>
      <c r="E321" s="609"/>
      <c r="F321" s="609"/>
      <c r="G321" s="609"/>
      <c r="H321" s="609">
        <v>0</v>
      </c>
      <c r="I321" s="609">
        <v>0</v>
      </c>
      <c r="J321" s="609">
        <v>0</v>
      </c>
      <c r="K321" s="609">
        <v>0</v>
      </c>
      <c r="L321" s="609"/>
      <c r="M321" s="609"/>
      <c r="N321" s="609"/>
      <c r="O321" s="609"/>
      <c r="P321" s="609"/>
      <c r="Q321" s="609">
        <f t="shared" ref="Q321:X321" si="108">+Q252+Q287</f>
        <v>-1450.3846153846146</v>
      </c>
      <c r="R321" s="609">
        <f t="shared" si="108"/>
        <v>-1934.512820512819</v>
      </c>
      <c r="S321" s="609">
        <f t="shared" si="108"/>
        <v>-1985.9126686966079</v>
      </c>
      <c r="T321" s="609">
        <f t="shared" si="108"/>
        <v>250</v>
      </c>
      <c r="U321" s="609">
        <f t="shared" si="108"/>
        <v>-2043.7384615384599</v>
      </c>
      <c r="V321" s="609">
        <f t="shared" si="108"/>
        <v>-2043.7384615384599</v>
      </c>
      <c r="W321" s="609">
        <f t="shared" si="108"/>
        <v>-4486.9441019971009</v>
      </c>
      <c r="X321" s="609">
        <f t="shared" si="108"/>
        <v>1642.8410593379137</v>
      </c>
      <c r="Y321" s="609">
        <v>-3800</v>
      </c>
      <c r="Z321" s="609">
        <f t="shared" si="107"/>
        <v>-36.38175460988009</v>
      </c>
      <c r="AA321" s="609">
        <v>-371</v>
      </c>
      <c r="AB321" s="609">
        <f t="shared" ref="AB321:AH321" si="109">+AB251+AB287</f>
        <v>340.87047371248013</v>
      </c>
      <c r="AC321" s="609">
        <f t="shared" si="109"/>
        <v>357.91399739810413</v>
      </c>
      <c r="AD321" s="609">
        <f t="shared" si="109"/>
        <v>375.80969726800936</v>
      </c>
      <c r="AE321" s="609">
        <f t="shared" si="109"/>
        <v>394.60018213140984</v>
      </c>
      <c r="AF321" s="609">
        <f t="shared" si="109"/>
        <v>414.33019123798033</v>
      </c>
      <c r="AG321" s="609">
        <f t="shared" si="109"/>
        <v>435.04670079987937</v>
      </c>
      <c r="AH321" s="609">
        <f t="shared" si="109"/>
        <v>456.79903583987334</v>
      </c>
      <c r="AI321" s="609">
        <f>+AI251+AI287</f>
        <v>479.63898763186705</v>
      </c>
      <c r="AJ321" s="609">
        <f>+AJ251+AJ287</f>
        <v>503.62093701346043</v>
      </c>
      <c r="AK321" s="609">
        <f>+AK251+AK287</f>
        <v>528.80198386413349</v>
      </c>
      <c r="AL321" s="609">
        <f>+AL251+AL287</f>
        <v>555.24208305734021</v>
      </c>
    </row>
    <row r="322" spans="1:38" s="528" customFormat="1" ht="12">
      <c r="A322" s="533"/>
      <c r="B322" s="553"/>
      <c r="C322" s="533" t="s">
        <v>254</v>
      </c>
      <c r="D322" s="616"/>
      <c r="E322" s="609"/>
      <c r="F322" s="609"/>
      <c r="G322" s="609"/>
      <c r="H322" s="609"/>
      <c r="I322" s="609"/>
      <c r="J322" s="609"/>
      <c r="K322" s="609"/>
      <c r="L322" s="609"/>
      <c r="M322" s="609"/>
      <c r="N322" s="609"/>
      <c r="O322" s="609"/>
      <c r="P322" s="609"/>
      <c r="Q322" s="609"/>
      <c r="R322" s="609"/>
      <c r="S322" s="609"/>
      <c r="T322" s="609"/>
      <c r="U322" s="609"/>
      <c r="V322" s="609"/>
      <c r="W322" s="609"/>
      <c r="X322" s="609"/>
      <c r="Y322" s="609"/>
      <c r="Z322" s="609"/>
      <c r="AA322" s="609"/>
      <c r="AB322" s="609"/>
      <c r="AC322" s="609"/>
      <c r="AD322" s="609"/>
      <c r="AE322" s="609"/>
      <c r="AF322" s="609"/>
      <c r="AG322" s="609"/>
      <c r="AH322" s="609"/>
      <c r="AI322" s="609"/>
      <c r="AJ322" s="609"/>
      <c r="AK322" s="609"/>
      <c r="AL322" s="609"/>
    </row>
    <row r="323" spans="1:38" s="528" customFormat="1" ht="12">
      <c r="A323" s="533"/>
      <c r="B323" s="553"/>
      <c r="C323" s="533" t="s">
        <v>270</v>
      </c>
      <c r="D323" s="616"/>
      <c r="E323" s="609">
        <v>0</v>
      </c>
      <c r="F323" s="609">
        <v>0</v>
      </c>
      <c r="G323" s="609">
        <v>0</v>
      </c>
      <c r="H323" s="609">
        <v>0</v>
      </c>
      <c r="I323" s="609">
        <v>0</v>
      </c>
      <c r="J323" s="609">
        <v>0</v>
      </c>
      <c r="K323" s="609">
        <v>0</v>
      </c>
      <c r="L323" s="609"/>
      <c r="M323" s="609"/>
      <c r="N323" s="609"/>
      <c r="O323" s="609"/>
      <c r="P323" s="609">
        <v>0</v>
      </c>
      <c r="Q323" s="609">
        <f t="shared" ref="Q323:Y323" si="110">+Q254+Q289</f>
        <v>55</v>
      </c>
      <c r="R323" s="609">
        <f t="shared" si="110"/>
        <v>0</v>
      </c>
      <c r="S323" s="609">
        <f t="shared" si="110"/>
        <v>0</v>
      </c>
      <c r="T323" s="609">
        <f t="shared" si="110"/>
        <v>0</v>
      </c>
      <c r="U323" s="609">
        <f t="shared" si="110"/>
        <v>0</v>
      </c>
      <c r="V323" s="609">
        <f t="shared" si="110"/>
        <v>0</v>
      </c>
      <c r="W323" s="609">
        <f t="shared" si="110"/>
        <v>0</v>
      </c>
      <c r="X323" s="609">
        <v>67</v>
      </c>
      <c r="Y323" s="609">
        <f t="shared" si="110"/>
        <v>0</v>
      </c>
      <c r="Z323" s="609">
        <v>0</v>
      </c>
      <c r="AA323" s="609">
        <v>0</v>
      </c>
      <c r="AB323" s="609">
        <v>0</v>
      </c>
      <c r="AC323" s="609">
        <v>0</v>
      </c>
      <c r="AD323" s="609">
        <v>0</v>
      </c>
      <c r="AE323" s="609">
        <v>0</v>
      </c>
      <c r="AF323" s="609">
        <v>0</v>
      </c>
      <c r="AG323" s="609">
        <v>0</v>
      </c>
      <c r="AH323" s="609">
        <v>0</v>
      </c>
      <c r="AI323" s="609">
        <v>0</v>
      </c>
      <c r="AJ323" s="609">
        <v>0</v>
      </c>
      <c r="AK323" s="609">
        <v>0</v>
      </c>
      <c r="AL323" s="609">
        <v>0</v>
      </c>
    </row>
    <row r="324" spans="1:38" s="528" customFormat="1" ht="12">
      <c r="B324" s="553"/>
      <c r="C324" s="558" t="s">
        <v>269</v>
      </c>
      <c r="D324" s="626"/>
      <c r="E324" s="613">
        <f t="shared" ref="E324:AH324" si="111">SUM(E298:E323)</f>
        <v>0</v>
      </c>
      <c r="F324" s="613">
        <f t="shared" si="111"/>
        <v>0</v>
      </c>
      <c r="G324" s="613">
        <f t="shared" si="111"/>
        <v>0</v>
      </c>
      <c r="H324" s="613">
        <f t="shared" si="111"/>
        <v>0</v>
      </c>
      <c r="I324" s="613">
        <f t="shared" si="111"/>
        <v>8216.0461422405369</v>
      </c>
      <c r="J324" s="613">
        <f t="shared" si="111"/>
        <v>3390.7261158177007</v>
      </c>
      <c r="K324" s="613">
        <f t="shared" si="111"/>
        <v>0</v>
      </c>
      <c r="L324" s="613">
        <f t="shared" si="111"/>
        <v>6348.5816772914413</v>
      </c>
      <c r="M324" s="613">
        <f t="shared" si="111"/>
        <v>0</v>
      </c>
      <c r="N324" s="613">
        <f t="shared" si="111"/>
        <v>0</v>
      </c>
      <c r="O324" s="613">
        <f t="shared" si="111"/>
        <v>6074.0646075308032</v>
      </c>
      <c r="P324" s="613">
        <f t="shared" si="111"/>
        <v>0</v>
      </c>
      <c r="Q324" s="613">
        <f t="shared" si="111"/>
        <v>17831.772289598055</v>
      </c>
      <c r="R324" s="613">
        <f t="shared" si="111"/>
        <v>30286.398086904974</v>
      </c>
      <c r="S324" s="613">
        <f t="shared" si="111"/>
        <v>28627.748294608144</v>
      </c>
      <c r="T324" s="613">
        <f t="shared" si="111"/>
        <v>7725.3329230769241</v>
      </c>
      <c r="U324" s="613">
        <f t="shared" si="111"/>
        <v>36652.609332592416</v>
      </c>
      <c r="V324" s="613">
        <f t="shared" si="111"/>
        <v>36652.609332592416</v>
      </c>
      <c r="W324" s="613">
        <f t="shared" si="111"/>
        <v>35757.025545180579</v>
      </c>
      <c r="X324" s="613">
        <f t="shared" si="111"/>
        <v>31969.75119011441</v>
      </c>
      <c r="Y324" s="613">
        <f t="shared" si="111"/>
        <v>33630.458235465005</v>
      </c>
      <c r="Z324" s="613">
        <f t="shared" si="111"/>
        <v>27074.28415650078</v>
      </c>
      <c r="AA324" s="613">
        <f t="shared" si="111"/>
        <v>38569.425172936215</v>
      </c>
      <c r="AB324" s="613">
        <f t="shared" si="111"/>
        <v>27392.436509706058</v>
      </c>
      <c r="AC324" s="613">
        <f t="shared" si="111"/>
        <v>27070.905242571767</v>
      </c>
      <c r="AD324" s="613">
        <f t="shared" si="111"/>
        <v>29803.258175270934</v>
      </c>
      <c r="AE324" s="613">
        <f t="shared" si="111"/>
        <v>32816.368014002874</v>
      </c>
      <c r="AF324" s="613">
        <f t="shared" si="111"/>
        <v>36228.729461996452</v>
      </c>
      <c r="AG324" s="613">
        <f t="shared" si="111"/>
        <v>40084.088217380529</v>
      </c>
      <c r="AH324" s="613">
        <f t="shared" si="111"/>
        <v>43779.666358850242</v>
      </c>
      <c r="AI324" s="613">
        <f>SUM(AI298:AI323)</f>
        <v>46737.603268357809</v>
      </c>
      <c r="AJ324" s="613">
        <f>SUM(AJ298:AJ323)</f>
        <v>49924.98504074716</v>
      </c>
      <c r="AK324" s="613">
        <f>SUM(AK298:AK323)</f>
        <v>53360.696013700719</v>
      </c>
      <c r="AL324" s="613">
        <f>SUM(AL298:AL323)</f>
        <v>57064.940949571886</v>
      </c>
    </row>
    <row r="325" spans="1:38" s="528" customFormat="1" ht="12">
      <c r="B325" s="553"/>
      <c r="C325" s="627" t="s">
        <v>270</v>
      </c>
      <c r="D325" s="616"/>
      <c r="E325" s="609">
        <v>0</v>
      </c>
      <c r="F325" s="609">
        <v>0</v>
      </c>
      <c r="G325" s="609">
        <v>0</v>
      </c>
      <c r="H325" s="609">
        <v>0</v>
      </c>
      <c r="I325" s="609">
        <v>0</v>
      </c>
      <c r="J325" s="609">
        <v>0</v>
      </c>
      <c r="K325" s="609">
        <v>0</v>
      </c>
      <c r="L325" s="609">
        <v>0</v>
      </c>
      <c r="M325" s="609">
        <v>0</v>
      </c>
      <c r="N325" s="609">
        <v>0</v>
      </c>
      <c r="O325" s="609">
        <v>0</v>
      </c>
      <c r="P325" s="609">
        <v>0</v>
      </c>
      <c r="Q325" s="609">
        <f t="shared" ref="Q325:W325" si="112">+Q256+Q291</f>
        <v>0</v>
      </c>
      <c r="R325" s="609">
        <f t="shared" si="112"/>
        <v>0</v>
      </c>
      <c r="S325" s="609">
        <f t="shared" si="112"/>
        <v>0</v>
      </c>
      <c r="T325" s="609">
        <f t="shared" si="112"/>
        <v>0</v>
      </c>
      <c r="U325" s="609">
        <f t="shared" si="112"/>
        <v>0</v>
      </c>
      <c r="V325" s="609">
        <f t="shared" si="112"/>
        <v>0</v>
      </c>
      <c r="W325" s="609">
        <f t="shared" si="112"/>
        <v>-430</v>
      </c>
      <c r="X325" s="609">
        <v>0</v>
      </c>
      <c r="Y325" s="609">
        <v>0</v>
      </c>
      <c r="Z325" s="609">
        <v>0</v>
      </c>
      <c r="AA325" s="609">
        <f>254+640-556</f>
        <v>338</v>
      </c>
      <c r="AB325" s="609">
        <v>0</v>
      </c>
      <c r="AC325" s="609">
        <v>0</v>
      </c>
      <c r="AD325" s="609">
        <v>0</v>
      </c>
      <c r="AE325" s="609">
        <v>0</v>
      </c>
      <c r="AF325" s="609">
        <v>0</v>
      </c>
      <c r="AG325" s="609">
        <v>0</v>
      </c>
      <c r="AH325" s="609">
        <v>0</v>
      </c>
      <c r="AI325" s="609">
        <v>0</v>
      </c>
      <c r="AJ325" s="609">
        <v>0</v>
      </c>
      <c r="AK325" s="609">
        <v>0</v>
      </c>
      <c r="AL325" s="609">
        <v>0</v>
      </c>
    </row>
    <row r="326" spans="1:38" s="528" customFormat="1" ht="6.75" customHeight="1" thickBot="1">
      <c r="B326" s="544"/>
      <c r="C326" s="545"/>
      <c r="D326" s="546"/>
      <c r="E326" s="618"/>
      <c r="F326" s="618"/>
      <c r="G326" s="618"/>
      <c r="H326" s="618"/>
      <c r="I326" s="618"/>
      <c r="J326" s="618"/>
      <c r="K326" s="619"/>
      <c r="L326" s="619"/>
      <c r="M326" s="619"/>
      <c r="N326" s="619"/>
      <c r="O326" s="619"/>
      <c r="P326" s="619"/>
      <c r="Q326" s="619"/>
      <c r="R326" s="618"/>
      <c r="S326" s="619"/>
      <c r="T326" s="618"/>
      <c r="U326" s="618"/>
      <c r="V326" s="618"/>
      <c r="W326" s="618"/>
      <c r="X326" s="618"/>
      <c r="Y326" s="618"/>
      <c r="Z326" s="628"/>
      <c r="AA326" s="618"/>
      <c r="AB326" s="618"/>
      <c r="AC326" s="618"/>
      <c r="AD326" s="618"/>
      <c r="AE326" s="618"/>
      <c r="AF326" s="618"/>
      <c r="AG326" s="618"/>
      <c r="AH326" s="618"/>
      <c r="AI326" s="618"/>
      <c r="AJ326" s="618"/>
      <c r="AK326" s="618"/>
      <c r="AL326" s="618"/>
    </row>
    <row r="327" spans="1:38">
      <c r="B327" s="446"/>
      <c r="C327" s="457"/>
      <c r="D327" s="446"/>
      <c r="E327" s="448"/>
      <c r="F327" s="448"/>
      <c r="G327" s="446"/>
      <c r="H327" s="446"/>
      <c r="I327" s="446"/>
      <c r="J327" s="446"/>
      <c r="K327" s="448"/>
      <c r="L327" s="448"/>
      <c r="M327" s="448"/>
      <c r="N327" s="448"/>
      <c r="O327" s="448"/>
      <c r="P327" s="448"/>
      <c r="Q327" s="448"/>
      <c r="R327" s="446"/>
      <c r="S327" s="448"/>
      <c r="T327" s="446"/>
      <c r="U327" s="446"/>
      <c r="V327" s="446"/>
      <c r="W327" s="629"/>
      <c r="X327" s="446"/>
      <c r="Y327" s="446"/>
      <c r="Z327" s="446"/>
      <c r="AA327" s="446"/>
      <c r="AB327" s="446"/>
      <c r="AC327" s="446"/>
      <c r="AD327" s="446"/>
      <c r="AE327" s="446"/>
      <c r="AF327" s="446"/>
      <c r="AG327" s="446"/>
      <c r="AH327" s="446"/>
      <c r="AI327" s="446"/>
      <c r="AJ327" s="446"/>
      <c r="AK327" s="446"/>
      <c r="AL327" s="446"/>
    </row>
    <row r="328" spans="1:38">
      <c r="B328" s="446"/>
      <c r="C328" s="457"/>
      <c r="D328" s="446"/>
      <c r="E328" s="448"/>
      <c r="F328" s="448"/>
      <c r="G328" s="446"/>
      <c r="H328" s="446"/>
      <c r="I328" s="446"/>
      <c r="J328" s="446"/>
      <c r="K328" s="448"/>
      <c r="L328" s="448"/>
      <c r="M328" s="448"/>
      <c r="N328" s="448"/>
      <c r="O328" s="448"/>
      <c r="P328" s="448"/>
      <c r="Q328" s="448"/>
      <c r="R328" s="446"/>
      <c r="S328" s="448"/>
      <c r="T328" s="446"/>
      <c r="U328" s="446"/>
      <c r="V328" s="446"/>
      <c r="W328" s="446">
        <v>35126</v>
      </c>
      <c r="X328" s="446"/>
      <c r="Y328" s="446"/>
      <c r="Z328" s="446"/>
      <c r="AA328" s="446"/>
      <c r="AB328" s="446"/>
      <c r="AC328" s="446"/>
      <c r="AD328" s="446"/>
      <c r="AE328" s="446"/>
      <c r="AF328" s="446"/>
      <c r="AG328" s="446"/>
      <c r="AH328" s="446"/>
      <c r="AI328" s="446"/>
      <c r="AJ328" s="446"/>
      <c r="AK328" s="446"/>
      <c r="AL328" s="446"/>
    </row>
    <row r="329" spans="1:38">
      <c r="B329" s="446"/>
      <c r="C329" s="457"/>
      <c r="D329" s="446"/>
      <c r="E329" s="448"/>
      <c r="F329" s="448"/>
      <c r="G329" s="446"/>
      <c r="H329" s="446"/>
      <c r="I329" s="446"/>
      <c r="J329" s="446"/>
      <c r="K329" s="448"/>
      <c r="L329" s="448"/>
      <c r="M329" s="448"/>
      <c r="N329" s="448"/>
      <c r="O329" s="448"/>
      <c r="P329" s="448"/>
      <c r="Q329" s="448"/>
      <c r="R329" s="446"/>
      <c r="S329" s="448"/>
      <c r="T329" s="446"/>
      <c r="U329" s="446"/>
      <c r="V329" s="446"/>
      <c r="W329" s="629">
        <f>+W327-W328</f>
        <v>-35126</v>
      </c>
      <c r="X329" s="446"/>
      <c r="Y329" s="446"/>
      <c r="Z329" s="446"/>
      <c r="AA329" s="446"/>
      <c r="AB329" s="446"/>
      <c r="AC329" s="446"/>
      <c r="AD329" s="446"/>
      <c r="AE329" s="446"/>
      <c r="AF329" s="446"/>
      <c r="AG329" s="446"/>
      <c r="AH329" s="446"/>
      <c r="AI329" s="446"/>
      <c r="AJ329" s="446"/>
      <c r="AK329" s="446"/>
      <c r="AL329" s="446"/>
    </row>
    <row r="330" spans="1:38">
      <c r="B330" s="446"/>
      <c r="C330" s="614" t="s">
        <v>274</v>
      </c>
      <c r="D330" s="540"/>
      <c r="E330" s="528"/>
      <c r="F330" s="528"/>
      <c r="G330" s="528"/>
      <c r="H330" s="528"/>
      <c r="I330" s="528"/>
      <c r="J330" s="528"/>
      <c r="K330" s="516"/>
      <c r="L330" s="516"/>
      <c r="M330" s="581"/>
      <c r="N330" s="581"/>
      <c r="O330" s="516"/>
      <c r="P330" s="516"/>
      <c r="Q330" s="516"/>
      <c r="R330" s="581"/>
      <c r="S330" s="516"/>
      <c r="T330" s="581"/>
      <c r="U330" s="581"/>
      <c r="V330" s="581"/>
      <c r="W330" s="581"/>
      <c r="X330" s="582"/>
      <c r="Y330" s="582"/>
      <c r="Z330" s="446"/>
      <c r="AA330" s="446"/>
      <c r="AB330" s="446"/>
      <c r="AC330" s="446"/>
      <c r="AD330" s="446"/>
      <c r="AE330" s="446"/>
      <c r="AF330" s="446"/>
      <c r="AG330" s="446"/>
      <c r="AH330" s="446"/>
      <c r="AI330" s="446"/>
      <c r="AJ330" s="446"/>
      <c r="AK330" s="446"/>
      <c r="AL330" s="446"/>
    </row>
    <row r="331" spans="1:38">
      <c r="B331" s="446"/>
      <c r="C331" s="507" t="s">
        <v>237</v>
      </c>
      <c r="D331" s="615"/>
      <c r="E331" s="608" t="e">
        <f>E228*#REF!-E299</f>
        <v>#REF!</v>
      </c>
      <c r="F331" s="608" t="e">
        <f>F228*#REF!-F299</f>
        <v>#REF!</v>
      </c>
      <c r="G331" s="608" t="e">
        <f>G228*#REF!-G299</f>
        <v>#REF!</v>
      </c>
      <c r="H331" s="630">
        <f t="shared" ref="H331:S337" si="113">H229/H104</f>
        <v>0.12997533498946298</v>
      </c>
      <c r="I331" s="630">
        <f t="shared" si="113"/>
        <v>0.19612321643320715</v>
      </c>
      <c r="J331" s="630">
        <f t="shared" si="113"/>
        <v>0.14756116362860006</v>
      </c>
      <c r="K331" s="630">
        <f t="shared" si="113"/>
        <v>0.1160338490013226</v>
      </c>
      <c r="L331" s="630">
        <f t="shared" si="113"/>
        <v>0.12779543697555276</v>
      </c>
      <c r="M331" s="630">
        <f t="shared" si="113"/>
        <v>0.11240575842254198</v>
      </c>
      <c r="N331" s="630">
        <f t="shared" si="113"/>
        <v>-1.5794187979338715E-2</v>
      </c>
      <c r="O331" s="630">
        <f t="shared" si="113"/>
        <v>0.12822176827301252</v>
      </c>
      <c r="P331" s="630">
        <f t="shared" si="113"/>
        <v>0.10263033014869556</v>
      </c>
      <c r="Q331" s="630">
        <f t="shared" si="113"/>
        <v>8.4012023619014539E-2</v>
      </c>
      <c r="R331" s="630">
        <f t="shared" si="113"/>
        <v>0.10138287765227484</v>
      </c>
      <c r="S331" s="630">
        <f t="shared" si="113"/>
        <v>0.11889538436188554</v>
      </c>
      <c r="T331" s="630">
        <v>0</v>
      </c>
      <c r="U331" s="630">
        <f t="shared" ref="U331:AL339" si="114">U229/U104</f>
        <v>0.12</v>
      </c>
      <c r="V331" s="630">
        <f t="shared" si="114"/>
        <v>0.12</v>
      </c>
      <c r="W331" s="630">
        <f t="shared" si="114"/>
        <v>0.13877455392865976</v>
      </c>
      <c r="X331" s="630">
        <f t="shared" si="114"/>
        <v>9.5337420191794059E-2</v>
      </c>
      <c r="Y331" s="630">
        <f t="shared" si="114"/>
        <v>0.11752677104705297</v>
      </c>
      <c r="Z331" s="630">
        <f t="shared" si="114"/>
        <v>7.269513178359456E-2</v>
      </c>
      <c r="AA331" s="630">
        <f t="shared" si="114"/>
        <v>0.11001502468633607</v>
      </c>
      <c r="AB331" s="630">
        <f t="shared" si="114"/>
        <v>8.69916500172703E-2</v>
      </c>
      <c r="AC331" s="630">
        <f t="shared" si="114"/>
        <v>7.7999999999999972E-2</v>
      </c>
      <c r="AD331" s="630">
        <f t="shared" si="114"/>
        <v>7.7999999999999972E-2</v>
      </c>
      <c r="AE331" s="630">
        <f t="shared" si="114"/>
        <v>7.7999999999999972E-2</v>
      </c>
      <c r="AF331" s="630">
        <f t="shared" si="114"/>
        <v>7.7999999999999986E-2</v>
      </c>
      <c r="AG331" s="630">
        <f t="shared" si="114"/>
        <v>7.8E-2</v>
      </c>
      <c r="AH331" s="630">
        <f t="shared" si="114"/>
        <v>9.5000000000000029E-2</v>
      </c>
      <c r="AI331" s="630">
        <f t="shared" si="114"/>
        <v>9.5000000000000001E-2</v>
      </c>
      <c r="AJ331" s="630">
        <f t="shared" si="114"/>
        <v>9.4999999999999987E-2</v>
      </c>
      <c r="AK331" s="630">
        <f t="shared" si="114"/>
        <v>9.5000000000000001E-2</v>
      </c>
      <c r="AL331" s="630">
        <f t="shared" si="114"/>
        <v>9.5000000000000015E-2</v>
      </c>
    </row>
    <row r="332" spans="1:38">
      <c r="B332" s="446"/>
      <c r="C332" s="507" t="s">
        <v>238</v>
      </c>
      <c r="D332" s="615"/>
      <c r="E332" s="608" t="e">
        <f>E229*#REF!-E300</f>
        <v>#REF!</v>
      </c>
      <c r="F332" s="608" t="e">
        <f>F229*#REF!-F300</f>
        <v>#REF!</v>
      </c>
      <c r="G332" s="608" t="e">
        <f>G229*#REF!-G300</f>
        <v>#REF!</v>
      </c>
      <c r="H332" s="630">
        <f t="shared" si="113"/>
        <v>0.1152189626603272</v>
      </c>
      <c r="I332" s="630">
        <f t="shared" si="113"/>
        <v>0.13196345157769024</v>
      </c>
      <c r="J332" s="630">
        <f t="shared" si="113"/>
        <v>2.1309315448163862E-2</v>
      </c>
      <c r="K332" s="630">
        <f t="shared" si="113"/>
        <v>-0.1066739869984841</v>
      </c>
      <c r="L332" s="630">
        <f t="shared" si="113"/>
        <v>-7.7324355398471253E-2</v>
      </c>
      <c r="M332" s="630">
        <f t="shared" si="113"/>
        <v>-8.5287519655586286E-2</v>
      </c>
      <c r="N332" s="630">
        <f t="shared" si="113"/>
        <v>3.5134678289065253E-2</v>
      </c>
      <c r="O332" s="630">
        <f t="shared" si="113"/>
        <v>6.0812636373157973E-3</v>
      </c>
      <c r="P332" s="630">
        <f t="shared" si="113"/>
        <v>4.1326975919103925E-3</v>
      </c>
      <c r="Q332" s="630">
        <f t="shared" si="113"/>
        <v>1.4136438630182942E-2</v>
      </c>
      <c r="R332" s="630">
        <f t="shared" si="113"/>
        <v>3.0856714832722065E-2</v>
      </c>
      <c r="S332" s="630">
        <f t="shared" si="113"/>
        <v>2.8846674407319573E-2</v>
      </c>
      <c r="T332" s="630">
        <v>0</v>
      </c>
      <c r="U332" s="630">
        <f t="shared" si="114"/>
        <v>3.6039999999999982E-2</v>
      </c>
      <c r="V332" s="630">
        <f t="shared" si="114"/>
        <v>3.6039999999999982E-2</v>
      </c>
      <c r="W332" s="630">
        <f t="shared" si="114"/>
        <v>3.8101290132071294E-2</v>
      </c>
      <c r="X332" s="630">
        <f t="shared" si="114"/>
        <v>-3.885683777795574E-2</v>
      </c>
      <c r="Y332" s="630">
        <f t="shared" si="114"/>
        <v>-6.0144974857958117E-5</v>
      </c>
      <c r="Z332" s="630">
        <f t="shared" si="114"/>
        <v>2.5369285126965214E-2</v>
      </c>
      <c r="AA332" s="630">
        <f t="shared" si="114"/>
        <v>-1.6087856630089204E-2</v>
      </c>
      <c r="AB332" s="630">
        <f t="shared" si="114"/>
        <v>-9.5226745248154041E-2</v>
      </c>
      <c r="AC332" s="630">
        <f t="shared" si="114"/>
        <v>0</v>
      </c>
      <c r="AD332" s="630">
        <f t="shared" si="114"/>
        <v>0</v>
      </c>
      <c r="AE332" s="630">
        <f t="shared" si="114"/>
        <v>0</v>
      </c>
      <c r="AF332" s="630">
        <f t="shared" si="114"/>
        <v>0</v>
      </c>
      <c r="AG332" s="630">
        <f t="shared" si="114"/>
        <v>0</v>
      </c>
      <c r="AH332" s="630">
        <f t="shared" si="114"/>
        <v>1.0000000000000028E-2</v>
      </c>
      <c r="AI332" s="630">
        <f t="shared" si="114"/>
        <v>9.999999999999995E-3</v>
      </c>
      <c r="AJ332" s="630">
        <f t="shared" si="114"/>
        <v>1.0000000000000014E-2</v>
      </c>
      <c r="AK332" s="630">
        <f t="shared" si="114"/>
        <v>9.9999999999999863E-3</v>
      </c>
      <c r="AL332" s="630">
        <f t="shared" si="114"/>
        <v>1.0000000000000011E-2</v>
      </c>
    </row>
    <row r="333" spans="1:38">
      <c r="B333" s="446"/>
      <c r="C333" s="507" t="s">
        <v>239</v>
      </c>
      <c r="D333" s="615"/>
      <c r="E333" s="608" t="e">
        <f>E230*#REF!-E301</f>
        <v>#REF!</v>
      </c>
      <c r="F333" s="608" t="e">
        <f>F230*#REF!-F301</f>
        <v>#REF!</v>
      </c>
      <c r="G333" s="608" t="e">
        <f>G230*#REF!-G301</f>
        <v>#REF!</v>
      </c>
      <c r="H333" s="630">
        <f t="shared" si="113"/>
        <v>0.16481318254334712</v>
      </c>
      <c r="I333" s="630">
        <f t="shared" si="113"/>
        <v>0.18560413613208923</v>
      </c>
      <c r="J333" s="630">
        <f t="shared" si="113"/>
        <v>6.3402647452682565E-2</v>
      </c>
      <c r="K333" s="630">
        <f t="shared" si="113"/>
        <v>9.1345758645260844E-2</v>
      </c>
      <c r="L333" s="630">
        <f t="shared" si="113"/>
        <v>9.9657783480326972E-2</v>
      </c>
      <c r="M333" s="630">
        <f t="shared" si="113"/>
        <v>9.1453219137834676E-2</v>
      </c>
      <c r="N333" s="630">
        <f t="shared" si="113"/>
        <v>8.2167054737880094E-2</v>
      </c>
      <c r="O333" s="630">
        <f t="shared" si="113"/>
        <v>8.0399043810255671E-2</v>
      </c>
      <c r="P333" s="630">
        <f t="shared" si="113"/>
        <v>0.12374011341579585</v>
      </c>
      <c r="Q333" s="630">
        <f t="shared" si="113"/>
        <v>0.12151397717485518</v>
      </c>
      <c r="R333" s="630">
        <f t="shared" si="113"/>
        <v>0.11980010673434513</v>
      </c>
      <c r="S333" s="630">
        <f t="shared" si="113"/>
        <v>0.11245557541141668</v>
      </c>
      <c r="T333" s="630">
        <v>0</v>
      </c>
      <c r="U333" s="630">
        <f t="shared" si="114"/>
        <v>0.1</v>
      </c>
      <c r="V333" s="630">
        <f t="shared" si="114"/>
        <v>0.1</v>
      </c>
      <c r="W333" s="630">
        <f t="shared" si="114"/>
        <v>0.11526476645605857</v>
      </c>
      <c r="X333" s="630">
        <f t="shared" si="114"/>
        <v>0.10617413457215645</v>
      </c>
      <c r="Y333" s="630">
        <f t="shared" si="114"/>
        <v>5.8413591969614757E-2</v>
      </c>
      <c r="Z333" s="630">
        <f t="shared" si="114"/>
        <v>6.896702252366084E-2</v>
      </c>
      <c r="AA333" s="630">
        <f t="shared" si="114"/>
        <v>4.6260000000000003E-2</v>
      </c>
      <c r="AB333" s="630">
        <f t="shared" si="114"/>
        <v>6.0030556925763756E-2</v>
      </c>
      <c r="AC333" s="630">
        <f t="shared" si="114"/>
        <v>2.9999999999999982E-2</v>
      </c>
      <c r="AD333" s="630">
        <f t="shared" si="114"/>
        <v>2.9999999999999985E-2</v>
      </c>
      <c r="AE333" s="630">
        <f t="shared" si="114"/>
        <v>2.9999999999999995E-2</v>
      </c>
      <c r="AF333" s="630">
        <f t="shared" si="114"/>
        <v>3.0000000000000002E-2</v>
      </c>
      <c r="AG333" s="630">
        <f t="shared" si="114"/>
        <v>2.9999999999999992E-2</v>
      </c>
      <c r="AH333" s="630">
        <f t="shared" si="114"/>
        <v>4.9999999999999975E-2</v>
      </c>
      <c r="AI333" s="630">
        <f t="shared" si="114"/>
        <v>0.05</v>
      </c>
      <c r="AJ333" s="630">
        <f t="shared" si="114"/>
        <v>0.05</v>
      </c>
      <c r="AK333" s="630">
        <f t="shared" si="114"/>
        <v>4.9999999999999989E-2</v>
      </c>
      <c r="AL333" s="630">
        <f t="shared" si="114"/>
        <v>0.05</v>
      </c>
    </row>
    <row r="334" spans="1:38">
      <c r="B334" s="446"/>
      <c r="C334" s="507" t="s">
        <v>240</v>
      </c>
      <c r="D334" s="615"/>
      <c r="E334" s="608" t="e">
        <f>E231*#REF!-E302</f>
        <v>#REF!</v>
      </c>
      <c r="F334" s="608" t="e">
        <f>F231*#REF!-F302</f>
        <v>#REF!</v>
      </c>
      <c r="G334" s="608" t="e">
        <f>G231*#REF!-G302</f>
        <v>#REF!</v>
      </c>
      <c r="H334" s="630"/>
      <c r="I334" s="630"/>
      <c r="J334" s="630">
        <f t="shared" si="113"/>
        <v>0.15369167817838528</v>
      </c>
      <c r="K334" s="630">
        <f t="shared" si="113"/>
        <v>0.24363621257138407</v>
      </c>
      <c r="L334" s="630">
        <f t="shared" si="113"/>
        <v>0.14562059328869861</v>
      </c>
      <c r="M334" s="630">
        <f t="shared" si="113"/>
        <v>0.14481927710843373</v>
      </c>
      <c r="N334" s="630">
        <f t="shared" si="113"/>
        <v>-0.20562054378183151</v>
      </c>
      <c r="O334" s="630">
        <f t="shared" si="113"/>
        <v>-3.7020067538738065E-2</v>
      </c>
      <c r="P334" s="630">
        <f t="shared" si="113"/>
        <v>-0.26378115439384181</v>
      </c>
      <c r="Q334" s="630">
        <f t="shared" si="113"/>
        <v>-0.16950109166324964</v>
      </c>
      <c r="R334" s="630">
        <f t="shared" si="113"/>
        <v>-3.002175489485099E-2</v>
      </c>
      <c r="S334" s="630">
        <f t="shared" si="113"/>
        <v>-0.18089807947371461</v>
      </c>
      <c r="T334" s="630">
        <v>0</v>
      </c>
      <c r="U334" s="630">
        <f t="shared" si="114"/>
        <v>0.05</v>
      </c>
      <c r="V334" s="630">
        <f t="shared" si="114"/>
        <v>0.05</v>
      </c>
      <c r="W334" s="630">
        <f t="shared" si="114"/>
        <v>5.1890615984766415E-2</v>
      </c>
      <c r="X334" s="630">
        <f t="shared" si="114"/>
        <v>0.25867463026166099</v>
      </c>
      <c r="Y334" s="630">
        <f t="shared" si="114"/>
        <v>5.6471784171314703E-2</v>
      </c>
      <c r="Z334" s="630">
        <f t="shared" si="114"/>
        <v>0.28092015768308176</v>
      </c>
      <c r="AA334" s="630">
        <f t="shared" si="114"/>
        <v>0.17242765273311897</v>
      </c>
      <c r="AB334" s="630">
        <f t="shared" si="114"/>
        <v>3.8940252816306559E-2</v>
      </c>
      <c r="AC334" s="630">
        <f t="shared" si="114"/>
        <v>3.9999999999999959E-2</v>
      </c>
      <c r="AD334" s="630">
        <f t="shared" si="114"/>
        <v>3.9999999999999959E-2</v>
      </c>
      <c r="AE334" s="630">
        <f t="shared" si="114"/>
        <v>3.999999999999998E-2</v>
      </c>
      <c r="AF334" s="630">
        <f t="shared" si="114"/>
        <v>3.9999999999999973E-2</v>
      </c>
      <c r="AG334" s="630">
        <f t="shared" si="114"/>
        <v>3.999999999999998E-2</v>
      </c>
      <c r="AH334" s="630">
        <f t="shared" si="114"/>
        <v>0.14999999999999994</v>
      </c>
      <c r="AI334" s="630">
        <f t="shared" si="114"/>
        <v>0.15</v>
      </c>
      <c r="AJ334" s="630">
        <f t="shared" si="114"/>
        <v>0.14999999999999997</v>
      </c>
      <c r="AK334" s="630">
        <f t="shared" si="114"/>
        <v>0.15</v>
      </c>
      <c r="AL334" s="630">
        <f t="shared" si="114"/>
        <v>0.14999999999999997</v>
      </c>
    </row>
    <row r="335" spans="1:38">
      <c r="B335" s="446"/>
      <c r="C335" s="507" t="s">
        <v>223</v>
      </c>
      <c r="D335" s="615"/>
      <c r="E335" s="608" t="e">
        <f>E232*#REF!-E303</f>
        <v>#REF!</v>
      </c>
      <c r="F335" s="608" t="e">
        <f>F232*#REF!-F303</f>
        <v>#REF!</v>
      </c>
      <c r="G335" s="608" t="e">
        <f>G232*#REF!-G303</f>
        <v>#REF!</v>
      </c>
      <c r="H335" s="630"/>
      <c r="I335" s="630"/>
      <c r="J335" s="630"/>
      <c r="K335" s="630"/>
      <c r="L335" s="630"/>
      <c r="M335" s="630"/>
      <c r="N335" s="630"/>
      <c r="O335" s="630"/>
      <c r="P335" s="630" t="e">
        <f t="shared" si="113"/>
        <v>#DIV/0!</v>
      </c>
      <c r="Q335" s="630" t="e">
        <f t="shared" si="113"/>
        <v>#DIV/0!</v>
      </c>
      <c r="R335" s="630" t="e">
        <f t="shared" si="113"/>
        <v>#DIV/0!</v>
      </c>
      <c r="S335" s="630">
        <f t="shared" si="113"/>
        <v>-2.2078024311281985</v>
      </c>
      <c r="T335" s="630">
        <v>0</v>
      </c>
      <c r="U335" s="630">
        <f t="shared" si="114"/>
        <v>-0.4</v>
      </c>
      <c r="V335" s="630">
        <f t="shared" si="114"/>
        <v>-0.4</v>
      </c>
      <c r="W335" s="630">
        <f t="shared" si="114"/>
        <v>0.12077893573476414</v>
      </c>
      <c r="X335" s="630">
        <f t="shared" si="114"/>
        <v>-0.24059139784946237</v>
      </c>
      <c r="Y335" s="630">
        <f t="shared" si="114"/>
        <v>2.5360050093926112E-2</v>
      </c>
      <c r="Z335" s="630">
        <f t="shared" si="114"/>
        <v>-8.9885916979339543E-3</v>
      </c>
      <c r="AA335" s="630">
        <f t="shared" si="114"/>
        <v>2.8669234060761661E-2</v>
      </c>
      <c r="AB335" s="630">
        <f t="shared" si="114"/>
        <v>5.6329457189499166E-2</v>
      </c>
      <c r="AC335" s="630">
        <f t="shared" si="114"/>
        <v>6.9999999999999993E-2</v>
      </c>
      <c r="AD335" s="630">
        <f t="shared" si="114"/>
        <v>6.9999999999999965E-2</v>
      </c>
      <c r="AE335" s="630">
        <f t="shared" si="114"/>
        <v>6.9999999999999937E-2</v>
      </c>
      <c r="AF335" s="630">
        <f t="shared" si="114"/>
        <v>6.9999999999999965E-2</v>
      </c>
      <c r="AG335" s="630">
        <f t="shared" si="114"/>
        <v>6.9999999999999951E-2</v>
      </c>
      <c r="AH335" s="630">
        <f t="shared" si="114"/>
        <v>6.9999999999999979E-2</v>
      </c>
      <c r="AI335" s="630">
        <f t="shared" si="114"/>
        <v>6.9999999999999993E-2</v>
      </c>
      <c r="AJ335" s="630">
        <f t="shared" si="114"/>
        <v>6.9999999999999951E-2</v>
      </c>
      <c r="AK335" s="630">
        <f t="shared" si="114"/>
        <v>6.9999999999999951E-2</v>
      </c>
      <c r="AL335" s="630">
        <f t="shared" si="114"/>
        <v>6.9999999999999965E-2</v>
      </c>
    </row>
    <row r="336" spans="1:38">
      <c r="B336" s="446"/>
      <c r="C336" s="507" t="s">
        <v>224</v>
      </c>
      <c r="D336" s="615"/>
      <c r="E336" s="608" t="e">
        <f>E233*#REF!-E304</f>
        <v>#REF!</v>
      </c>
      <c r="F336" s="608" t="e">
        <f>F233*#REF!-F304</f>
        <v>#REF!</v>
      </c>
      <c r="G336" s="608" t="e">
        <f>G233*#REF!-G304</f>
        <v>#REF!</v>
      </c>
      <c r="H336" s="630"/>
      <c r="I336" s="630"/>
      <c r="J336" s="630"/>
      <c r="K336" s="630"/>
      <c r="L336" s="630"/>
      <c r="M336" s="630">
        <f t="shared" ref="M336:O337" si="115">M234/M109</f>
        <v>0.18392266598829812</v>
      </c>
      <c r="N336" s="630" t="e">
        <f t="shared" si="115"/>
        <v>#DIV/0!</v>
      </c>
      <c r="O336" s="630">
        <f t="shared" si="115"/>
        <v>-5.3249219282377984</v>
      </c>
      <c r="P336" s="630" t="e">
        <f t="shared" si="113"/>
        <v>#DIV/0!</v>
      </c>
      <c r="Q336" s="630" t="e">
        <f t="shared" si="113"/>
        <v>#DIV/0!</v>
      </c>
      <c r="R336" s="630" t="e">
        <f t="shared" si="113"/>
        <v>#DIV/0!</v>
      </c>
      <c r="S336" s="631">
        <f t="shared" si="113"/>
        <v>-1.8065988130218851</v>
      </c>
      <c r="T336" s="631">
        <v>0</v>
      </c>
      <c r="U336" s="631">
        <f t="shared" si="114"/>
        <v>-0.15</v>
      </c>
      <c r="V336" s="631">
        <f t="shared" si="114"/>
        <v>-0.15</v>
      </c>
      <c r="W336" s="631">
        <f t="shared" si="114"/>
        <v>-0.79371200396942765</v>
      </c>
      <c r="X336" s="631">
        <f t="shared" si="114"/>
        <v>-0.64998445756916379</v>
      </c>
      <c r="Y336" s="631">
        <f t="shared" si="114"/>
        <v>5.3685697664755255E-2</v>
      </c>
      <c r="Z336" s="631">
        <f t="shared" si="114"/>
        <v>-0.94460079941501229</v>
      </c>
      <c r="AA336" s="631">
        <f t="shared" si="114"/>
        <v>-0.45295000000000002</v>
      </c>
      <c r="AB336" s="631">
        <f t="shared" si="114"/>
        <v>-0.23606736772583162</v>
      </c>
      <c r="AC336" s="631">
        <f t="shared" si="114"/>
        <v>-0.15000000000000002</v>
      </c>
      <c r="AD336" s="631">
        <f t="shared" si="114"/>
        <v>-0.15000000000000002</v>
      </c>
      <c r="AE336" s="631">
        <f t="shared" si="114"/>
        <v>-0.15000000000000002</v>
      </c>
      <c r="AF336" s="631">
        <f t="shared" si="114"/>
        <v>-0.15000000000000002</v>
      </c>
      <c r="AG336" s="631">
        <f t="shared" si="114"/>
        <v>-0.15</v>
      </c>
      <c r="AH336" s="631">
        <f t="shared" si="114"/>
        <v>-0.209741784037559</v>
      </c>
      <c r="AI336" s="631">
        <f t="shared" si="114"/>
        <v>-0.209741784037559</v>
      </c>
      <c r="AJ336" s="631">
        <f t="shared" si="114"/>
        <v>-0.209741784037559</v>
      </c>
      <c r="AK336" s="631">
        <f t="shared" si="114"/>
        <v>-0.209741784037559</v>
      </c>
      <c r="AL336" s="631">
        <f t="shared" si="114"/>
        <v>-0.209741784037559</v>
      </c>
    </row>
    <row r="337" spans="2:38">
      <c r="B337" s="446"/>
      <c r="C337" s="507" t="s">
        <v>241</v>
      </c>
      <c r="D337" s="615"/>
      <c r="E337" s="608" t="e">
        <f>E234*#REF!-E305</f>
        <v>#REF!</v>
      </c>
      <c r="F337" s="608" t="e">
        <f>F234*#REF!-F305</f>
        <v>#REF!</v>
      </c>
      <c r="G337" s="608" t="e">
        <f>G234*#REF!-G305</f>
        <v>#REF!</v>
      </c>
      <c r="H337" s="630"/>
      <c r="I337" s="630"/>
      <c r="J337" s="630">
        <f>J235/J110</f>
        <v>0.14742292027639928</v>
      </c>
      <c r="K337" s="630">
        <f>K235/K110</f>
        <v>1.5697154053142686E-2</v>
      </c>
      <c r="L337" s="630">
        <f>L235/L110</f>
        <v>5.5930653290197023E-2</v>
      </c>
      <c r="M337" s="630">
        <f t="shared" si="115"/>
        <v>6.9491525423728814E-2</v>
      </c>
      <c r="N337" s="630">
        <f t="shared" si="115"/>
        <v>7.4926824550486548E-2</v>
      </c>
      <c r="O337" s="630">
        <f t="shared" si="115"/>
        <v>8.8602582217141568E-2</v>
      </c>
      <c r="P337" s="630">
        <f t="shared" si="113"/>
        <v>-0.13431686588932543</v>
      </c>
      <c r="Q337" s="630">
        <f t="shared" si="113"/>
        <v>-0.10812377689701869</v>
      </c>
      <c r="R337" s="630">
        <f t="shared" si="113"/>
        <v>6.0015117157974335E-2</v>
      </c>
      <c r="S337" s="630">
        <f t="shared" si="113"/>
        <v>4.8356211239450685E-2</v>
      </c>
      <c r="T337" s="630">
        <v>0</v>
      </c>
      <c r="U337" s="630">
        <f t="shared" si="114"/>
        <v>0.06</v>
      </c>
      <c r="V337" s="630">
        <f t="shared" si="114"/>
        <v>0.06</v>
      </c>
      <c r="W337" s="630">
        <f t="shared" si="114"/>
        <v>0.11418326954115564</v>
      </c>
      <c r="X337" s="630">
        <f t="shared" si="114"/>
        <v>0.17055783282837284</v>
      </c>
      <c r="Y337" s="630">
        <f t="shared" si="114"/>
        <v>0.16439999999999999</v>
      </c>
      <c r="Z337" s="630">
        <f t="shared" si="114"/>
        <v>0.23609733896321469</v>
      </c>
      <c r="AA337" s="630">
        <f t="shared" si="114"/>
        <v>0.21064000000000002</v>
      </c>
      <c r="AB337" s="630">
        <f t="shared" si="114"/>
        <v>0.2356719106071179</v>
      </c>
      <c r="AC337" s="630">
        <f t="shared" si="114"/>
        <v>0.22000000000000003</v>
      </c>
      <c r="AD337" s="630">
        <f t="shared" si="114"/>
        <v>0.22</v>
      </c>
      <c r="AE337" s="630">
        <f t="shared" si="114"/>
        <v>0.22</v>
      </c>
      <c r="AF337" s="630">
        <f t="shared" si="114"/>
        <v>0.22</v>
      </c>
      <c r="AG337" s="630">
        <f t="shared" si="114"/>
        <v>0.21999999999999997</v>
      </c>
      <c r="AH337" s="630">
        <f t="shared" si="114"/>
        <v>0.19999999999999996</v>
      </c>
      <c r="AI337" s="630">
        <f t="shared" si="114"/>
        <v>0.19999999999999996</v>
      </c>
      <c r="AJ337" s="630">
        <f t="shared" si="114"/>
        <v>0.19999999999999998</v>
      </c>
      <c r="AK337" s="630">
        <f t="shared" si="114"/>
        <v>0.19999999999999998</v>
      </c>
      <c r="AL337" s="630">
        <f t="shared" si="114"/>
        <v>0.19999999999999998</v>
      </c>
    </row>
    <row r="338" spans="2:38">
      <c r="B338" s="446"/>
      <c r="C338" s="507" t="s">
        <v>225</v>
      </c>
      <c r="D338" s="615"/>
      <c r="E338" s="608"/>
      <c r="F338" s="608"/>
      <c r="G338" s="608"/>
      <c r="H338" s="630"/>
      <c r="I338" s="630"/>
      <c r="J338" s="630"/>
      <c r="K338" s="630"/>
      <c r="L338" s="630"/>
      <c r="M338" s="630"/>
      <c r="N338" s="630"/>
      <c r="O338" s="630"/>
      <c r="P338" s="630"/>
      <c r="Q338" s="630"/>
      <c r="R338" s="630"/>
      <c r="S338" s="630"/>
      <c r="T338" s="630">
        <v>0</v>
      </c>
      <c r="U338" s="630"/>
      <c r="V338" s="630"/>
      <c r="W338" s="630"/>
      <c r="X338" s="630">
        <f t="shared" si="114"/>
        <v>-0.31779247109694841</v>
      </c>
      <c r="Y338" s="630">
        <f t="shared" si="114"/>
        <v>0</v>
      </c>
      <c r="Z338" s="630">
        <f t="shared" si="114"/>
        <v>-1.4446796762659546</v>
      </c>
      <c r="AA338" s="630">
        <f t="shared" si="114"/>
        <v>1.1627397260274171E-3</v>
      </c>
      <c r="AB338" s="630">
        <f t="shared" si="114"/>
        <v>-0.18754517471533325</v>
      </c>
      <c r="AC338" s="630">
        <f t="shared" si="114"/>
        <v>-5.0000000000000079E-2</v>
      </c>
      <c r="AD338" s="630">
        <f t="shared" si="114"/>
        <v>-4.9999999999999926E-2</v>
      </c>
      <c r="AE338" s="630">
        <f t="shared" si="114"/>
        <v>-0.05</v>
      </c>
      <c r="AF338" s="630">
        <f t="shared" si="114"/>
        <v>-5.0000000000000051E-2</v>
      </c>
      <c r="AG338" s="630">
        <f t="shared" si="114"/>
        <v>-5.0000000000000107E-2</v>
      </c>
      <c r="AH338" s="630">
        <f t="shared" si="114"/>
        <v>-0.45000000000000007</v>
      </c>
      <c r="AI338" s="630">
        <f t="shared" si="114"/>
        <v>-0.45</v>
      </c>
      <c r="AJ338" s="630">
        <f t="shared" si="114"/>
        <v>-0.45</v>
      </c>
      <c r="AK338" s="630">
        <f t="shared" si="114"/>
        <v>-0.4499999999999999</v>
      </c>
      <c r="AL338" s="630">
        <f t="shared" si="114"/>
        <v>-0.44999999999999996</v>
      </c>
    </row>
    <row r="339" spans="2:38">
      <c r="B339" s="446"/>
      <c r="C339" s="507" t="s">
        <v>226</v>
      </c>
      <c r="D339" s="615"/>
      <c r="E339" s="608"/>
      <c r="F339" s="608"/>
      <c r="G339" s="608"/>
      <c r="H339" s="630"/>
      <c r="I339" s="630"/>
      <c r="J339" s="630"/>
      <c r="K339" s="630"/>
      <c r="L339" s="630"/>
      <c r="M339" s="630"/>
      <c r="N339" s="630"/>
      <c r="O339" s="630"/>
      <c r="P339" s="630"/>
      <c r="Q339" s="630"/>
      <c r="R339" s="630"/>
      <c r="S339" s="630"/>
      <c r="T339" s="630">
        <v>0</v>
      </c>
      <c r="U339" s="630"/>
      <c r="V339" s="630"/>
      <c r="W339" s="630"/>
      <c r="X339" s="630"/>
      <c r="Y339" s="630"/>
      <c r="Z339" s="630"/>
      <c r="AA339" s="630"/>
      <c r="AB339" s="630"/>
      <c r="AC339" s="630"/>
      <c r="AD339" s="630"/>
      <c r="AE339" s="630"/>
      <c r="AF339" s="630"/>
      <c r="AG339" s="630"/>
      <c r="AH339" s="630" t="e">
        <f t="shared" si="114"/>
        <v>#DIV/0!</v>
      </c>
      <c r="AI339" s="630" t="e">
        <f t="shared" si="114"/>
        <v>#DIV/0!</v>
      </c>
      <c r="AJ339" s="630" t="e">
        <f t="shared" si="114"/>
        <v>#DIV/0!</v>
      </c>
      <c r="AK339" s="630" t="e">
        <f t="shared" si="114"/>
        <v>#DIV/0!</v>
      </c>
      <c r="AL339" s="630" t="e">
        <f t="shared" si="114"/>
        <v>#DIV/0!</v>
      </c>
    </row>
    <row r="340" spans="2:38">
      <c r="C340" s="533" t="s">
        <v>242</v>
      </c>
      <c r="D340" s="615"/>
      <c r="E340" s="608"/>
      <c r="F340" s="608"/>
      <c r="G340" s="608"/>
      <c r="H340" s="630"/>
      <c r="I340" s="630"/>
      <c r="J340" s="630"/>
      <c r="K340" s="630"/>
      <c r="L340" s="630"/>
      <c r="M340" s="630"/>
      <c r="N340" s="630"/>
      <c r="O340" s="630"/>
      <c r="P340" s="630"/>
      <c r="Q340" s="630"/>
      <c r="R340" s="630"/>
      <c r="S340" s="630"/>
      <c r="T340" s="630">
        <v>0</v>
      </c>
      <c r="U340" s="630"/>
      <c r="V340" s="630"/>
      <c r="W340" s="630"/>
      <c r="X340" s="630"/>
      <c r="Y340" s="630"/>
      <c r="Z340" s="630"/>
      <c r="AA340" s="630"/>
      <c r="AB340" s="630"/>
      <c r="AC340" s="630"/>
      <c r="AD340" s="630"/>
      <c r="AE340" s="630"/>
      <c r="AF340" s="630"/>
      <c r="AG340" s="630"/>
      <c r="AH340" s="630"/>
      <c r="AI340" s="630"/>
      <c r="AJ340" s="630"/>
      <c r="AK340" s="630"/>
      <c r="AL340" s="630"/>
    </row>
    <row r="341" spans="2:38">
      <c r="C341" s="507" t="s">
        <v>243</v>
      </c>
      <c r="D341" s="615"/>
      <c r="E341" s="608" t="e">
        <f>E238*#REF!-E310</f>
        <v>#REF!</v>
      </c>
      <c r="F341" s="608" t="e">
        <f>F238*#REF!-F310</f>
        <v>#REF!</v>
      </c>
      <c r="G341" s="608" t="e">
        <f>G238*#REF!-G310</f>
        <v>#REF!</v>
      </c>
      <c r="H341" s="630"/>
      <c r="I341" s="630"/>
      <c r="J341" s="630"/>
      <c r="K341" s="630">
        <f t="shared" ref="K341:S341" si="116">K239/K114</f>
        <v>0.13392250169952408</v>
      </c>
      <c r="L341" s="630">
        <f t="shared" si="116"/>
        <v>0.15917303857969781</v>
      </c>
      <c r="M341" s="630">
        <f t="shared" si="116"/>
        <v>0.14725140855794119</v>
      </c>
      <c r="N341" s="630">
        <f t="shared" si="116"/>
        <v>0.10588169528294758</v>
      </c>
      <c r="O341" s="630">
        <f t="shared" si="116"/>
        <v>8.0922461504887772E-2</v>
      </c>
      <c r="P341" s="630">
        <f t="shared" si="116"/>
        <v>2.8463708918937789E-3</v>
      </c>
      <c r="Q341" s="630">
        <f t="shared" si="116"/>
        <v>-4.7709678280328266E-2</v>
      </c>
      <c r="R341" s="630">
        <f t="shared" si="116"/>
        <v>-1.1481481481480977E-2</v>
      </c>
      <c r="S341" s="630">
        <f t="shared" si="116"/>
        <v>-9.6133018657154096E-2</v>
      </c>
      <c r="T341" s="630">
        <v>0</v>
      </c>
      <c r="U341" s="630">
        <f t="shared" ref="U341:AH341" si="117">U239/U114</f>
        <v>0.106</v>
      </c>
      <c r="V341" s="630">
        <f t="shared" si="117"/>
        <v>0.106</v>
      </c>
      <c r="W341" s="630">
        <f t="shared" si="117"/>
        <v>2.2428317395651366E-2</v>
      </c>
      <c r="X341" s="630">
        <f t="shared" si="117"/>
        <v>-2.7903958468526932E-2</v>
      </c>
      <c r="Y341" s="630">
        <f t="shared" si="117"/>
        <v>7.2071428571428578E-2</v>
      </c>
      <c r="Z341" s="630">
        <f t="shared" si="117"/>
        <v>2.3457187523601049E-2</v>
      </c>
      <c r="AA341" s="630"/>
      <c r="AB341" s="630"/>
      <c r="AC341" s="630"/>
      <c r="AD341" s="630"/>
      <c r="AE341" s="630"/>
      <c r="AF341" s="630"/>
      <c r="AG341" s="630"/>
      <c r="AH341" s="630" t="e">
        <f t="shared" si="117"/>
        <v>#DIV/0!</v>
      </c>
      <c r="AI341" s="630" t="e">
        <f>AI239/AI114</f>
        <v>#DIV/0!</v>
      </c>
      <c r="AJ341" s="630" t="e">
        <f>AJ239/AJ114</f>
        <v>#DIV/0!</v>
      </c>
      <c r="AK341" s="630" t="e">
        <f>AK239/AK114</f>
        <v>#DIV/0!</v>
      </c>
      <c r="AL341" s="630" t="e">
        <f>AL239/AL114</f>
        <v>#DIV/0!</v>
      </c>
    </row>
    <row r="342" spans="2:38">
      <c r="C342" s="533" t="s">
        <v>245</v>
      </c>
      <c r="D342" s="615"/>
      <c r="E342" s="608" t="e">
        <f>E239*#REF!-E311</f>
        <v>#REF!</v>
      </c>
      <c r="F342" s="608" t="e">
        <f>F239*#REF!-F311</f>
        <v>#REF!</v>
      </c>
      <c r="G342" s="608" t="e">
        <f>G239*#REF!-G311</f>
        <v>#REF!</v>
      </c>
      <c r="H342" s="630"/>
      <c r="I342" s="630"/>
      <c r="J342" s="630"/>
      <c r="K342" s="630"/>
      <c r="L342" s="630"/>
      <c r="M342" s="630"/>
      <c r="N342" s="630"/>
      <c r="O342" s="630"/>
      <c r="P342" s="630"/>
      <c r="Q342" s="630"/>
      <c r="R342" s="630"/>
      <c r="S342" s="630"/>
      <c r="T342" s="630">
        <v>0</v>
      </c>
      <c r="U342" s="630"/>
      <c r="V342" s="630"/>
      <c r="W342" s="630"/>
      <c r="X342" s="630"/>
      <c r="Y342" s="630"/>
      <c r="Z342" s="630"/>
      <c r="AA342" s="630"/>
      <c r="AB342" s="630"/>
      <c r="AC342" s="630"/>
      <c r="AD342" s="630"/>
      <c r="AE342" s="630"/>
      <c r="AF342" s="630"/>
      <c r="AG342" s="630"/>
      <c r="AH342" s="630" t="e">
        <f t="shared" ref="X342:AL347" si="118">AH241/AH116</f>
        <v>#DIV/0!</v>
      </c>
      <c r="AI342" s="630" t="e">
        <f t="shared" si="118"/>
        <v>#DIV/0!</v>
      </c>
      <c r="AJ342" s="630" t="e">
        <f t="shared" si="118"/>
        <v>#DIV/0!</v>
      </c>
      <c r="AK342" s="630" t="e">
        <f t="shared" si="118"/>
        <v>#DIV/0!</v>
      </c>
      <c r="AL342" s="630" t="e">
        <f t="shared" si="118"/>
        <v>#DIV/0!</v>
      </c>
    </row>
    <row r="343" spans="2:38">
      <c r="C343" s="507" t="s">
        <v>246</v>
      </c>
      <c r="D343" s="615"/>
      <c r="E343" s="608" t="e">
        <f>E241*#REF!-E312</f>
        <v>#REF!</v>
      </c>
      <c r="F343" s="608" t="e">
        <f>F241*#REF!-F312</f>
        <v>#REF!</v>
      </c>
      <c r="G343" s="608" t="e">
        <f>G241*#REF!-G312</f>
        <v>#REF!</v>
      </c>
      <c r="H343" s="630">
        <f t="shared" ref="H343:S346" si="119">H242/H117</f>
        <v>0.1584594318509101</v>
      </c>
      <c r="I343" s="630">
        <f t="shared" si="119"/>
        <v>0.14912597878752129</v>
      </c>
      <c r="J343" s="630">
        <f t="shared" si="119"/>
        <v>0.11329857519854694</v>
      </c>
      <c r="K343" s="630">
        <f t="shared" si="119"/>
        <v>0.13001099807567873</v>
      </c>
      <c r="L343" s="630">
        <f t="shared" si="119"/>
        <v>0.11525346547076502</v>
      </c>
      <c r="M343" s="630">
        <f t="shared" si="119"/>
        <v>0.12380444152538894</v>
      </c>
      <c r="N343" s="630">
        <f t="shared" si="119"/>
        <v>0.13501506934956914</v>
      </c>
      <c r="O343" s="630">
        <f t="shared" si="119"/>
        <v>0.15977705432381423</v>
      </c>
      <c r="P343" s="630">
        <f t="shared" si="119"/>
        <v>0.10964628228483876</v>
      </c>
      <c r="Q343" s="630">
        <f t="shared" si="119"/>
        <v>0.100577282926157</v>
      </c>
      <c r="R343" s="630">
        <f t="shared" si="119"/>
        <v>9.8998254534416033E-2</v>
      </c>
      <c r="S343" s="630">
        <f t="shared" si="119"/>
        <v>0.10102583493280998</v>
      </c>
      <c r="T343" s="630">
        <v>0</v>
      </c>
      <c r="U343" s="630">
        <f t="shared" ref="U343:W346" si="120">U242/U117</f>
        <v>0.11</v>
      </c>
      <c r="V343" s="630">
        <f t="shared" si="120"/>
        <v>0.11</v>
      </c>
      <c r="W343" s="630">
        <f t="shared" si="120"/>
        <v>0.12233363719234275</v>
      </c>
      <c r="X343" s="630">
        <f t="shared" si="118"/>
        <v>0.14501535652029551</v>
      </c>
      <c r="Y343" s="630">
        <f t="shared" si="118"/>
        <v>0.14056173685720663</v>
      </c>
      <c r="Z343" s="630">
        <f t="shared" si="118"/>
        <v>0.16023250671591727</v>
      </c>
      <c r="AA343" s="630">
        <f t="shared" si="118"/>
        <v>0.1568925032930531</v>
      </c>
      <c r="AB343" s="630">
        <f t="shared" si="118"/>
        <v>0.17246331514221491</v>
      </c>
      <c r="AC343" s="630">
        <f t="shared" si="118"/>
        <v>0.14000000000000001</v>
      </c>
      <c r="AD343" s="630">
        <f t="shared" si="118"/>
        <v>0.13999999999999999</v>
      </c>
      <c r="AE343" s="630">
        <f t="shared" si="118"/>
        <v>0.14000000000000001</v>
      </c>
      <c r="AF343" s="630">
        <f t="shared" si="118"/>
        <v>0.13999999999999999</v>
      </c>
      <c r="AG343" s="630">
        <f t="shared" si="118"/>
        <v>0.13999999999999999</v>
      </c>
      <c r="AH343" s="630">
        <f t="shared" si="118"/>
        <v>0.14000000000000001</v>
      </c>
      <c r="AI343" s="630">
        <f t="shared" si="118"/>
        <v>0.14000000000000004</v>
      </c>
      <c r="AJ343" s="630">
        <f t="shared" si="118"/>
        <v>0.14000000000000004</v>
      </c>
      <c r="AK343" s="630">
        <f t="shared" si="118"/>
        <v>0.14000000000000001</v>
      </c>
      <c r="AL343" s="630">
        <f t="shared" si="118"/>
        <v>0.13999999999999999</v>
      </c>
    </row>
    <row r="344" spans="2:38">
      <c r="C344" s="507" t="s">
        <v>247</v>
      </c>
      <c r="D344" s="615"/>
      <c r="E344" s="608" t="e">
        <f>E242*#REF!-E313</f>
        <v>#REF!</v>
      </c>
      <c r="F344" s="608" t="e">
        <f>F242*#REF!-F313</f>
        <v>#REF!</v>
      </c>
      <c r="G344" s="608" t="e">
        <f>G242*#REF!-G313</f>
        <v>#REF!</v>
      </c>
      <c r="H344" s="630">
        <f t="shared" si="119"/>
        <v>2.1349870463626592E-2</v>
      </c>
      <c r="I344" s="630">
        <f t="shared" si="119"/>
        <v>0.10568654805990783</v>
      </c>
      <c r="J344" s="630">
        <f t="shared" si="119"/>
        <v>-0.12059628261777131</v>
      </c>
      <c r="K344" s="630">
        <f t="shared" si="119"/>
        <v>1.7311124668688879E-2</v>
      </c>
      <c r="L344" s="630">
        <f t="shared" si="119"/>
        <v>0.15702758224071259</v>
      </c>
      <c r="M344" s="630">
        <f t="shared" si="119"/>
        <v>7.6837353954743365E-2</v>
      </c>
      <c r="N344" s="630">
        <f t="shared" si="119"/>
        <v>0.14700203027092212</v>
      </c>
      <c r="O344" s="630">
        <f t="shared" si="119"/>
        <v>0.15648998805868294</v>
      </c>
      <c r="P344" s="630">
        <f t="shared" si="119"/>
        <v>0.16731465810797636</v>
      </c>
      <c r="Q344" s="630">
        <f t="shared" si="119"/>
        <v>0.13947761067028019</v>
      </c>
      <c r="R344" s="630">
        <f t="shared" si="119"/>
        <v>0.14268622919438803</v>
      </c>
      <c r="S344" s="630">
        <f t="shared" si="119"/>
        <v>0.15173950831103591</v>
      </c>
      <c r="T344" s="630">
        <v>0</v>
      </c>
      <c r="U344" s="630">
        <f t="shared" si="120"/>
        <v>0.15000000000000005</v>
      </c>
      <c r="V344" s="630">
        <f t="shared" si="120"/>
        <v>0.15000000000000005</v>
      </c>
      <c r="W344" s="630">
        <f t="shared" si="120"/>
        <v>0.16001731368879499</v>
      </c>
      <c r="X344" s="630">
        <f t="shared" si="118"/>
        <v>0.18238993710691823</v>
      </c>
      <c r="Y344" s="630">
        <f t="shared" si="118"/>
        <v>0.12403407965127798</v>
      </c>
      <c r="Z344" s="630">
        <f t="shared" si="118"/>
        <v>0.24114832568363154</v>
      </c>
      <c r="AA344" s="630">
        <f t="shared" si="118"/>
        <v>0.26230000000000003</v>
      </c>
      <c r="AB344" s="630">
        <f t="shared" si="118"/>
        <v>9.8795874044881243E-2</v>
      </c>
      <c r="AC344" s="630">
        <f t="shared" si="118"/>
        <v>0.19000000000000006</v>
      </c>
      <c r="AD344" s="630">
        <f t="shared" si="118"/>
        <v>0.19</v>
      </c>
      <c r="AE344" s="630">
        <f t="shared" si="118"/>
        <v>0.19</v>
      </c>
      <c r="AF344" s="630">
        <f t="shared" si="118"/>
        <v>0.19</v>
      </c>
      <c r="AG344" s="630">
        <f t="shared" si="118"/>
        <v>0.19000000000000006</v>
      </c>
      <c r="AH344" s="630">
        <f t="shared" si="118"/>
        <v>0.15</v>
      </c>
      <c r="AI344" s="630">
        <f t="shared" si="118"/>
        <v>0.15</v>
      </c>
      <c r="AJ344" s="630">
        <f t="shared" si="118"/>
        <v>0.15</v>
      </c>
      <c r="AK344" s="630">
        <f t="shared" si="118"/>
        <v>0.15</v>
      </c>
      <c r="AL344" s="630">
        <f t="shared" si="118"/>
        <v>0.15</v>
      </c>
    </row>
    <row r="345" spans="2:38">
      <c r="C345" s="507" t="s">
        <v>248</v>
      </c>
      <c r="D345" s="615"/>
      <c r="E345" s="608" t="e">
        <f>E243*#REF!-E314</f>
        <v>#REF!</v>
      </c>
      <c r="F345" s="608" t="e">
        <f>F243*#REF!-F314</f>
        <v>#REF!</v>
      </c>
      <c r="G345" s="608" t="e">
        <f>G243*#REF!-G314</f>
        <v>#REF!</v>
      </c>
      <c r="H345" s="630"/>
      <c r="I345" s="630"/>
      <c r="J345" s="630"/>
      <c r="K345" s="630"/>
      <c r="L345" s="630"/>
      <c r="M345" s="630" t="e">
        <f t="shared" si="119"/>
        <v>#DIV/0!</v>
      </c>
      <c r="N345" s="630" t="e">
        <f t="shared" si="119"/>
        <v>#DIV/0!</v>
      </c>
      <c r="O345" s="630">
        <f t="shared" si="119"/>
        <v>5.5207761658643095</v>
      </c>
      <c r="P345" s="630" t="e">
        <f t="shared" si="119"/>
        <v>#DIV/0!</v>
      </c>
      <c r="Q345" s="630" t="e">
        <f t="shared" si="119"/>
        <v>#DIV/0!</v>
      </c>
      <c r="R345" s="630" t="e">
        <f t="shared" si="119"/>
        <v>#DIV/0!</v>
      </c>
      <c r="S345" s="630"/>
      <c r="T345" s="630">
        <v>0</v>
      </c>
      <c r="U345" s="630">
        <f t="shared" si="120"/>
        <v>0.12</v>
      </c>
      <c r="V345" s="630">
        <f t="shared" si="120"/>
        <v>0.12</v>
      </c>
      <c r="W345" s="630" t="e">
        <f t="shared" si="120"/>
        <v>#DIV/0!</v>
      </c>
      <c r="X345" s="630">
        <f t="shared" si="118"/>
        <v>-3.627264873925562E-2</v>
      </c>
      <c r="Y345" s="630">
        <f t="shared" si="118"/>
        <v>0</v>
      </c>
      <c r="Z345" s="630">
        <f t="shared" si="118"/>
        <v>8.8296881901608198E-2</v>
      </c>
      <c r="AA345" s="630">
        <f t="shared" si="118"/>
        <v>0.11769729027468449</v>
      </c>
      <c r="AB345" s="630">
        <f t="shared" si="118"/>
        <v>0.19609471135084272</v>
      </c>
      <c r="AC345" s="630">
        <f t="shared" si="118"/>
        <v>0.08</v>
      </c>
      <c r="AD345" s="630">
        <f t="shared" si="118"/>
        <v>0.08</v>
      </c>
      <c r="AE345" s="630">
        <f t="shared" si="118"/>
        <v>0.08</v>
      </c>
      <c r="AF345" s="630">
        <f t="shared" si="118"/>
        <v>7.9999999999999988E-2</v>
      </c>
      <c r="AG345" s="630">
        <f t="shared" si="118"/>
        <v>0.08</v>
      </c>
      <c r="AH345" s="630">
        <f t="shared" si="118"/>
        <v>0.15000000000000002</v>
      </c>
      <c r="AI345" s="630">
        <f t="shared" si="118"/>
        <v>0.15000000000000002</v>
      </c>
      <c r="AJ345" s="630">
        <f t="shared" si="118"/>
        <v>0.15</v>
      </c>
      <c r="AK345" s="630">
        <f t="shared" si="118"/>
        <v>0.15</v>
      </c>
      <c r="AL345" s="630">
        <f t="shared" si="118"/>
        <v>0.15</v>
      </c>
    </row>
    <row r="346" spans="2:38">
      <c r="C346" s="507" t="s">
        <v>230</v>
      </c>
      <c r="D346" s="615"/>
      <c r="E346" s="608" t="e">
        <f>E244*#REF!-E315</f>
        <v>#REF!</v>
      </c>
      <c r="F346" s="608" t="e">
        <f>F244*#REF!-F315</f>
        <v>#REF!</v>
      </c>
      <c r="G346" s="608" t="e">
        <f>G244*#REF!-G315</f>
        <v>#REF!</v>
      </c>
      <c r="H346" s="630">
        <f>H245/H120</f>
        <v>-1.2315460544073508E-3</v>
      </c>
      <c r="I346" s="630">
        <f>I245/I120</f>
        <v>-0.27476603776389663</v>
      </c>
      <c r="J346" s="630">
        <f>J245/J120</f>
        <v>-0.79930849145776639</v>
      </c>
      <c r="K346" s="630">
        <f>K245/K120</f>
        <v>-0.37305934420099551</v>
      </c>
      <c r="L346" s="630">
        <f>L245/L120</f>
        <v>-0.33204096848200815</v>
      </c>
      <c r="M346" s="630">
        <f t="shared" si="119"/>
        <v>-0.39705726234722005</v>
      </c>
      <c r="N346" s="630">
        <f t="shared" si="119"/>
        <v>-8.0431727651389909E-2</v>
      </c>
      <c r="O346" s="630">
        <f t="shared" si="119"/>
        <v>-0.14210148026596273</v>
      </c>
      <c r="P346" s="630">
        <f t="shared" si="119"/>
        <v>-1.7643922103644551E-2</v>
      </c>
      <c r="Q346" s="630">
        <f t="shared" si="119"/>
        <v>-3.3265561468317037E-2</v>
      </c>
      <c r="R346" s="630">
        <f t="shared" si="119"/>
        <v>-6.5062521987292289E-3</v>
      </c>
      <c r="S346" s="630">
        <f>S245/S120</f>
        <v>-0.13085194247425572</v>
      </c>
      <c r="T346" s="630">
        <v>0</v>
      </c>
      <c r="U346" s="630">
        <f>U245/U120</f>
        <v>2E-3</v>
      </c>
      <c r="V346" s="630">
        <f t="shared" si="120"/>
        <v>2E-3</v>
      </c>
      <c r="W346" s="630">
        <f t="shared" si="120"/>
        <v>1.2119415509192277E-2</v>
      </c>
      <c r="X346" s="630">
        <f>X245/X120</f>
        <v>6.2611351488928477E-2</v>
      </c>
      <c r="Y346" s="630">
        <f>Y245/Y120</f>
        <v>7.9540176497909898E-2</v>
      </c>
      <c r="Z346" s="630">
        <f>Z245/Z120</f>
        <v>-3.6780041207595683E-2</v>
      </c>
      <c r="AA346" s="630">
        <f>AA245/AA120</f>
        <v>5.6700181308719302E-2</v>
      </c>
      <c r="AB346" s="630">
        <f>AB245/AB120</f>
        <v>-8.193338201094684E-2</v>
      </c>
      <c r="AC346" s="630">
        <f t="shared" si="118"/>
        <v>-1.999999999999999E-2</v>
      </c>
      <c r="AD346" s="630">
        <f t="shared" si="118"/>
        <v>-1.9999999999999993E-2</v>
      </c>
      <c r="AE346" s="630">
        <f t="shared" si="118"/>
        <v>-2.0000000000000004E-2</v>
      </c>
      <c r="AF346" s="630">
        <f t="shared" si="118"/>
        <v>-1.9999999999999987E-2</v>
      </c>
      <c r="AG346" s="630">
        <f t="shared" si="118"/>
        <v>-1.9999999999999983E-2</v>
      </c>
      <c r="AH346" s="630">
        <f t="shared" si="118"/>
        <v>-1.999999999999999E-2</v>
      </c>
      <c r="AI346" s="630">
        <f t="shared" si="118"/>
        <v>-1.9999999999999997E-2</v>
      </c>
      <c r="AJ346" s="630">
        <f t="shared" si="118"/>
        <v>-2.0000000000000004E-2</v>
      </c>
      <c r="AK346" s="630">
        <f t="shared" si="118"/>
        <v>-1.9999999999999993E-2</v>
      </c>
      <c r="AL346" s="630">
        <f t="shared" si="118"/>
        <v>-2.0000000000000004E-2</v>
      </c>
    </row>
    <row r="347" spans="2:38" hidden="1">
      <c r="C347" s="533" t="s">
        <v>249</v>
      </c>
      <c r="D347" s="616"/>
      <c r="E347" s="632"/>
      <c r="F347" s="632"/>
      <c r="G347" s="632"/>
      <c r="H347" s="630"/>
      <c r="I347" s="630"/>
      <c r="J347" s="630"/>
      <c r="K347" s="630"/>
      <c r="L347" s="630"/>
      <c r="M347" s="630"/>
      <c r="N347" s="630"/>
      <c r="O347" s="630"/>
      <c r="P347" s="630"/>
      <c r="Q347" s="630"/>
      <c r="R347" s="630"/>
      <c r="S347" s="630"/>
      <c r="T347" s="630">
        <v>0</v>
      </c>
      <c r="U347" s="630"/>
      <c r="V347" s="630"/>
      <c r="W347" s="630"/>
      <c r="X347" s="630"/>
      <c r="Y347" s="630"/>
      <c r="Z347" s="630"/>
      <c r="AA347" s="630">
        <f>AA246/AA121</f>
        <v>0.13935483870967741</v>
      </c>
      <c r="AB347" s="630">
        <f>AB246/AB121</f>
        <v>7.3615872577252731E-2</v>
      </c>
      <c r="AC347" s="630">
        <f t="shared" si="118"/>
        <v>0</v>
      </c>
      <c r="AD347" s="630">
        <f t="shared" si="118"/>
        <v>0</v>
      </c>
      <c r="AE347" s="630">
        <f t="shared" si="118"/>
        <v>0</v>
      </c>
      <c r="AF347" s="630">
        <f t="shared" si="118"/>
        <v>0</v>
      </c>
      <c r="AG347" s="630">
        <f t="shared" si="118"/>
        <v>0</v>
      </c>
      <c r="AH347" s="630"/>
      <c r="AI347" s="630"/>
      <c r="AJ347" s="630"/>
      <c r="AK347" s="630"/>
      <c r="AL347" s="630"/>
    </row>
    <row r="348" spans="2:38" hidden="1">
      <c r="C348" s="533" t="s">
        <v>250</v>
      </c>
      <c r="D348" s="616"/>
      <c r="E348" s="609"/>
      <c r="F348" s="609"/>
      <c r="G348" s="609"/>
      <c r="H348" s="630"/>
      <c r="I348" s="630"/>
      <c r="J348" s="630"/>
      <c r="K348" s="630"/>
      <c r="L348" s="630"/>
      <c r="M348" s="630"/>
      <c r="N348" s="630"/>
      <c r="O348" s="630"/>
      <c r="P348" s="630" t="e">
        <f t="shared" ref="P348:S349" si="121">P247/P122</f>
        <v>#DIV/0!</v>
      </c>
      <c r="Q348" s="630">
        <f t="shared" si="121"/>
        <v>-0.34075508228460794</v>
      </c>
      <c r="R348" s="630">
        <f t="shared" si="121"/>
        <v>-0.21900000000000008</v>
      </c>
      <c r="S348" s="630">
        <f t="shared" si="121"/>
        <v>-0.107305743957761</v>
      </c>
      <c r="T348" s="630">
        <v>0</v>
      </c>
      <c r="U348" s="630">
        <f>U247/U122</f>
        <v>-0.33900000000000013</v>
      </c>
      <c r="V348" s="630">
        <f t="shared" ref="V348:AL349" si="122">V247/V122</f>
        <v>-0.33900000000000013</v>
      </c>
      <c r="W348" s="630">
        <f t="shared" si="122"/>
        <v>-2.9999999999998773E-3</v>
      </c>
      <c r="X348" s="630">
        <f t="shared" si="122"/>
        <v>-0.10328189602658507</v>
      </c>
      <c r="Y348" s="630">
        <f t="shared" si="122"/>
        <v>-0.18583083809650144</v>
      </c>
      <c r="Z348" s="630">
        <f t="shared" si="122"/>
        <v>8.349999999999981E-2</v>
      </c>
      <c r="AA348" s="630">
        <f t="shared" si="122"/>
        <v>1.9672908272102396E-2</v>
      </c>
      <c r="AB348" s="630">
        <f t="shared" si="122"/>
        <v>7.4808531450971077E-2</v>
      </c>
      <c r="AC348" s="630">
        <f t="shared" si="122"/>
        <v>-0.4300000000000001</v>
      </c>
      <c r="AD348" s="630">
        <f t="shared" si="122"/>
        <v>-0.4300000000000001</v>
      </c>
      <c r="AE348" s="630">
        <f t="shared" si="122"/>
        <v>-0.43000000000000016</v>
      </c>
      <c r="AF348" s="630">
        <f t="shared" si="122"/>
        <v>-0.43000000000000016</v>
      </c>
      <c r="AG348" s="630">
        <f t="shared" si="122"/>
        <v>-0.4300000000000001</v>
      </c>
      <c r="AH348" s="630">
        <f t="shared" si="122"/>
        <v>-0.43</v>
      </c>
      <c r="AI348" s="630">
        <f t="shared" si="122"/>
        <v>-0.43</v>
      </c>
      <c r="AJ348" s="630">
        <f t="shared" si="122"/>
        <v>-0.43000000000000005</v>
      </c>
      <c r="AK348" s="630">
        <f t="shared" si="122"/>
        <v>-0.43000000000000005</v>
      </c>
      <c r="AL348" s="630">
        <f t="shared" si="122"/>
        <v>-0.4300000000000001</v>
      </c>
    </row>
    <row r="349" spans="2:38" hidden="1">
      <c r="C349" s="533" t="s">
        <v>251</v>
      </c>
      <c r="D349" s="616"/>
      <c r="E349" s="609"/>
      <c r="F349" s="609"/>
      <c r="G349" s="609"/>
      <c r="H349" s="630"/>
      <c r="I349" s="630"/>
      <c r="J349" s="630"/>
      <c r="K349" s="630"/>
      <c r="L349" s="630"/>
      <c r="M349" s="630"/>
      <c r="N349" s="630"/>
      <c r="O349" s="630"/>
      <c r="P349" s="630" t="e">
        <f t="shared" si="121"/>
        <v>#DIV/0!</v>
      </c>
      <c r="Q349" s="630">
        <f t="shared" si="121"/>
        <v>1.6761140138348694E-2</v>
      </c>
      <c r="R349" s="630">
        <f t="shared" si="121"/>
        <v>1.6626498269861095E-2</v>
      </c>
      <c r="S349" s="630">
        <f t="shared" si="121"/>
        <v>-9.3798031829183479E-3</v>
      </c>
      <c r="T349" s="630">
        <v>0</v>
      </c>
      <c r="U349" s="630">
        <f>U248/U123</f>
        <v>1.7731397132758717E-2</v>
      </c>
      <c r="V349" s="630">
        <f t="shared" si="122"/>
        <v>1.7731397132758717E-2</v>
      </c>
      <c r="W349" s="630">
        <f t="shared" si="122"/>
        <v>4.0299999999999996E-2</v>
      </c>
      <c r="X349" s="630">
        <f t="shared" si="122"/>
        <v>1.2666650980572125E-2</v>
      </c>
      <c r="Y349" s="630">
        <f t="shared" si="122"/>
        <v>1.2305157801787009E-2</v>
      </c>
      <c r="Z349" s="630">
        <f t="shared" si="122"/>
        <v>3.9707556205260994E-2</v>
      </c>
      <c r="AA349" s="630">
        <f t="shared" si="122"/>
        <v>3.1E-2</v>
      </c>
      <c r="AB349" s="630">
        <f t="shared" si="122"/>
        <v>1.1234951371109912E-4</v>
      </c>
      <c r="AC349" s="630">
        <f t="shared" si="122"/>
        <v>1.1234951371110075E-4</v>
      </c>
      <c r="AD349" s="630">
        <f t="shared" si="122"/>
        <v>1.1234951371109565E-4</v>
      </c>
      <c r="AE349" s="630">
        <f t="shared" si="122"/>
        <v>1.1234951371109922E-4</v>
      </c>
      <c r="AF349" s="630">
        <f t="shared" si="122"/>
        <v>1.1234951371110265E-4</v>
      </c>
      <c r="AG349" s="630">
        <f t="shared" si="122"/>
        <v>1.1234951371109518E-4</v>
      </c>
      <c r="AH349" s="630">
        <f t="shared" si="122"/>
        <v>1.1234951371110011E-4</v>
      </c>
      <c r="AI349" s="630">
        <f t="shared" si="122"/>
        <v>1.1234951371109979E-4</v>
      </c>
      <c r="AJ349" s="630">
        <f t="shared" si="122"/>
        <v>1.1234951371109968E-4</v>
      </c>
      <c r="AK349" s="630">
        <f t="shared" si="122"/>
        <v>1.1234951371109804E-4</v>
      </c>
      <c r="AL349" s="630">
        <f t="shared" si="122"/>
        <v>1.1234951371110214E-4</v>
      </c>
    </row>
    <row r="350" spans="2:38" hidden="1">
      <c r="C350" s="533" t="s">
        <v>252</v>
      </c>
      <c r="D350" s="616"/>
      <c r="E350" s="609"/>
      <c r="F350" s="609"/>
      <c r="G350" s="609"/>
      <c r="H350" s="630"/>
      <c r="I350" s="630"/>
      <c r="J350" s="630"/>
      <c r="K350" s="630"/>
      <c r="L350" s="630"/>
      <c r="M350" s="630"/>
      <c r="N350" s="630"/>
      <c r="O350" s="630"/>
      <c r="P350" s="630" t="e">
        <f t="shared" ref="P350:S351" si="123">P251/P126</f>
        <v>#DIV/0!</v>
      </c>
      <c r="Q350" s="630">
        <f t="shared" si="123"/>
        <v>-0.39937106918239001</v>
      </c>
      <c r="R350" s="630">
        <f t="shared" si="123"/>
        <v>-0.3909999999999999</v>
      </c>
      <c r="S350" s="630">
        <f t="shared" si="123"/>
        <v>-0.5230030769211228</v>
      </c>
      <c r="T350" s="630">
        <v>0</v>
      </c>
      <c r="U350" s="630">
        <f>U251/U126</f>
        <v>-0.39100000000000001</v>
      </c>
      <c r="V350" s="630">
        <f t="shared" ref="V350:AL351" si="124">V251/V126</f>
        <v>-0.39100000000000001</v>
      </c>
      <c r="W350" s="630">
        <f t="shared" si="124"/>
        <v>-1.1964999999999999</v>
      </c>
      <c r="X350" s="630">
        <f t="shared" si="124"/>
        <v>-0.12740612791176528</v>
      </c>
      <c r="Y350" s="630" t="e">
        <f t="shared" si="124"/>
        <v>#DIV/0!</v>
      </c>
      <c r="Z350" s="630">
        <f t="shared" si="124"/>
        <v>-1.4160509554140126</v>
      </c>
      <c r="AA350" s="630" t="e">
        <f t="shared" si="124"/>
        <v>#DIV/0!</v>
      </c>
      <c r="AB350" s="630">
        <f t="shared" si="124"/>
        <v>0</v>
      </c>
      <c r="AC350" s="630">
        <f t="shared" si="124"/>
        <v>0</v>
      </c>
      <c r="AD350" s="630">
        <f t="shared" si="124"/>
        <v>0</v>
      </c>
      <c r="AE350" s="630">
        <f t="shared" si="124"/>
        <v>0</v>
      </c>
      <c r="AF350" s="630">
        <f t="shared" si="124"/>
        <v>0</v>
      </c>
      <c r="AG350" s="630">
        <f t="shared" si="124"/>
        <v>0</v>
      </c>
      <c r="AH350" s="630">
        <f t="shared" si="124"/>
        <v>0</v>
      </c>
      <c r="AI350" s="630">
        <f t="shared" si="124"/>
        <v>0</v>
      </c>
      <c r="AJ350" s="630">
        <f t="shared" si="124"/>
        <v>0</v>
      </c>
      <c r="AK350" s="630">
        <f t="shared" si="124"/>
        <v>0</v>
      </c>
      <c r="AL350" s="630">
        <f t="shared" si="124"/>
        <v>0</v>
      </c>
    </row>
    <row r="351" spans="2:38" hidden="1">
      <c r="C351" s="533" t="s">
        <v>253</v>
      </c>
      <c r="D351" s="616"/>
      <c r="E351" s="609"/>
      <c r="F351" s="609"/>
      <c r="G351" s="609"/>
      <c r="H351" s="630"/>
      <c r="I351" s="630"/>
      <c r="J351" s="630"/>
      <c r="K351" s="630"/>
      <c r="L351" s="630"/>
      <c r="M351" s="630"/>
      <c r="N351" s="630"/>
      <c r="O351" s="630"/>
      <c r="P351" s="630" t="e">
        <f t="shared" si="123"/>
        <v>#DIV/0!</v>
      </c>
      <c r="Q351" s="630">
        <f t="shared" si="123"/>
        <v>-0.57588211437069048</v>
      </c>
      <c r="R351" s="630">
        <f t="shared" si="123"/>
        <v>-0.57588211437069048</v>
      </c>
      <c r="S351" s="630">
        <f t="shared" si="123"/>
        <v>-0.50917045366831992</v>
      </c>
      <c r="T351" s="630">
        <v>0</v>
      </c>
      <c r="U351" s="630">
        <f>U252/U127</f>
        <v>-0.57588211437069037</v>
      </c>
      <c r="V351" s="630">
        <f t="shared" si="124"/>
        <v>-0.57588211437069037</v>
      </c>
      <c r="W351" s="630">
        <f t="shared" si="124"/>
        <v>-1.6511439125476604</v>
      </c>
      <c r="X351" s="630">
        <f t="shared" si="124"/>
        <v>0.18909306461173681</v>
      </c>
      <c r="Y351" s="630">
        <f t="shared" si="124"/>
        <v>-0.59067704184729297</v>
      </c>
      <c r="Z351" s="630">
        <f t="shared" si="124"/>
        <v>-0.21925000000000006</v>
      </c>
      <c r="AA351" s="630">
        <f t="shared" si="124"/>
        <v>-1.2452229299363058</v>
      </c>
      <c r="AB351" s="630">
        <f t="shared" si="124"/>
        <v>0.38121032065112093</v>
      </c>
      <c r="AC351" s="630">
        <f t="shared" si="124"/>
        <v>0.4</v>
      </c>
      <c r="AD351" s="630">
        <f t="shared" si="124"/>
        <v>0.40000000000000008</v>
      </c>
      <c r="AE351" s="630">
        <f t="shared" si="124"/>
        <v>0.4</v>
      </c>
      <c r="AF351" s="630">
        <f t="shared" si="124"/>
        <v>0.39999999999999997</v>
      </c>
      <c r="AG351" s="630">
        <f t="shared" si="124"/>
        <v>0.4</v>
      </c>
      <c r="AH351" s="630">
        <f t="shared" si="124"/>
        <v>0.39999999999999997</v>
      </c>
      <c r="AI351" s="630">
        <f t="shared" si="124"/>
        <v>0.40000000000000008</v>
      </c>
      <c r="AJ351" s="630">
        <f t="shared" si="124"/>
        <v>0.4</v>
      </c>
      <c r="AK351" s="630">
        <f t="shared" si="124"/>
        <v>0.39999999999999997</v>
      </c>
      <c r="AL351" s="630">
        <f t="shared" si="124"/>
        <v>0.4</v>
      </c>
    </row>
    <row r="352" spans="2:38">
      <c r="C352" s="457"/>
      <c r="D352" s="446"/>
      <c r="E352" s="446"/>
      <c r="F352" s="446"/>
      <c r="G352" s="446"/>
      <c r="H352" s="446"/>
      <c r="I352" s="446"/>
      <c r="J352" s="446"/>
      <c r="K352" s="448"/>
      <c r="L352" s="448"/>
      <c r="M352" s="448"/>
      <c r="N352" s="448"/>
      <c r="O352" s="448"/>
      <c r="P352" s="448"/>
      <c r="Q352" s="448"/>
      <c r="R352" s="446"/>
      <c r="S352" s="448"/>
      <c r="T352" s="446"/>
      <c r="U352" s="446"/>
      <c r="V352" s="446"/>
      <c r="W352" s="446"/>
      <c r="X352" s="446"/>
      <c r="Y352" s="446"/>
      <c r="Z352" s="446"/>
      <c r="AA352" s="446"/>
      <c r="AB352" s="446"/>
      <c r="AC352" s="446"/>
      <c r="AD352" s="446"/>
      <c r="AE352" s="446"/>
      <c r="AF352" s="446"/>
      <c r="AG352" s="446"/>
      <c r="AH352" s="446"/>
      <c r="AI352" s="446"/>
      <c r="AJ352" s="446"/>
      <c r="AK352" s="446"/>
      <c r="AL352" s="446"/>
    </row>
  </sheetData>
  <mergeCells count="1">
    <mergeCell ref="AC3:AL3"/>
  </mergeCells>
  <pageMargins left="0.91" right="0.2" top="0.88" bottom="0.261811024" header="0" footer="0"/>
  <pageSetup scale="8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2137"/>
  <sheetViews>
    <sheetView showGridLines="0" zoomScale="115" zoomScaleNormal="115" zoomScalePageLayoutView="150" workbookViewId="0">
      <pane xSplit="18" ySplit="5" topLeftCell="S6" activePane="bottomRight" state="frozen"/>
      <selection activeCell="S18" sqref="S18"/>
      <selection pane="topRight" activeCell="S18" sqref="S18"/>
      <selection pane="bottomLeft" activeCell="S18" sqref="S18"/>
      <selection pane="bottomRight" activeCell="C3" sqref="C3"/>
    </sheetView>
  </sheetViews>
  <sheetFormatPr baseColWidth="10" defaultColWidth="13.3984375" defaultRowHeight="13"/>
  <cols>
    <col min="1" max="1" width="0.796875" style="441" customWidth="1"/>
    <col min="2" max="2" width="4.59765625" style="441" bestFit="1" customWidth="1"/>
    <col min="3" max="3" width="28.19921875" style="441" customWidth="1"/>
    <col min="4" max="4" width="9" style="441" customWidth="1"/>
    <col min="5" max="5" width="10.19921875" style="441" hidden="1" customWidth="1"/>
    <col min="6" max="10" width="9.3984375" style="441" hidden="1" customWidth="1"/>
    <col min="11" max="12" width="9.3984375" style="477" hidden="1" customWidth="1"/>
    <col min="13" max="13" width="10.19921875" style="441" hidden="1" customWidth="1"/>
    <col min="14" max="14" width="10.3984375" style="441" hidden="1" customWidth="1"/>
    <col min="15" max="17" width="9.3984375" style="477" hidden="1" customWidth="1"/>
    <col min="18" max="18" width="9.796875" style="477" hidden="1" customWidth="1"/>
    <col min="19" max="19" width="8.796875" style="477" bestFit="1" customWidth="1"/>
    <col min="20" max="20" width="10.19921875" style="477" hidden="1" customWidth="1"/>
    <col min="21" max="21" width="11.59765625" style="477" hidden="1" customWidth="1"/>
    <col min="22" max="22" width="9.796875" style="477" hidden="1" customWidth="1"/>
    <col min="23" max="23" width="8.796875" style="477" bestFit="1" customWidth="1"/>
    <col min="24" max="24" width="8.796875" style="441" bestFit="1" customWidth="1"/>
    <col min="25" max="25" width="11.3984375" style="441" hidden="1" customWidth="1"/>
    <col min="26" max="26" width="9" style="441" bestFit="1" customWidth="1"/>
    <col min="27" max="27" width="9" style="441" hidden="1" customWidth="1"/>
    <col min="28" max="28" width="10.19921875" style="441" customWidth="1"/>
    <col min="29" max="30" width="9.3984375" style="441" bestFit="1" customWidth="1"/>
    <col min="31" max="32" width="8.796875" style="441" bestFit="1" customWidth="1"/>
    <col min="33" max="37" width="9.3984375" style="441" bestFit="1" customWidth="1"/>
    <col min="38" max="38" width="10.19921875" style="441" bestFit="1" customWidth="1"/>
    <col min="39" max="39" width="9" style="441" bestFit="1" customWidth="1"/>
    <col min="40" max="41" width="9.796875" style="441" customWidth="1"/>
    <col min="42" max="44" width="8.59765625" style="441" bestFit="1" customWidth="1"/>
    <col min="45" max="16384" width="13.3984375" style="441"/>
  </cols>
  <sheetData>
    <row r="1" spans="1:44">
      <c r="A1" s="633"/>
    </row>
    <row r="2" spans="1:44" ht="18">
      <c r="C2" s="438" t="s">
        <v>405</v>
      </c>
      <c r="D2" s="634"/>
      <c r="E2" s="635"/>
      <c r="F2" s="635"/>
      <c r="G2" s="636"/>
      <c r="H2" s="636"/>
      <c r="I2" s="636"/>
      <c r="J2" s="636"/>
      <c r="K2" s="636"/>
      <c r="L2" s="636"/>
      <c r="M2" s="636"/>
      <c r="N2" s="636"/>
      <c r="O2" s="636"/>
      <c r="P2" s="636"/>
      <c r="Q2" s="636"/>
      <c r="R2" s="636"/>
      <c r="S2" s="636"/>
      <c r="T2" s="636"/>
      <c r="U2" s="636"/>
      <c r="V2" s="636"/>
      <c r="W2" s="636"/>
      <c r="X2" s="636"/>
      <c r="Y2" s="636"/>
      <c r="Z2" s="636"/>
      <c r="AA2" s="636"/>
      <c r="AB2" s="636"/>
      <c r="AC2" s="636"/>
      <c r="AD2" s="636"/>
      <c r="AE2" s="636"/>
      <c r="AF2" s="636"/>
      <c r="AG2" s="636"/>
      <c r="AH2" s="636"/>
      <c r="AI2" s="636"/>
      <c r="AJ2" s="636"/>
      <c r="AK2" s="636"/>
      <c r="AL2" s="636"/>
    </row>
    <row r="3" spans="1:44" ht="18">
      <c r="C3" s="438" t="s">
        <v>275</v>
      </c>
      <c r="D3" s="634"/>
      <c r="E3" s="635"/>
      <c r="F3" s="635"/>
      <c r="G3" s="636"/>
      <c r="H3" s="636"/>
      <c r="I3" s="636"/>
      <c r="J3" s="636"/>
      <c r="K3" s="636"/>
      <c r="L3" s="636"/>
      <c r="M3" s="636"/>
      <c r="N3" s="636"/>
      <c r="O3" s="636"/>
      <c r="P3" s="636"/>
      <c r="Q3" s="636"/>
      <c r="R3" s="636"/>
      <c r="S3" s="636"/>
      <c r="T3" s="636"/>
      <c r="U3" s="636"/>
      <c r="V3" s="636"/>
      <c r="W3" s="636"/>
      <c r="X3" s="444"/>
      <c r="Y3" s="444"/>
      <c r="Z3" s="445"/>
      <c r="AA3" s="445"/>
      <c r="AC3" s="809" t="s">
        <v>276</v>
      </c>
      <c r="AD3" s="809"/>
      <c r="AE3" s="809"/>
      <c r="AF3" s="809"/>
      <c r="AG3" s="809"/>
      <c r="AH3" s="809"/>
      <c r="AI3" s="809"/>
      <c r="AJ3" s="809"/>
      <c r="AK3" s="809"/>
      <c r="AL3" s="809"/>
    </row>
    <row r="4" spans="1:44" ht="5.25" customHeight="1">
      <c r="C4" s="637"/>
      <c r="D4" s="637"/>
      <c r="E4" s="637"/>
      <c r="F4" s="637"/>
      <c r="G4" s="637"/>
      <c r="H4" s="637"/>
      <c r="I4" s="637"/>
      <c r="J4" s="637"/>
      <c r="K4" s="637"/>
      <c r="L4" s="637"/>
      <c r="M4" s="637"/>
      <c r="N4" s="637"/>
      <c r="O4" s="637"/>
      <c r="P4" s="637"/>
      <c r="Q4" s="637"/>
      <c r="R4" s="637"/>
      <c r="S4" s="637"/>
      <c r="T4" s="637"/>
      <c r="U4" s="637"/>
      <c r="V4" s="637"/>
      <c r="W4" s="637"/>
      <c r="X4" s="637"/>
      <c r="Y4" s="637"/>
      <c r="Z4" s="637"/>
      <c r="AA4" s="637"/>
      <c r="AB4" s="637"/>
      <c r="AC4" s="637"/>
      <c r="AD4" s="637"/>
      <c r="AE4" s="637"/>
      <c r="AF4" s="637"/>
      <c r="AG4" s="637"/>
      <c r="AH4" s="637"/>
      <c r="AI4" s="637"/>
      <c r="AJ4" s="637"/>
      <c r="AK4" s="637"/>
      <c r="AL4" s="637"/>
    </row>
    <row r="5" spans="1:44" s="446" customFormat="1" ht="27.75" customHeight="1">
      <c r="C5" s="465"/>
      <c r="D5" s="638"/>
      <c r="E5" s="451" t="s">
        <v>170</v>
      </c>
      <c r="F5" s="451" t="s">
        <v>171</v>
      </c>
      <c r="G5" s="451" t="s">
        <v>172</v>
      </c>
      <c r="H5" s="453" t="s">
        <v>277</v>
      </c>
      <c r="I5" s="453" t="s">
        <v>278</v>
      </c>
      <c r="J5" s="453" t="s">
        <v>279</v>
      </c>
      <c r="K5" s="451" t="s">
        <v>176</v>
      </c>
      <c r="L5" s="639" t="s">
        <v>177</v>
      </c>
      <c r="M5" s="451" t="s">
        <v>178</v>
      </c>
      <c r="N5" s="451" t="s">
        <v>179</v>
      </c>
      <c r="O5" s="639" t="s">
        <v>180</v>
      </c>
      <c r="P5" s="451" t="s">
        <v>181</v>
      </c>
      <c r="Q5" s="451" t="s">
        <v>182</v>
      </c>
      <c r="R5" s="456" t="s">
        <v>183</v>
      </c>
      <c r="S5" s="639" t="s">
        <v>184</v>
      </c>
      <c r="T5" s="453" t="s">
        <v>185</v>
      </c>
      <c r="U5" s="453" t="s">
        <v>186</v>
      </c>
      <c r="V5" s="453" t="s">
        <v>187</v>
      </c>
      <c r="W5" s="639" t="s">
        <v>188</v>
      </c>
      <c r="X5" s="639" t="s">
        <v>189</v>
      </c>
      <c r="Y5" s="639" t="s">
        <v>190</v>
      </c>
      <c r="Z5" s="639" t="s">
        <v>191</v>
      </c>
      <c r="AA5" s="639" t="s">
        <v>192</v>
      </c>
      <c r="AB5" s="639" t="s">
        <v>280</v>
      </c>
      <c r="AC5" s="639" t="s">
        <v>194</v>
      </c>
      <c r="AD5" s="639" t="s">
        <v>195</v>
      </c>
      <c r="AE5" s="639" t="s">
        <v>196</v>
      </c>
      <c r="AF5" s="639" t="s">
        <v>197</v>
      </c>
      <c r="AG5" s="639" t="s">
        <v>198</v>
      </c>
      <c r="AH5" s="639" t="s">
        <v>199</v>
      </c>
      <c r="AI5" s="639" t="s">
        <v>200</v>
      </c>
      <c r="AJ5" s="639" t="s">
        <v>201</v>
      </c>
      <c r="AK5" s="639" t="s">
        <v>202</v>
      </c>
      <c r="AL5" s="639" t="s">
        <v>203</v>
      </c>
    </row>
    <row r="6" spans="1:44" ht="16">
      <c r="C6" s="640" t="s">
        <v>281</v>
      </c>
      <c r="D6" s="641"/>
      <c r="E6" s="446"/>
      <c r="F6" s="446"/>
      <c r="G6" s="641"/>
      <c r="H6" s="641"/>
      <c r="I6" s="641"/>
      <c r="J6" s="641"/>
      <c r="K6" s="642"/>
      <c r="L6" s="642"/>
      <c r="M6" s="641"/>
      <c r="N6" s="641"/>
      <c r="O6" s="642"/>
      <c r="P6" s="642"/>
      <c r="Q6" s="642"/>
      <c r="R6" s="642"/>
      <c r="S6" s="642"/>
      <c r="T6" s="642"/>
      <c r="U6" s="642"/>
      <c r="V6" s="642"/>
      <c r="W6" s="642"/>
      <c r="X6" s="643"/>
      <c r="Y6" s="641"/>
      <c r="Z6" s="641"/>
      <c r="AA6" s="641"/>
      <c r="AB6" s="641"/>
      <c r="AC6" s="641"/>
      <c r="AD6" s="641"/>
      <c r="AE6" s="641"/>
      <c r="AF6" s="641"/>
      <c r="AG6" s="641"/>
      <c r="AH6" s="641"/>
      <c r="AI6" s="641"/>
      <c r="AJ6" s="641"/>
      <c r="AK6" s="641"/>
      <c r="AL6" s="641"/>
    </row>
    <row r="7" spans="1:44">
      <c r="C7" s="644" t="s">
        <v>150</v>
      </c>
      <c r="D7" s="446"/>
      <c r="E7" s="446"/>
      <c r="F7" s="446"/>
      <c r="G7" s="446"/>
      <c r="H7" s="446"/>
      <c r="I7" s="446"/>
      <c r="J7" s="505"/>
      <c r="K7" s="505"/>
      <c r="L7" s="505"/>
      <c r="M7" s="505"/>
      <c r="N7" s="645"/>
      <c r="O7" s="505"/>
      <c r="P7" s="505"/>
      <c r="Q7" s="505"/>
      <c r="R7" s="505"/>
      <c r="S7" s="448"/>
      <c r="T7" s="505"/>
      <c r="U7" s="505"/>
      <c r="V7" s="505"/>
      <c r="W7" s="505"/>
      <c r="X7" s="446"/>
      <c r="Y7" s="446"/>
      <c r="Z7" s="446"/>
      <c r="AA7" s="446"/>
      <c r="AB7" s="805">
        <f>AB8/'Inc St'!AB7</f>
        <v>0.16342762759951088</v>
      </c>
      <c r="AC7" s="805">
        <f>AC8/'Inc St'!AC7</f>
        <v>0.15192916191942241</v>
      </c>
      <c r="AD7" s="805">
        <f>AD8/'Inc St'!AD7</f>
        <v>0.12172156816022534</v>
      </c>
      <c r="AE7" s="805">
        <f>AE8/'Inc St'!AE7</f>
        <v>7.7439204501093581E-2</v>
      </c>
      <c r="AF7" s="805">
        <f>AF8/'Inc St'!AF7</f>
        <v>4.4860143505243234E-2</v>
      </c>
      <c r="AG7" s="805">
        <f>AG8/'Inc St'!AG7</f>
        <v>2.1805515654959497E-2</v>
      </c>
      <c r="AH7" s="805">
        <f>AH8/'Inc St'!AH7</f>
        <v>3.6420957757222081E-2</v>
      </c>
      <c r="AI7" s="805">
        <f>AI8/'Inc St'!AI7</f>
        <v>4.6053151643053451E-2</v>
      </c>
      <c r="AJ7" s="805">
        <f>AJ8/'Inc St'!AJ7</f>
        <v>5.5410134990840104E-2</v>
      </c>
      <c r="AK7" s="805">
        <f>AK8/'Inc St'!AK7</f>
        <v>6.4090041973719647E-2</v>
      </c>
      <c r="AL7" s="805">
        <f>AL8/'Inc St'!AL7</f>
        <v>7.1446075962833269E-2</v>
      </c>
    </row>
    <row r="8" spans="1:44">
      <c r="C8" s="446" t="s">
        <v>282</v>
      </c>
      <c r="D8" s="446"/>
      <c r="E8" s="646">
        <f t="shared" ref="E8:AG8" si="0">-E13-E15-E18-E23-E24+E53</f>
        <v>9173.2547617601085</v>
      </c>
      <c r="F8" s="646">
        <f t="shared" si="0"/>
        <v>5831.7340250324924</v>
      </c>
      <c r="G8" s="629">
        <f t="shared" si="0"/>
        <v>10063.599045816882</v>
      </c>
      <c r="H8" s="629">
        <f t="shared" si="0"/>
        <v>28270.433038292394</v>
      </c>
      <c r="I8" s="629">
        <f t="shared" si="0"/>
        <v>33799.838220052887</v>
      </c>
      <c r="J8" s="645">
        <f t="shared" si="0"/>
        <v>34540</v>
      </c>
      <c r="K8" s="645">
        <f t="shared" si="0"/>
        <v>14699.900755914074</v>
      </c>
      <c r="L8" s="645">
        <f t="shared" si="0"/>
        <v>23469.663838816341</v>
      </c>
      <c r="M8" s="645">
        <f t="shared" si="0"/>
        <v>23090.407839342166</v>
      </c>
      <c r="N8" s="645">
        <f t="shared" si="0"/>
        <v>12654.039000720251</v>
      </c>
      <c r="O8" s="646">
        <f t="shared" si="0"/>
        <v>21792.645591977926</v>
      </c>
      <c r="P8" s="629">
        <f t="shared" si="0"/>
        <v>17562.493802994606</v>
      </c>
      <c r="Q8" s="629">
        <f t="shared" si="0"/>
        <v>22004.66367260617</v>
      </c>
      <c r="R8" s="646">
        <f t="shared" si="0"/>
        <v>26119.783960419474</v>
      </c>
      <c r="S8" s="646">
        <f>-S13-S15-S18-S23-S24+S53</f>
        <v>22092.4079107547</v>
      </c>
      <c r="T8" s="646">
        <f>-T13-T15-T18-T23-T24+T53</f>
        <v>29797.000000000029</v>
      </c>
      <c r="U8" s="646">
        <f t="shared" si="0"/>
        <v>22789.850408916274</v>
      </c>
      <c r="V8" s="646">
        <f t="shared" si="0"/>
        <v>20712.952121730836</v>
      </c>
      <c r="W8" s="646">
        <f t="shared" si="0"/>
        <v>46422.031644924602</v>
      </c>
      <c r="X8" s="646">
        <f t="shared" si="0"/>
        <v>43080</v>
      </c>
      <c r="Y8" s="646">
        <f t="shared" si="0"/>
        <v>50208</v>
      </c>
      <c r="Z8" s="646">
        <f>-Z13-Z15-Z18-Z23-Z24+Z53</f>
        <v>37049</v>
      </c>
      <c r="AA8" s="629">
        <f t="shared" si="0"/>
        <v>37699</v>
      </c>
      <c r="AB8" s="629">
        <f t="shared" si="0"/>
        <v>40789</v>
      </c>
      <c r="AC8" s="647">
        <f t="shared" si="0"/>
        <v>45731.909996825503</v>
      </c>
      <c r="AD8" s="647">
        <f t="shared" si="0"/>
        <v>39859.146016121231</v>
      </c>
      <c r="AE8" s="647">
        <f t="shared" si="0"/>
        <v>28134.26218580961</v>
      </c>
      <c r="AF8" s="647">
        <f t="shared" si="0"/>
        <v>18108.064111486892</v>
      </c>
      <c r="AG8" s="647">
        <f t="shared" si="0"/>
        <v>9794.3755353461602</v>
      </c>
      <c r="AH8" s="629">
        <f>-AH13-AH15-AH18-AH23-AH24+AH53</f>
        <v>17549.739585522213</v>
      </c>
      <c r="AI8" s="629">
        <f>-AI13-AI15-AI18-AI23-AI24+AI53</f>
        <v>23981.986992050195</v>
      </c>
      <c r="AJ8" s="629">
        <f>-AJ13-AJ15-AJ18-AJ23-AJ24+AJ53</f>
        <v>31257.521894848847</v>
      </c>
      <c r="AK8" s="629">
        <f>-AK13-AK15-AK18-AK23-AK24+AK53</f>
        <v>39263.093477650022</v>
      </c>
      <c r="AL8" s="629">
        <f>-AL13-AL15-AL18-AL23-AL24+AL53</f>
        <v>47659.001631680119</v>
      </c>
      <c r="AN8" s="648"/>
    </row>
    <row r="9" spans="1:44">
      <c r="C9" s="446"/>
      <c r="D9" s="446"/>
      <c r="E9" s="646"/>
      <c r="F9" s="646"/>
      <c r="G9" s="646"/>
      <c r="H9" s="646"/>
      <c r="I9" s="646"/>
      <c r="J9" s="645"/>
      <c r="K9" s="646"/>
      <c r="L9" s="646"/>
      <c r="M9" s="645"/>
      <c r="N9" s="645"/>
      <c r="O9" s="646"/>
      <c r="P9" s="646"/>
      <c r="Q9" s="646"/>
      <c r="R9" s="646"/>
      <c r="S9" s="646"/>
      <c r="T9" s="646"/>
      <c r="U9" s="646"/>
      <c r="V9" s="646"/>
      <c r="W9" s="646"/>
      <c r="X9" s="646"/>
      <c r="Y9" s="646"/>
      <c r="Z9" s="646"/>
      <c r="AA9" s="646"/>
      <c r="AB9" s="646"/>
      <c r="AC9" s="646"/>
      <c r="AD9" s="646"/>
      <c r="AE9" s="646"/>
      <c r="AF9" s="646"/>
      <c r="AG9" s="646"/>
      <c r="AH9" s="646"/>
      <c r="AI9" s="646"/>
      <c r="AJ9" s="646"/>
      <c r="AK9" s="646"/>
      <c r="AL9" s="646"/>
      <c r="AN9" s="648"/>
    </row>
    <row r="10" spans="1:44">
      <c r="C10" s="446" t="s">
        <v>283</v>
      </c>
      <c r="E10" s="646">
        <v>23651</v>
      </c>
      <c r="F10" s="646">
        <v>38092</v>
      </c>
      <c r="G10" s="646">
        <v>51069.123510673468</v>
      </c>
      <c r="H10" s="646">
        <v>62293.323137890635</v>
      </c>
      <c r="I10" s="646">
        <v>96928</v>
      </c>
      <c r="J10" s="645">
        <v>64114</v>
      </c>
      <c r="K10" s="646">
        <v>75229.727270106465</v>
      </c>
      <c r="L10" s="646">
        <v>78420.231140062271</v>
      </c>
      <c r="M10" s="646">
        <f>(M70/365)*'Inc St'!M7</f>
        <v>76243.564880626553</v>
      </c>
      <c r="N10" s="646">
        <v>72959.201852499566</v>
      </c>
      <c r="O10" s="646">
        <v>101334.60993854812</v>
      </c>
      <c r="P10" s="646">
        <v>75945.981004804504</v>
      </c>
      <c r="Q10" s="646">
        <v>104205.79435892515</v>
      </c>
      <c r="R10" s="646">
        <f>(R70/365)*'Inc St'!R7</f>
        <v>92765.366718840101</v>
      </c>
      <c r="S10" s="646">
        <v>115315.23854349594</v>
      </c>
      <c r="T10" s="646">
        <v>84939</v>
      </c>
      <c r="U10" s="646">
        <f>(U70/365)*'Inc St'!U7</f>
        <v>104424.25342465752</v>
      </c>
      <c r="V10" s="646">
        <f>(V70/365)*'Inc St'!V7</f>
        <v>109859.63899388831</v>
      </c>
      <c r="W10" s="646">
        <v>90141.117651865396</v>
      </c>
      <c r="X10" s="646">
        <v>92639</v>
      </c>
      <c r="Y10" s="646">
        <v>101254</v>
      </c>
      <c r="Z10" s="646">
        <v>88451</v>
      </c>
      <c r="AA10" s="646">
        <v>112923</v>
      </c>
      <c r="AB10" s="646">
        <v>97289</v>
      </c>
      <c r="AC10" s="646">
        <f>(AC70/365)*'Inc St'!AC7</f>
        <v>107208.36821145978</v>
      </c>
      <c r="AD10" s="646">
        <f>(AD70/365)*'Inc St'!AD7</f>
        <v>116630.17807524677</v>
      </c>
      <c r="AE10" s="646">
        <f>(AE70/365)*'Inc St'!AE7</f>
        <v>129397.27639156002</v>
      </c>
      <c r="AF10" s="646">
        <f>(AF70/365)*'Inc St'!AF7</f>
        <v>143767.87472845791</v>
      </c>
      <c r="AG10" s="646">
        <f>(AG70/365)*'Inc St'!AG7</f>
        <v>159978.22661553975</v>
      </c>
      <c r="AH10" s="646">
        <f>(AH70/365)*'Inc St'!AH7</f>
        <v>171620.75261201605</v>
      </c>
      <c r="AI10" s="646">
        <f>(AI70/365)*'Inc St'!AI7</f>
        <v>185471.11997481072</v>
      </c>
      <c r="AJ10" s="646">
        <f>(AJ70/365)*'Inc St'!AJ7</f>
        <v>200916.60161419565</v>
      </c>
      <c r="AK10" s="646">
        <f>(AK70/365)*'Inc St'!AK7</f>
        <v>218194.82488285241</v>
      </c>
      <c r="AL10" s="646">
        <f>(AL70/365)*'Inc St'!AL7</f>
        <v>237583.92197971718</v>
      </c>
      <c r="AN10" s="648"/>
    </row>
    <row r="11" spans="1:44">
      <c r="C11" s="446" t="s">
        <v>284</v>
      </c>
      <c r="E11" s="646">
        <v>1044</v>
      </c>
      <c r="F11" s="646">
        <v>1299</v>
      </c>
      <c r="G11" s="646">
        <v>174.19372742374784</v>
      </c>
      <c r="H11" s="646">
        <v>401.91405346668842</v>
      </c>
      <c r="I11" s="646">
        <v>1277</v>
      </c>
      <c r="J11" s="645">
        <v>796</v>
      </c>
      <c r="K11" s="646">
        <v>2290.7690909371145</v>
      </c>
      <c r="L11" s="646">
        <v>2272.5445243442641</v>
      </c>
      <c r="M11" s="646">
        <f>+K11*0.95</f>
        <v>2176.2306363902585</v>
      </c>
      <c r="N11" s="646">
        <v>16252.96057768834</v>
      </c>
      <c r="O11" s="646">
        <v>17228.008369599742</v>
      </c>
      <c r="P11" s="646">
        <v>32473</v>
      </c>
      <c r="Q11" s="646">
        <v>31236</v>
      </c>
      <c r="R11" s="646">
        <v>32473</v>
      </c>
      <c r="S11" s="646">
        <v>3821</v>
      </c>
      <c r="T11" s="646">
        <f>3296+0.4</f>
        <v>3296.4</v>
      </c>
      <c r="U11" s="646">
        <f>+S11*0.92</f>
        <v>3515.32</v>
      </c>
      <c r="V11" s="646">
        <f>+S11*0.92</f>
        <v>3515.32</v>
      </c>
      <c r="W11" s="646">
        <f>353+1637</f>
        <v>1990</v>
      </c>
      <c r="X11" s="646">
        <f>1697+694</f>
        <v>2391</v>
      </c>
      <c r="Y11" s="646">
        <f>1403+680</f>
        <v>2083</v>
      </c>
      <c r="Z11" s="646">
        <f>864+492</f>
        <v>1356</v>
      </c>
      <c r="AA11" s="646">
        <f>1842+476</f>
        <v>2318</v>
      </c>
      <c r="AB11" s="646">
        <f>3828+511</f>
        <v>4339</v>
      </c>
      <c r="AC11" s="646">
        <f>+AB11*0.95</f>
        <v>4122.05</v>
      </c>
      <c r="AD11" s="646">
        <f t="shared" ref="AD11:AL11" si="1">+AC11*0.95</f>
        <v>3915.9474999999998</v>
      </c>
      <c r="AE11" s="646">
        <f t="shared" si="1"/>
        <v>3720.1501249999997</v>
      </c>
      <c r="AF11" s="646">
        <f t="shared" si="1"/>
        <v>3534.1426187499997</v>
      </c>
      <c r="AG11" s="646">
        <f t="shared" si="1"/>
        <v>3357.4354878124996</v>
      </c>
      <c r="AH11" s="646">
        <f t="shared" si="1"/>
        <v>3189.5637134218746</v>
      </c>
      <c r="AI11" s="646">
        <f t="shared" si="1"/>
        <v>3030.0855277507808</v>
      </c>
      <c r="AJ11" s="646">
        <f t="shared" si="1"/>
        <v>2878.5812513632418</v>
      </c>
      <c r="AK11" s="646">
        <f t="shared" si="1"/>
        <v>2734.6521887950794</v>
      </c>
      <c r="AL11" s="646">
        <f t="shared" si="1"/>
        <v>2597.9195793553254</v>
      </c>
      <c r="AN11" s="648"/>
    </row>
    <row r="12" spans="1:44">
      <c r="C12" s="446" t="s">
        <v>285</v>
      </c>
      <c r="E12" s="649">
        <v>0</v>
      </c>
      <c r="F12" s="649">
        <v>0</v>
      </c>
      <c r="G12" s="649">
        <v>0</v>
      </c>
      <c r="H12" s="649">
        <v>0</v>
      </c>
      <c r="I12" s="649">
        <v>0</v>
      </c>
      <c r="J12" s="650">
        <v>0</v>
      </c>
      <c r="K12" s="649">
        <v>0</v>
      </c>
      <c r="L12" s="649">
        <v>0</v>
      </c>
      <c r="M12" s="649">
        <v>0</v>
      </c>
      <c r="N12" s="649">
        <v>0</v>
      </c>
      <c r="O12" s="649">
        <v>0</v>
      </c>
      <c r="P12" s="649">
        <v>0</v>
      </c>
      <c r="Q12" s="649">
        <v>0</v>
      </c>
      <c r="R12" s="649">
        <v>0</v>
      </c>
      <c r="S12" s="649">
        <v>0</v>
      </c>
      <c r="T12" s="649">
        <v>0</v>
      </c>
      <c r="U12" s="649">
        <v>0</v>
      </c>
      <c r="V12" s="649">
        <v>0</v>
      </c>
      <c r="W12" s="649">
        <v>0</v>
      </c>
      <c r="X12" s="649">
        <v>0</v>
      </c>
      <c r="Y12" s="649">
        <v>0</v>
      </c>
      <c r="Z12" s="649">
        <v>0</v>
      </c>
      <c r="AA12" s="649">
        <v>0</v>
      </c>
      <c r="AB12" s="649">
        <v>0</v>
      </c>
      <c r="AC12" s="649">
        <v>0</v>
      </c>
      <c r="AD12" s="649">
        <v>0</v>
      </c>
      <c r="AE12" s="649">
        <v>0</v>
      </c>
      <c r="AF12" s="649">
        <v>0</v>
      </c>
      <c r="AG12" s="649">
        <v>0</v>
      </c>
      <c r="AH12" s="649">
        <v>0</v>
      </c>
      <c r="AI12" s="649">
        <v>0</v>
      </c>
      <c r="AJ12" s="649">
        <v>0</v>
      </c>
      <c r="AK12" s="649">
        <v>0</v>
      </c>
      <c r="AL12" s="649">
        <v>0</v>
      </c>
      <c r="AN12" s="648"/>
    </row>
    <row r="13" spans="1:44" s="651" customFormat="1">
      <c r="C13" s="446" t="s">
        <v>286</v>
      </c>
      <c r="E13" s="652">
        <f t="shared" ref="E13:N13" si="2">SUM(E10:E12)</f>
        <v>24695</v>
      </c>
      <c r="F13" s="652">
        <f t="shared" si="2"/>
        <v>39391</v>
      </c>
      <c r="G13" s="652">
        <f t="shared" si="2"/>
        <v>51243.317238097217</v>
      </c>
      <c r="H13" s="652">
        <f t="shared" si="2"/>
        <v>62695.237191357322</v>
      </c>
      <c r="I13" s="652">
        <f t="shared" si="2"/>
        <v>98205</v>
      </c>
      <c r="J13" s="653">
        <f t="shared" si="2"/>
        <v>64910</v>
      </c>
      <c r="K13" s="652">
        <f t="shared" si="2"/>
        <v>77520.496361043581</v>
      </c>
      <c r="L13" s="652">
        <f t="shared" si="2"/>
        <v>80692.775664406538</v>
      </c>
      <c r="M13" s="652">
        <f t="shared" si="2"/>
        <v>78419.795517016813</v>
      </c>
      <c r="N13" s="652">
        <f t="shared" si="2"/>
        <v>89212.162430187906</v>
      </c>
      <c r="O13" s="652">
        <f t="shared" ref="O13:AG13" si="3">SUM(O10:O12)</f>
        <v>118562.61830814787</v>
      </c>
      <c r="P13" s="652">
        <f t="shared" si="3"/>
        <v>108418.9810048045</v>
      </c>
      <c r="Q13" s="652">
        <f t="shared" si="3"/>
        <v>135441.79435892514</v>
      </c>
      <c r="R13" s="652">
        <f t="shared" si="3"/>
        <v>125238.3667188401</v>
      </c>
      <c r="S13" s="652">
        <f t="shared" si="3"/>
        <v>119136.23854349594</v>
      </c>
      <c r="T13" s="652">
        <f t="shared" si="3"/>
        <v>88235.4</v>
      </c>
      <c r="U13" s="652">
        <f t="shared" si="3"/>
        <v>107939.57342465753</v>
      </c>
      <c r="V13" s="652">
        <f t="shared" si="3"/>
        <v>113374.95899388831</v>
      </c>
      <c r="W13" s="652">
        <f t="shared" si="3"/>
        <v>92131.117651865396</v>
      </c>
      <c r="X13" s="652">
        <f t="shared" si="3"/>
        <v>95030</v>
      </c>
      <c r="Y13" s="652">
        <f t="shared" si="3"/>
        <v>103337</v>
      </c>
      <c r="Z13" s="652">
        <f t="shared" si="3"/>
        <v>89807</v>
      </c>
      <c r="AA13" s="652">
        <f t="shared" si="3"/>
        <v>115241</v>
      </c>
      <c r="AB13" s="652">
        <f t="shared" si="3"/>
        <v>101628</v>
      </c>
      <c r="AC13" s="652">
        <f t="shared" si="3"/>
        <v>111330.41821145978</v>
      </c>
      <c r="AD13" s="652">
        <f t="shared" si="3"/>
        <v>120546.12557524677</v>
      </c>
      <c r="AE13" s="652">
        <f t="shared" si="3"/>
        <v>133117.42651656002</v>
      </c>
      <c r="AF13" s="652">
        <f t="shared" si="3"/>
        <v>147302.0173472079</v>
      </c>
      <c r="AG13" s="652">
        <f t="shared" si="3"/>
        <v>163335.66210335225</v>
      </c>
      <c r="AH13" s="652">
        <f>SUM(AH10:AH12)</f>
        <v>174810.31632543792</v>
      </c>
      <c r="AI13" s="652">
        <f>SUM(AI10:AI12)</f>
        <v>188501.2055025615</v>
      </c>
      <c r="AJ13" s="652">
        <f>SUM(AJ10:AJ12)</f>
        <v>203795.18286555889</v>
      </c>
      <c r="AK13" s="652">
        <f>SUM(AK10:AK12)</f>
        <v>220929.47707164747</v>
      </c>
      <c r="AL13" s="652">
        <f>SUM(AL10:AL12)</f>
        <v>240181.84155907252</v>
      </c>
      <c r="AM13" s="441"/>
      <c r="AN13" s="648"/>
      <c r="AO13" s="441"/>
      <c r="AP13" s="441"/>
      <c r="AQ13" s="441"/>
      <c r="AR13" s="441"/>
    </row>
    <row r="14" spans="1:44">
      <c r="C14" s="446"/>
      <c r="E14" s="652"/>
      <c r="F14" s="652"/>
      <c r="G14" s="652"/>
      <c r="H14" s="652"/>
      <c r="I14" s="652"/>
      <c r="J14" s="653"/>
      <c r="K14" s="652"/>
      <c r="L14" s="652"/>
      <c r="M14" s="652"/>
      <c r="N14" s="652"/>
      <c r="O14" s="652"/>
      <c r="P14" s="652"/>
      <c r="Q14" s="652"/>
      <c r="R14" s="652"/>
      <c r="S14" s="652"/>
      <c r="T14" s="652"/>
      <c r="U14" s="652"/>
      <c r="V14" s="652"/>
      <c r="W14" s="652"/>
      <c r="X14" s="652"/>
      <c r="Y14" s="652"/>
      <c r="Z14" s="652"/>
      <c r="AA14" s="652"/>
      <c r="AB14" s="652"/>
      <c r="AC14" s="652"/>
      <c r="AD14" s="652"/>
      <c r="AE14" s="652"/>
      <c r="AF14" s="652"/>
      <c r="AG14" s="652"/>
      <c r="AH14" s="652"/>
      <c r="AI14" s="652"/>
      <c r="AJ14" s="652"/>
      <c r="AK14" s="652"/>
      <c r="AL14" s="652"/>
      <c r="AN14" s="648"/>
    </row>
    <row r="15" spans="1:44">
      <c r="C15" s="446" t="s">
        <v>287</v>
      </c>
      <c r="D15" s="446"/>
      <c r="E15" s="654">
        <v>17600</v>
      </c>
      <c r="F15" s="654">
        <v>26149</v>
      </c>
      <c r="G15" s="655">
        <v>29827.802670130859</v>
      </c>
      <c r="H15" s="655">
        <v>20512.695862267676</v>
      </c>
      <c r="I15" s="655">
        <v>7242</v>
      </c>
      <c r="J15" s="656">
        <v>21050</v>
      </c>
      <c r="K15" s="655">
        <v>27891.709520570956</v>
      </c>
      <c r="L15" s="655">
        <v>28586.471886531875</v>
      </c>
      <c r="M15" s="655">
        <f>(M72/365)*'Inc St'!M7</f>
        <v>27724.932683864197</v>
      </c>
      <c r="N15" s="655">
        <v>38134.575064072676</v>
      </c>
      <c r="O15" s="655">
        <v>20584.011125459132</v>
      </c>
      <c r="P15" s="655">
        <v>45813</v>
      </c>
      <c r="Q15" s="655">
        <v>46240</v>
      </c>
      <c r="R15" s="655">
        <f>(R72/365)*'Inc St'!R7</f>
        <v>46382.683359420051</v>
      </c>
      <c r="S15" s="655">
        <v>26062.208354036102</v>
      </c>
      <c r="T15" s="655">
        <v>38245</v>
      </c>
      <c r="U15" s="655">
        <f>(U72/365)*'Inc St'!U7</f>
        <v>34505.405479452056</v>
      </c>
      <c r="V15" s="655">
        <f>(V72/365)*'Inc St'!V7</f>
        <v>29961.719725605901</v>
      </c>
      <c r="W15" s="655">
        <v>10756.495560936513</v>
      </c>
      <c r="X15" s="655">
        <v>13267</v>
      </c>
      <c r="Y15" s="655">
        <v>12871</v>
      </c>
      <c r="Z15" s="655">
        <v>31365</v>
      </c>
      <c r="AA15" s="655">
        <v>34703</v>
      </c>
      <c r="AB15" s="655">
        <v>22358</v>
      </c>
      <c r="AC15" s="655">
        <f>(AC72/365)*'Inc St'!AC7</f>
        <v>28863.791441546862</v>
      </c>
      <c r="AD15" s="655">
        <f>(AD72/365)*'Inc St'!AD7</f>
        <v>31400.432558720284</v>
      </c>
      <c r="AE15" s="655">
        <f>(AE72/365)*'Inc St'!AE7</f>
        <v>34837.728259266158</v>
      </c>
      <c r="AF15" s="655">
        <f>(AF72/365)*'Inc St'!AF7</f>
        <v>38706.735503815595</v>
      </c>
      <c r="AG15" s="655">
        <f>(AG72/365)*'Inc St'!AG7</f>
        <v>43071.061011876089</v>
      </c>
      <c r="AH15" s="655">
        <f>(AH72/365)*'Inc St'!AH7</f>
        <v>46205.58724169663</v>
      </c>
      <c r="AI15" s="655">
        <f>(AI72/365)*'Inc St'!AI7</f>
        <v>49934.532300910578</v>
      </c>
      <c r="AJ15" s="655">
        <f>(AJ72/365)*'Inc St'!AJ7</f>
        <v>54092.931203821907</v>
      </c>
      <c r="AK15" s="655">
        <f>(AK72/365)*'Inc St'!AK7</f>
        <v>58744.760545383338</v>
      </c>
      <c r="AL15" s="655">
        <f>(AL72/365)*'Inc St'!AL7</f>
        <v>63964.902071462318</v>
      </c>
      <c r="AN15" s="648"/>
    </row>
    <row r="16" spans="1:44" s="657" customFormat="1">
      <c r="C16" s="465" t="s">
        <v>288</v>
      </c>
      <c r="E16" s="658">
        <f t="shared" ref="E16:AG16" si="4">E8+E13+E15</f>
        <v>51468.254761760109</v>
      </c>
      <c r="F16" s="658">
        <f t="shared" si="4"/>
        <v>71371.734025032492</v>
      </c>
      <c r="G16" s="658">
        <f t="shared" si="4"/>
        <v>91134.718954044962</v>
      </c>
      <c r="H16" s="658">
        <f t="shared" si="4"/>
        <v>111478.3660919174</v>
      </c>
      <c r="I16" s="658">
        <f t="shared" si="4"/>
        <v>139246.83822005289</v>
      </c>
      <c r="J16" s="659">
        <f t="shared" si="4"/>
        <v>120500</v>
      </c>
      <c r="K16" s="658">
        <f t="shared" si="4"/>
        <v>120112.1066375286</v>
      </c>
      <c r="L16" s="658">
        <f t="shared" si="4"/>
        <v>132748.91138975476</v>
      </c>
      <c r="M16" s="658">
        <f t="shared" si="4"/>
        <v>129235.13604022318</v>
      </c>
      <c r="N16" s="658">
        <f t="shared" si="4"/>
        <v>140000.77649498085</v>
      </c>
      <c r="O16" s="658">
        <f t="shared" si="4"/>
        <v>160939.27502558494</v>
      </c>
      <c r="P16" s="658">
        <f t="shared" si="4"/>
        <v>171794.4748077991</v>
      </c>
      <c r="Q16" s="658">
        <f t="shared" si="4"/>
        <v>203686.45803153131</v>
      </c>
      <c r="R16" s="658">
        <f t="shared" si="4"/>
        <v>197740.8340386796</v>
      </c>
      <c r="S16" s="658">
        <f t="shared" si="4"/>
        <v>167290.85480828673</v>
      </c>
      <c r="T16" s="658">
        <f t="shared" si="4"/>
        <v>156277.40000000002</v>
      </c>
      <c r="U16" s="658">
        <f t="shared" si="4"/>
        <v>165234.82931302587</v>
      </c>
      <c r="V16" s="658">
        <f t="shared" si="4"/>
        <v>164049.63084122504</v>
      </c>
      <c r="W16" s="658">
        <f t="shared" si="4"/>
        <v>149309.64485772653</v>
      </c>
      <c r="X16" s="658">
        <f t="shared" si="4"/>
        <v>151377</v>
      </c>
      <c r="Y16" s="658">
        <f t="shared" si="4"/>
        <v>166416</v>
      </c>
      <c r="Z16" s="658">
        <f>Z8+Z13+Z15</f>
        <v>158221</v>
      </c>
      <c r="AA16" s="658">
        <f t="shared" si="4"/>
        <v>187643</v>
      </c>
      <c r="AB16" s="658">
        <f t="shared" si="4"/>
        <v>164775</v>
      </c>
      <c r="AC16" s="658">
        <f t="shared" si="4"/>
        <v>185926.11964983214</v>
      </c>
      <c r="AD16" s="658">
        <f t="shared" si="4"/>
        <v>191805.70415008831</v>
      </c>
      <c r="AE16" s="658">
        <f t="shared" si="4"/>
        <v>196089.41696163578</v>
      </c>
      <c r="AF16" s="658">
        <f t="shared" si="4"/>
        <v>204116.81696251041</v>
      </c>
      <c r="AG16" s="658">
        <f t="shared" si="4"/>
        <v>216201.09865057451</v>
      </c>
      <c r="AH16" s="658">
        <f>AH8+AH13+AH15</f>
        <v>238565.64315265676</v>
      </c>
      <c r="AI16" s="658">
        <f>AI8+AI13+AI15</f>
        <v>262417.72479552228</v>
      </c>
      <c r="AJ16" s="658">
        <f>AJ8+AJ13+AJ15</f>
        <v>289145.63596422964</v>
      </c>
      <c r="AK16" s="658">
        <f>AK8+AK13+AK15</f>
        <v>318937.33109468082</v>
      </c>
      <c r="AL16" s="658">
        <f>AL8+AL13+AL15</f>
        <v>351805.74526221497</v>
      </c>
      <c r="AM16" s="441"/>
      <c r="AN16" s="648"/>
      <c r="AO16" s="441"/>
      <c r="AP16" s="441"/>
      <c r="AQ16" s="441"/>
      <c r="AR16" s="441"/>
    </row>
    <row r="17" spans="2:44" ht="6" customHeight="1">
      <c r="C17" s="446"/>
      <c r="D17" s="446"/>
      <c r="E17" s="646"/>
      <c r="F17" s="646"/>
      <c r="G17" s="646"/>
      <c r="H17" s="646"/>
      <c r="I17" s="646"/>
      <c r="J17" s="645"/>
      <c r="K17" s="646"/>
      <c r="L17" s="646"/>
      <c r="M17" s="646"/>
      <c r="N17" s="646"/>
      <c r="O17" s="646"/>
      <c r="P17" s="646"/>
      <c r="Q17" s="646"/>
      <c r="R17" s="646"/>
      <c r="S17" s="646"/>
      <c r="T17" s="646"/>
      <c r="U17" s="646"/>
      <c r="V17" s="646"/>
      <c r="W17" s="646"/>
      <c r="X17" s="646"/>
      <c r="Y17" s="646"/>
      <c r="Z17" s="646"/>
      <c r="AA17" s="646"/>
      <c r="AB17" s="646"/>
      <c r="AC17" s="646"/>
      <c r="AD17" s="646"/>
      <c r="AE17" s="646"/>
      <c r="AF17" s="646"/>
      <c r="AG17" s="646"/>
      <c r="AH17" s="646"/>
      <c r="AI17" s="646"/>
      <c r="AJ17" s="646"/>
      <c r="AK17" s="646"/>
      <c r="AL17" s="646"/>
      <c r="AN17" s="648"/>
    </row>
    <row r="18" spans="2:44" s="657" customFormat="1">
      <c r="C18" s="446" t="s">
        <v>289</v>
      </c>
      <c r="D18" s="465"/>
      <c r="E18" s="649">
        <v>4359</v>
      </c>
      <c r="F18" s="649">
        <v>6972</v>
      </c>
      <c r="G18" s="649">
        <v>8585.0294946836275</v>
      </c>
      <c r="H18" s="649">
        <v>9061.6925476117722</v>
      </c>
      <c r="I18" s="649">
        <v>10204</v>
      </c>
      <c r="J18" s="650">
        <v>10555</v>
      </c>
      <c r="K18" s="649">
        <v>15751.932260080424</v>
      </c>
      <c r="L18" s="649">
        <v>12488.088610245246</v>
      </c>
      <c r="M18" s="649">
        <f>+K18*0.88</f>
        <v>13861.700388870773</v>
      </c>
      <c r="N18" s="649">
        <v>15940.276432231127</v>
      </c>
      <c r="O18" s="649">
        <v>22911.569864793906</v>
      </c>
      <c r="P18" s="649">
        <v>31323</v>
      </c>
      <c r="Q18" s="649">
        <v>18599</v>
      </c>
      <c r="R18" s="649">
        <v>21105</v>
      </c>
      <c r="S18" s="649">
        <f>19365.1936751881</f>
        <v>19365.1936751881</v>
      </c>
      <c r="T18" s="649">
        <v>33672</v>
      </c>
      <c r="U18" s="649">
        <f>+S18*0.95-201</f>
        <v>18195.933991428694</v>
      </c>
      <c r="V18" s="649">
        <f>+S18*0.95-201</f>
        <v>18195.933991428694</v>
      </c>
      <c r="W18" s="649">
        <v>35058.004741754223</v>
      </c>
      <c r="X18" s="649">
        <v>28822</v>
      </c>
      <c r="Y18" s="649">
        <v>38925</v>
      </c>
      <c r="Z18" s="649">
        <v>33115</v>
      </c>
      <c r="AA18" s="649">
        <v>24209</v>
      </c>
      <c r="AB18" s="649">
        <v>37210</v>
      </c>
      <c r="AC18" s="649">
        <f>+AB18*0.95</f>
        <v>35349.5</v>
      </c>
      <c r="AD18" s="649">
        <f t="shared" ref="AD18:AL18" si="5">+AC18*0.95</f>
        <v>33582.025000000001</v>
      </c>
      <c r="AE18" s="649">
        <f t="shared" si="5"/>
        <v>31902.923749999998</v>
      </c>
      <c r="AF18" s="649">
        <f t="shared" si="5"/>
        <v>30307.777562499996</v>
      </c>
      <c r="AG18" s="649">
        <f t="shared" si="5"/>
        <v>28792.388684374993</v>
      </c>
      <c r="AH18" s="649">
        <f t="shared" si="5"/>
        <v>27352.769250156241</v>
      </c>
      <c r="AI18" s="649">
        <f t="shared" si="5"/>
        <v>25985.130787648428</v>
      </c>
      <c r="AJ18" s="649">
        <f t="shared" si="5"/>
        <v>24685.874248266005</v>
      </c>
      <c r="AK18" s="649">
        <f t="shared" si="5"/>
        <v>23451.580535852703</v>
      </c>
      <c r="AL18" s="649">
        <f t="shared" si="5"/>
        <v>22279.001509060068</v>
      </c>
      <c r="AM18" s="441"/>
      <c r="AN18" s="648"/>
      <c r="AO18" s="441"/>
      <c r="AP18" s="441"/>
      <c r="AQ18" s="441"/>
      <c r="AR18" s="441"/>
    </row>
    <row r="19" spans="2:44" ht="5.25" customHeight="1">
      <c r="C19" s="446"/>
      <c r="D19" s="446"/>
      <c r="E19" s="646"/>
      <c r="F19" s="646"/>
      <c r="G19" s="646"/>
      <c r="H19" s="646"/>
      <c r="I19" s="646"/>
      <c r="J19" s="645"/>
      <c r="K19" s="646"/>
      <c r="L19" s="646"/>
      <c r="M19" s="646"/>
      <c r="N19" s="646"/>
      <c r="O19" s="646"/>
      <c r="P19" s="646"/>
      <c r="Q19" s="646"/>
      <c r="R19" s="646"/>
      <c r="S19" s="646"/>
      <c r="T19" s="646"/>
      <c r="U19" s="646"/>
      <c r="V19" s="646"/>
      <c r="W19" s="646"/>
      <c r="X19" s="646"/>
      <c r="Y19" s="646"/>
      <c r="Z19" s="646"/>
      <c r="AA19" s="646"/>
      <c r="AB19" s="646"/>
      <c r="AC19" s="646"/>
      <c r="AD19" s="646"/>
      <c r="AE19" s="646"/>
      <c r="AF19" s="646"/>
      <c r="AG19" s="646"/>
      <c r="AH19" s="646"/>
      <c r="AI19" s="646"/>
      <c r="AJ19" s="646"/>
      <c r="AK19" s="646"/>
      <c r="AL19" s="646"/>
      <c r="AN19" s="648"/>
    </row>
    <row r="20" spans="2:44">
      <c r="C20" s="446" t="s">
        <v>290</v>
      </c>
      <c r="D20" s="446"/>
      <c r="E20" s="646"/>
      <c r="F20" s="646"/>
      <c r="G20" s="646"/>
      <c r="H20" s="646"/>
      <c r="I20" s="646"/>
      <c r="J20" s="645"/>
      <c r="K20" s="646"/>
      <c r="L20" s="646"/>
      <c r="M20" s="646"/>
      <c r="N20" s="646"/>
      <c r="O20" s="646"/>
      <c r="P20" s="646"/>
      <c r="Q20" s="646"/>
      <c r="R20" s="646"/>
      <c r="S20" s="646"/>
      <c r="T20" s="646"/>
      <c r="U20" s="646"/>
      <c r="V20" s="646"/>
      <c r="W20" s="646"/>
      <c r="X20" s="646"/>
      <c r="Y20" s="646"/>
      <c r="Z20" s="646"/>
      <c r="AA20" s="646"/>
      <c r="AB20" s="646"/>
      <c r="AC20" s="646"/>
      <c r="AD20" s="646"/>
      <c r="AE20" s="646"/>
      <c r="AF20" s="646"/>
      <c r="AG20" s="646"/>
      <c r="AH20" s="646"/>
      <c r="AI20" s="646"/>
      <c r="AJ20" s="646"/>
      <c r="AK20" s="646"/>
      <c r="AL20" s="646"/>
      <c r="AN20" s="648"/>
    </row>
    <row r="21" spans="2:44">
      <c r="C21" s="446" t="s">
        <v>291</v>
      </c>
      <c r="E21" s="646">
        <f>17447+83272+360</f>
        <v>101079</v>
      </c>
      <c r="F21" s="646">
        <v>106339</v>
      </c>
      <c r="G21" s="646">
        <v>113299</v>
      </c>
      <c r="H21" s="646">
        <v>122448</v>
      </c>
      <c r="I21" s="646">
        <v>127799</v>
      </c>
      <c r="J21" s="645">
        <v>131838</v>
      </c>
      <c r="K21" s="646">
        <v>142583</v>
      </c>
      <c r="L21" s="646">
        <v>146011</v>
      </c>
      <c r="M21" s="646">
        <f>+BS!M80</f>
        <v>143583</v>
      </c>
      <c r="N21" s="646">
        <v>150935</v>
      </c>
      <c r="O21" s="646">
        <f>+BS!O80</f>
        <v>163104</v>
      </c>
      <c r="P21" s="646">
        <f>+BS!P80</f>
        <v>169834</v>
      </c>
      <c r="Q21" s="646">
        <f>+BS!Q80</f>
        <v>170701</v>
      </c>
      <c r="R21" s="646">
        <f>+BS!R80</f>
        <v>171201</v>
      </c>
      <c r="S21" s="646">
        <v>172055.182587786</v>
      </c>
      <c r="T21" s="646">
        <v>175348</v>
      </c>
      <c r="U21" s="646">
        <f>+BS!U80</f>
        <v>187505</v>
      </c>
      <c r="V21" s="646">
        <f>+BS!V80</f>
        <v>187505</v>
      </c>
      <c r="W21" s="646">
        <v>179541</v>
      </c>
      <c r="X21" s="646">
        <f>51701+137299+2027</f>
        <v>191027</v>
      </c>
      <c r="Y21" s="646">
        <f>51616+151280+1919</f>
        <v>204815</v>
      </c>
      <c r="Z21" s="646">
        <f>53098+145611+2255</f>
        <v>200964</v>
      </c>
      <c r="AA21" s="646">
        <f>52889+150942+2143</f>
        <v>205974</v>
      </c>
      <c r="AB21" s="646">
        <f>51682+152966+2189</f>
        <v>206837</v>
      </c>
      <c r="AC21" s="646">
        <f>+BS!AC80</f>
        <v>212937</v>
      </c>
      <c r="AD21" s="646">
        <f>+BS!AD80</f>
        <v>219037</v>
      </c>
      <c r="AE21" s="646">
        <f>+BS!AE80</f>
        <v>225137</v>
      </c>
      <c r="AF21" s="646">
        <f>+BS!AF80</f>
        <v>231237</v>
      </c>
      <c r="AG21" s="646">
        <f>+BS!AG80</f>
        <v>237337</v>
      </c>
      <c r="AH21" s="646">
        <f>+BS!AH80</f>
        <v>243437</v>
      </c>
      <c r="AI21" s="646">
        <f>+BS!AI80</f>
        <v>251037</v>
      </c>
      <c r="AJ21" s="646">
        <f>+BS!AJ80</f>
        <v>258637</v>
      </c>
      <c r="AK21" s="646">
        <f>+BS!AK80</f>
        <v>266237</v>
      </c>
      <c r="AL21" s="646">
        <f>+BS!AL80</f>
        <v>273837</v>
      </c>
      <c r="AN21" s="648"/>
    </row>
    <row r="22" spans="2:44">
      <c r="C22" s="446" t="s">
        <v>292</v>
      </c>
      <c r="E22" s="655">
        <v>64758</v>
      </c>
      <c r="F22" s="655">
        <v>70012</v>
      </c>
      <c r="G22" s="655">
        <v>75412</v>
      </c>
      <c r="H22" s="655">
        <v>77667</v>
      </c>
      <c r="I22" s="655">
        <v>80941</v>
      </c>
      <c r="J22" s="656">
        <v>81077</v>
      </c>
      <c r="K22" s="655">
        <v>85920</v>
      </c>
      <c r="L22" s="655">
        <v>87627</v>
      </c>
      <c r="M22" s="655">
        <f>+J22+'Inc St'!M30</f>
        <v>87363</v>
      </c>
      <c r="N22" s="655">
        <v>89134.192414497171</v>
      </c>
      <c r="O22" s="655">
        <f>+L22+'Inc St'!O30-25</f>
        <v>94462</v>
      </c>
      <c r="P22" s="655">
        <f>+O22+'Inc St'!P30-1</f>
        <v>98013</v>
      </c>
      <c r="Q22" s="655">
        <f>+O22+'Inc St'!Q30-1</f>
        <v>100072</v>
      </c>
      <c r="R22" s="655">
        <f>+O22+'Inc St'!R30-1</f>
        <v>101730.12125948718</v>
      </c>
      <c r="S22" s="655">
        <v>102093</v>
      </c>
      <c r="T22" s="655">
        <v>105695</v>
      </c>
      <c r="U22" s="655">
        <f>+S22+'Inc St'!U30</f>
        <v>110330</v>
      </c>
      <c r="V22" s="655">
        <f>+S22+'Inc St'!V30</f>
        <v>110343.33292307693</v>
      </c>
      <c r="W22" s="655">
        <v>109726</v>
      </c>
      <c r="X22" s="655">
        <v>119428</v>
      </c>
      <c r="Y22" s="655">
        <v>127022</v>
      </c>
      <c r="Z22" s="655">
        <v>127748</v>
      </c>
      <c r="AA22" s="655">
        <v>136434</v>
      </c>
      <c r="AB22" s="655">
        <v>136006</v>
      </c>
      <c r="AC22" s="655">
        <f>+AB22+'Inc St'!AC30</f>
        <v>144874</v>
      </c>
      <c r="AD22" s="655">
        <f>+AC22+'Inc St'!AD30</f>
        <v>154352</v>
      </c>
      <c r="AE22" s="655">
        <f>+AD22+'Inc St'!AE30</f>
        <v>164440</v>
      </c>
      <c r="AF22" s="655">
        <f>+AE22+'Inc St'!AF30</f>
        <v>175138</v>
      </c>
      <c r="AG22" s="655">
        <f>+AF22+'Inc St'!AG30</f>
        <v>186446</v>
      </c>
      <c r="AH22" s="655">
        <f>+AG22+'Inc St'!AH30</f>
        <v>198262.33333333334</v>
      </c>
      <c r="AI22" s="655">
        <f>+AH22+'Inc St'!AI30</f>
        <v>210663.28205128206</v>
      </c>
      <c r="AJ22" s="655">
        <f>+AI22+'Inc St'!AJ30</f>
        <v>223648.84615384616</v>
      </c>
      <c r="AK22" s="655">
        <f>+AJ22+'Inc St'!AK30</f>
        <v>237219.02564102566</v>
      </c>
      <c r="AL22" s="655">
        <f>+AK22+'Inc St'!AL30</f>
        <v>251373.82051282053</v>
      </c>
      <c r="AN22" s="648"/>
    </row>
    <row r="23" spans="2:44" s="657" customFormat="1">
      <c r="C23" s="465" t="s">
        <v>293</v>
      </c>
      <c r="E23" s="658">
        <f t="shared" ref="E23:AG23" si="6">E21-E22</f>
        <v>36321</v>
      </c>
      <c r="F23" s="658">
        <f t="shared" si="6"/>
        <v>36327</v>
      </c>
      <c r="G23" s="658">
        <f t="shared" si="6"/>
        <v>37887</v>
      </c>
      <c r="H23" s="658">
        <f t="shared" si="6"/>
        <v>44781</v>
      </c>
      <c r="I23" s="658">
        <f t="shared" si="6"/>
        <v>46858</v>
      </c>
      <c r="J23" s="659">
        <f t="shared" si="6"/>
        <v>50761</v>
      </c>
      <c r="K23" s="658">
        <f t="shared" si="6"/>
        <v>56663</v>
      </c>
      <c r="L23" s="658">
        <f t="shared" si="6"/>
        <v>58384</v>
      </c>
      <c r="M23" s="658">
        <f t="shared" si="6"/>
        <v>56220</v>
      </c>
      <c r="N23" s="658">
        <f t="shared" si="6"/>
        <v>61800.807585502829</v>
      </c>
      <c r="O23" s="658">
        <f t="shared" si="6"/>
        <v>68642</v>
      </c>
      <c r="P23" s="658">
        <f t="shared" si="6"/>
        <v>71821</v>
      </c>
      <c r="Q23" s="658">
        <f t="shared" si="6"/>
        <v>70629</v>
      </c>
      <c r="R23" s="658">
        <f t="shared" si="6"/>
        <v>69470.878740512824</v>
      </c>
      <c r="S23" s="658">
        <f t="shared" si="6"/>
        <v>69962.182587785996</v>
      </c>
      <c r="T23" s="658">
        <f t="shared" si="6"/>
        <v>69653</v>
      </c>
      <c r="U23" s="658">
        <f t="shared" si="6"/>
        <v>77175</v>
      </c>
      <c r="V23" s="658">
        <f t="shared" si="6"/>
        <v>77161.66707692307</v>
      </c>
      <c r="W23" s="658">
        <f t="shared" si="6"/>
        <v>69815</v>
      </c>
      <c r="X23" s="658">
        <f t="shared" si="6"/>
        <v>71599</v>
      </c>
      <c r="Y23" s="658">
        <f t="shared" si="6"/>
        <v>77793</v>
      </c>
      <c r="Z23" s="658">
        <f t="shared" si="6"/>
        <v>73216</v>
      </c>
      <c r="AA23" s="658">
        <f t="shared" si="6"/>
        <v>69540</v>
      </c>
      <c r="AB23" s="658">
        <f t="shared" si="6"/>
        <v>70831</v>
      </c>
      <c r="AC23" s="658">
        <f t="shared" si="6"/>
        <v>68063</v>
      </c>
      <c r="AD23" s="658">
        <f t="shared" si="6"/>
        <v>64685</v>
      </c>
      <c r="AE23" s="658">
        <f t="shared" si="6"/>
        <v>60697</v>
      </c>
      <c r="AF23" s="658">
        <f t="shared" si="6"/>
        <v>56099</v>
      </c>
      <c r="AG23" s="658">
        <f t="shared" si="6"/>
        <v>50891</v>
      </c>
      <c r="AH23" s="658">
        <f>AH21-AH22</f>
        <v>45174.666666666657</v>
      </c>
      <c r="AI23" s="658">
        <f>AI21-AI22</f>
        <v>40373.717948717938</v>
      </c>
      <c r="AJ23" s="658">
        <f>AJ21-AJ22</f>
        <v>34988.153846153844</v>
      </c>
      <c r="AK23" s="658">
        <f>AK21-AK22</f>
        <v>29017.974358974345</v>
      </c>
      <c r="AL23" s="658">
        <f>AL21-AL22</f>
        <v>22463.17948717947</v>
      </c>
      <c r="AM23" s="441"/>
      <c r="AN23" s="648"/>
      <c r="AO23" s="441"/>
      <c r="AP23" s="441"/>
      <c r="AQ23" s="441"/>
      <c r="AR23" s="441"/>
    </row>
    <row r="24" spans="2:44" s="651" customFormat="1">
      <c r="C24" s="446" t="s">
        <v>294</v>
      </c>
      <c r="E24" s="652">
        <v>176</v>
      </c>
      <c r="F24" s="652">
        <v>1909</v>
      </c>
      <c r="G24" s="652">
        <v>1151.3637412470687</v>
      </c>
      <c r="H24" s="652">
        <v>2159.0120740498082</v>
      </c>
      <c r="I24" s="652">
        <v>2604.1428653445901</v>
      </c>
      <c r="J24" s="653">
        <v>2133</v>
      </c>
      <c r="K24" s="652">
        <f>8950.99442678202+1180</f>
        <v>10130.994426782019</v>
      </c>
      <c r="L24" s="652">
        <v>8925</v>
      </c>
      <c r="M24" s="652">
        <v>8772</v>
      </c>
      <c r="N24" s="652">
        <f>8998+809</f>
        <v>9807</v>
      </c>
      <c r="O24" s="652">
        <f>933+8866</f>
        <v>9799</v>
      </c>
      <c r="P24" s="652">
        <v>9573</v>
      </c>
      <c r="Q24" s="652">
        <v>8802</v>
      </c>
      <c r="R24" s="652">
        <v>9573</v>
      </c>
      <c r="S24" s="652">
        <v>8806.0962581679705</v>
      </c>
      <c r="T24" s="652">
        <v>8767</v>
      </c>
      <c r="U24" s="652">
        <f>+S24*0.98</f>
        <v>8629.9743330046113</v>
      </c>
      <c r="V24" s="652">
        <f>+S24*0.98</f>
        <v>8629.9743330046113</v>
      </c>
      <c r="W24" s="652">
        <v>15236.211680707413</v>
      </c>
      <c r="X24" s="652">
        <v>9277</v>
      </c>
      <c r="Y24" s="652">
        <v>8300</v>
      </c>
      <c r="Z24" s="652">
        <v>2069</v>
      </c>
      <c r="AA24" s="652">
        <v>1838</v>
      </c>
      <c r="AB24" s="652">
        <v>2151</v>
      </c>
      <c r="AC24" s="652">
        <f t="shared" ref="AC24:AL24" si="7">+AB24*0.99</f>
        <v>2129.4899999999998</v>
      </c>
      <c r="AD24" s="652">
        <f t="shared" si="7"/>
        <v>2108.1950999999999</v>
      </c>
      <c r="AE24" s="652">
        <f t="shared" si="7"/>
        <v>2087.1131489999998</v>
      </c>
      <c r="AF24" s="652">
        <f t="shared" si="7"/>
        <v>2066.2420175099996</v>
      </c>
      <c r="AG24" s="652">
        <f t="shared" si="7"/>
        <v>2045.5795973348995</v>
      </c>
      <c r="AH24" s="652">
        <f t="shared" si="7"/>
        <v>2025.1238013615505</v>
      </c>
      <c r="AI24" s="652">
        <f t="shared" si="7"/>
        <v>2004.8725633479351</v>
      </c>
      <c r="AJ24" s="652">
        <f t="shared" si="7"/>
        <v>1984.8238377144557</v>
      </c>
      <c r="AK24" s="652">
        <f t="shared" si="7"/>
        <v>1964.9755993373112</v>
      </c>
      <c r="AL24" s="652">
        <f t="shared" si="7"/>
        <v>1945.325843343938</v>
      </c>
      <c r="AM24" s="441"/>
      <c r="AN24" s="648"/>
      <c r="AO24" s="441"/>
      <c r="AP24" s="441"/>
      <c r="AQ24" s="441"/>
      <c r="AR24" s="441"/>
    </row>
    <row r="25" spans="2:44" ht="14" thickBot="1">
      <c r="C25" s="446"/>
      <c r="D25" s="446"/>
      <c r="E25" s="660">
        <f t="shared" ref="E25:AG25" si="8">E24+E23+E18+E16</f>
        <v>92324.254761760109</v>
      </c>
      <c r="F25" s="660">
        <f t="shared" si="8"/>
        <v>116579.73402503249</v>
      </c>
      <c r="G25" s="660">
        <f t="shared" si="8"/>
        <v>138758.11218997565</v>
      </c>
      <c r="H25" s="660">
        <f t="shared" si="8"/>
        <v>167480.07071357899</v>
      </c>
      <c r="I25" s="660">
        <f t="shared" si="8"/>
        <v>198912.98108539748</v>
      </c>
      <c r="J25" s="661">
        <f t="shared" si="8"/>
        <v>183949</v>
      </c>
      <c r="K25" s="660">
        <f t="shared" si="8"/>
        <v>202658.03332439106</v>
      </c>
      <c r="L25" s="660">
        <f t="shared" si="8"/>
        <v>212546</v>
      </c>
      <c r="M25" s="660">
        <f t="shared" si="8"/>
        <v>208088.83642909396</v>
      </c>
      <c r="N25" s="660">
        <f t="shared" si="8"/>
        <v>227548.8605127148</v>
      </c>
      <c r="O25" s="660">
        <f t="shared" si="8"/>
        <v>262291.84489037888</v>
      </c>
      <c r="P25" s="660">
        <f t="shared" si="8"/>
        <v>284511.4748077991</v>
      </c>
      <c r="Q25" s="660">
        <f t="shared" si="8"/>
        <v>301716.45803153131</v>
      </c>
      <c r="R25" s="660">
        <f t="shared" si="8"/>
        <v>297889.71277919243</v>
      </c>
      <c r="S25" s="660">
        <f t="shared" si="8"/>
        <v>265424.32732942881</v>
      </c>
      <c r="T25" s="660">
        <f t="shared" si="8"/>
        <v>268369.40000000002</v>
      </c>
      <c r="U25" s="660">
        <f t="shared" si="8"/>
        <v>269235.73763745918</v>
      </c>
      <c r="V25" s="660">
        <f t="shared" si="8"/>
        <v>268037.20624258142</v>
      </c>
      <c r="W25" s="660">
        <f t="shared" si="8"/>
        <v>269418.86128018814</v>
      </c>
      <c r="X25" s="660">
        <f t="shared" si="8"/>
        <v>261075</v>
      </c>
      <c r="Y25" s="660">
        <f t="shared" si="8"/>
        <v>291434</v>
      </c>
      <c r="Z25" s="660">
        <f t="shared" si="8"/>
        <v>266621</v>
      </c>
      <c r="AA25" s="660">
        <f t="shared" si="8"/>
        <v>283230</v>
      </c>
      <c r="AB25" s="660">
        <f t="shared" si="8"/>
        <v>274967</v>
      </c>
      <c r="AC25" s="660">
        <f t="shared" si="8"/>
        <v>291468.10964983213</v>
      </c>
      <c r="AD25" s="660">
        <f t="shared" si="8"/>
        <v>292180.92425008828</v>
      </c>
      <c r="AE25" s="660">
        <f t="shared" si="8"/>
        <v>290776.45386063575</v>
      </c>
      <c r="AF25" s="660">
        <f t="shared" si="8"/>
        <v>292589.83654252038</v>
      </c>
      <c r="AG25" s="660">
        <f t="shared" si="8"/>
        <v>297930.06693228439</v>
      </c>
      <c r="AH25" s="660">
        <f>AH24+AH23+AH18+AH16</f>
        <v>313118.2028708412</v>
      </c>
      <c r="AI25" s="660">
        <f>AI24+AI23+AI18+AI16</f>
        <v>330781.44609523658</v>
      </c>
      <c r="AJ25" s="660">
        <f>AJ24+AJ23+AJ18+AJ16</f>
        <v>350804.48789636395</v>
      </c>
      <c r="AK25" s="660">
        <f>AK24+AK23+AK18+AK16</f>
        <v>373371.86158884515</v>
      </c>
      <c r="AL25" s="660">
        <f>AL24+AL23+AL18+AL16</f>
        <v>398493.25210179843</v>
      </c>
      <c r="AN25" s="648"/>
    </row>
    <row r="26" spans="2:44" ht="14" thickTop="1">
      <c r="C26" s="446"/>
      <c r="D26" s="446"/>
      <c r="E26" s="646"/>
      <c r="F26" s="646"/>
      <c r="G26" s="646"/>
      <c r="H26" s="646"/>
      <c r="I26" s="646"/>
      <c r="J26" s="645"/>
      <c r="K26" s="646"/>
      <c r="L26" s="646"/>
      <c r="M26" s="646"/>
      <c r="N26" s="646"/>
      <c r="O26" s="646"/>
      <c r="P26" s="646"/>
      <c r="Q26" s="646"/>
      <c r="R26" s="646"/>
      <c r="S26" s="646"/>
      <c r="T26" s="646"/>
      <c r="U26" s="646"/>
      <c r="V26" s="646"/>
      <c r="W26" s="646"/>
      <c r="X26" s="646"/>
      <c r="Y26" s="646"/>
      <c r="Z26" s="646"/>
      <c r="AA26" s="646"/>
      <c r="AB26" s="646"/>
      <c r="AC26" s="646"/>
      <c r="AD26" s="646"/>
      <c r="AE26" s="646"/>
      <c r="AF26" s="646"/>
      <c r="AG26" s="646"/>
      <c r="AH26" s="646"/>
      <c r="AI26" s="646"/>
      <c r="AJ26" s="646"/>
      <c r="AK26" s="646"/>
      <c r="AL26" s="646"/>
      <c r="AN26" s="648"/>
    </row>
    <row r="27" spans="2:44" ht="16">
      <c r="C27" s="526" t="s">
        <v>295</v>
      </c>
      <c r="D27" s="446"/>
      <c r="E27" s="646"/>
      <c r="F27" s="646"/>
      <c r="G27" s="646"/>
      <c r="H27" s="646"/>
      <c r="I27" s="646"/>
      <c r="J27" s="645"/>
      <c r="K27" s="646"/>
      <c r="L27" s="646"/>
      <c r="M27" s="646"/>
      <c r="N27" s="646"/>
      <c r="O27" s="646"/>
      <c r="P27" s="646"/>
      <c r="Q27" s="646"/>
      <c r="R27" s="646"/>
      <c r="S27" s="646"/>
      <c r="T27" s="646"/>
      <c r="U27" s="646"/>
      <c r="V27" s="646"/>
      <c r="W27" s="646"/>
      <c r="X27" s="646"/>
      <c r="Y27" s="646"/>
      <c r="Z27" s="646"/>
      <c r="AA27" s="646"/>
      <c r="AB27" s="646"/>
      <c r="AC27" s="646"/>
      <c r="AD27" s="646"/>
      <c r="AE27" s="646"/>
      <c r="AF27" s="646"/>
      <c r="AG27" s="646"/>
      <c r="AH27" s="646"/>
      <c r="AI27" s="646"/>
      <c r="AJ27" s="646"/>
      <c r="AK27" s="646"/>
      <c r="AL27" s="646"/>
      <c r="AN27" s="648"/>
    </row>
    <row r="28" spans="2:44">
      <c r="C28" s="465" t="s">
        <v>296</v>
      </c>
      <c r="D28" s="446"/>
      <c r="E28" s="646"/>
      <c r="F28" s="646"/>
      <c r="G28" s="646"/>
      <c r="H28" s="646"/>
      <c r="I28" s="646"/>
      <c r="J28" s="645"/>
      <c r="K28" s="646"/>
      <c r="L28" s="646"/>
      <c r="M28" s="646"/>
      <c r="N28" s="646"/>
      <c r="O28" s="646"/>
      <c r="P28" s="646"/>
      <c r="Q28" s="646"/>
      <c r="R28" s="646"/>
      <c r="S28" s="646"/>
      <c r="T28" s="646"/>
      <c r="U28" s="646"/>
      <c r="V28" s="646"/>
      <c r="W28" s="646"/>
      <c r="X28" s="646"/>
      <c r="Y28" s="646"/>
      <c r="Z28" s="646"/>
      <c r="AA28" s="646"/>
      <c r="AB28" s="646"/>
      <c r="AC28" s="646"/>
      <c r="AD28" s="646"/>
      <c r="AE28" s="646"/>
      <c r="AF28" s="646"/>
      <c r="AG28" s="646"/>
      <c r="AH28" s="646"/>
      <c r="AI28" s="646"/>
      <c r="AJ28" s="646"/>
      <c r="AK28" s="646"/>
      <c r="AL28" s="646"/>
      <c r="AN28" s="648"/>
    </row>
    <row r="29" spans="2:44">
      <c r="C29" s="446" t="s">
        <v>297</v>
      </c>
      <c r="E29" s="646">
        <v>12224</v>
      </c>
      <c r="F29" s="646">
        <v>18474</v>
      </c>
      <c r="G29" s="646">
        <v>24509.93592255254</v>
      </c>
      <c r="H29" s="646">
        <v>27433.634151590431</v>
      </c>
      <c r="I29" s="646">
        <v>24457.4</v>
      </c>
      <c r="J29" s="645">
        <v>20238</v>
      </c>
      <c r="K29" s="646">
        <v>21857.996383548721</v>
      </c>
      <c r="L29" s="646">
        <v>28565</v>
      </c>
      <c r="M29" s="646">
        <f>(M71/365)*'Inc St'!M7</f>
        <v>23566.192781284572</v>
      </c>
      <c r="N29" s="646">
        <v>16997.252459301544</v>
      </c>
      <c r="O29" s="646">
        <v>19026.337134525122</v>
      </c>
      <c r="P29" s="646">
        <v>20553</v>
      </c>
      <c r="Q29" s="646">
        <v>23617</v>
      </c>
      <c r="R29" s="646">
        <v>20553</v>
      </c>
      <c r="S29" s="646">
        <v>17623.7702014143</v>
      </c>
      <c r="T29" s="646">
        <v>24245</v>
      </c>
      <c r="U29" s="646">
        <f>(U71/365)*'Inc St'!U7</f>
        <v>23608.961643835617</v>
      </c>
      <c r="V29" s="646">
        <f>(V71/365)*'Inc St'!V7</f>
        <v>29961.719725605901</v>
      </c>
      <c r="W29" s="646">
        <v>24310.538755761547</v>
      </c>
      <c r="X29" s="646">
        <v>26673</v>
      </c>
      <c r="Y29" s="646">
        <v>30891</v>
      </c>
      <c r="Z29" s="646">
        <v>28409</v>
      </c>
      <c r="AA29" s="646">
        <v>27102</v>
      </c>
      <c r="AB29" s="646">
        <v>16823</v>
      </c>
      <c r="AC29" s="647">
        <f>(AC71/365)*'Inc St'!AC7</f>
        <v>37110.588996274535</v>
      </c>
      <c r="AD29" s="646">
        <f>(AD71/365)*'Inc St'!AD7</f>
        <v>40371.984718354652</v>
      </c>
      <c r="AE29" s="646">
        <f>(AE71/365)*'Inc St'!AE7</f>
        <v>44791.36490477078</v>
      </c>
      <c r="AF29" s="646">
        <f>(AF71/365)*'Inc St'!AF7</f>
        <v>49765.802790620044</v>
      </c>
      <c r="AG29" s="646">
        <f>(AG71/365)*'Inc St'!AG7</f>
        <v>55377.078443840684</v>
      </c>
      <c r="AH29" s="646">
        <f>(AH71/365)*'Inc St'!AH7</f>
        <v>59407.183596467097</v>
      </c>
      <c r="AI29" s="646">
        <f>(AI71/365)*'Inc St'!AI7</f>
        <v>64201.541529742171</v>
      </c>
      <c r="AJ29" s="646">
        <f>(AJ71/365)*'Inc St'!AJ7</f>
        <v>69548.054404913884</v>
      </c>
      <c r="AK29" s="646">
        <f>(AK71/365)*'Inc St'!AK7</f>
        <v>75528.977844064299</v>
      </c>
      <c r="AL29" s="646">
        <f>(AL71/365)*'Inc St'!AL7</f>
        <v>82240.588377594409</v>
      </c>
      <c r="AN29" s="648"/>
    </row>
    <row r="30" spans="2:44" s="477" customFormat="1">
      <c r="B30" s="441"/>
      <c r="C30" s="448" t="s">
        <v>298</v>
      </c>
      <c r="E30" s="646">
        <v>7174</v>
      </c>
      <c r="F30" s="646">
        <v>12072</v>
      </c>
      <c r="G30" s="646">
        <v>16972.987993960582</v>
      </c>
      <c r="H30" s="646">
        <v>14199.759003724892</v>
      </c>
      <c r="I30" s="646">
        <v>11005</v>
      </c>
      <c r="J30" s="645">
        <v>4279</v>
      </c>
      <c r="K30" s="646">
        <v>17389.601138897982</v>
      </c>
      <c r="L30" s="646">
        <v>15494</v>
      </c>
      <c r="M30" s="646">
        <f>+M94</f>
        <v>18690</v>
      </c>
      <c r="N30" s="646">
        <v>26434.511856018646</v>
      </c>
      <c r="O30" s="646">
        <v>42978.815205944753</v>
      </c>
      <c r="P30" s="646">
        <f>+BS!P94</f>
        <v>48516</v>
      </c>
      <c r="Q30" s="646">
        <f>+BS!Q94</f>
        <v>60221</v>
      </c>
      <c r="R30" s="646">
        <f>+BS!R94</f>
        <v>59721</v>
      </c>
      <c r="S30" s="646">
        <v>30851.987840847502</v>
      </c>
      <c r="T30" s="646">
        <v>36965</v>
      </c>
      <c r="U30" s="646">
        <f>+BS!U94</f>
        <v>36965</v>
      </c>
      <c r="V30" s="646">
        <f>+BS!V94</f>
        <v>36595</v>
      </c>
      <c r="W30" s="646">
        <v>29710.085770426125</v>
      </c>
      <c r="X30" s="646">
        <v>6331</v>
      </c>
      <c r="Y30" s="646">
        <v>20917</v>
      </c>
      <c r="Z30" s="646">
        <v>7655</v>
      </c>
      <c r="AA30" s="646">
        <v>7545</v>
      </c>
      <c r="AB30" s="646">
        <v>15568</v>
      </c>
      <c r="AC30" s="646">
        <f>+BS!AC94</f>
        <v>14568</v>
      </c>
      <c r="AD30" s="646">
        <f>+BS!AD94</f>
        <v>13568</v>
      </c>
      <c r="AE30" s="646">
        <f>+BS!AE94</f>
        <v>12568</v>
      </c>
      <c r="AF30" s="646">
        <f>+BS!AF94</f>
        <v>11568</v>
      </c>
      <c r="AG30" s="646">
        <f>+BS!AG94</f>
        <v>10568</v>
      </c>
      <c r="AH30" s="646">
        <f>+BS!AH94</f>
        <v>9568</v>
      </c>
      <c r="AI30" s="646">
        <f>+BS!AI94</f>
        <v>8568</v>
      </c>
      <c r="AJ30" s="646">
        <f>+BS!AJ94</f>
        <v>7568</v>
      </c>
      <c r="AK30" s="646">
        <f>+BS!AK94</f>
        <v>6568</v>
      </c>
      <c r="AL30" s="646">
        <f>+BS!AL94</f>
        <v>5568</v>
      </c>
      <c r="AM30" s="441"/>
      <c r="AN30" s="648"/>
      <c r="AO30" s="441"/>
      <c r="AP30" s="441"/>
      <c r="AQ30" s="441"/>
      <c r="AR30" s="441"/>
    </row>
    <row r="31" spans="2:44">
      <c r="C31" s="446" t="s">
        <v>299</v>
      </c>
      <c r="E31" s="646">
        <v>8719</v>
      </c>
      <c r="F31" s="646">
        <v>14707</v>
      </c>
      <c r="G31" s="646">
        <v>16303.861804419266</v>
      </c>
      <c r="H31" s="646">
        <v>17901.737862519178</v>
      </c>
      <c r="I31" s="646">
        <v>20951.400000000001</v>
      </c>
      <c r="J31" s="645">
        <v>17976</v>
      </c>
      <c r="K31" s="646">
        <v>18558.768962221497</v>
      </c>
      <c r="L31" s="646">
        <v>17726</v>
      </c>
      <c r="M31" s="646">
        <f>20517-2994-275-924</f>
        <v>16324</v>
      </c>
      <c r="N31" s="646">
        <v>18840.855248358726</v>
      </c>
      <c r="O31" s="646">
        <v>22207.00055403847</v>
      </c>
      <c r="P31" s="646">
        <v>24794</v>
      </c>
      <c r="Q31" s="646">
        <v>28732</v>
      </c>
      <c r="R31" s="646">
        <v>24794</v>
      </c>
      <c r="S31" s="646">
        <v>24305.584727028501</v>
      </c>
      <c r="T31" s="646">
        <v>17604</v>
      </c>
      <c r="U31" s="646">
        <f>+S31*0.92</f>
        <v>22361.137948866221</v>
      </c>
      <c r="V31" s="646">
        <f>+S31*0.92</f>
        <v>22361.137948866221</v>
      </c>
      <c r="W31" s="646">
        <v>25739.236754000467</v>
      </c>
      <c r="X31" s="646">
        <v>11351</v>
      </c>
      <c r="Y31" s="646">
        <v>12058</v>
      </c>
      <c r="Z31" s="646">
        <v>13005</v>
      </c>
      <c r="AA31" s="646">
        <v>9193</v>
      </c>
      <c r="AB31" s="646">
        <v>16911</v>
      </c>
      <c r="AC31" s="646">
        <f t="shared" ref="AC31:AL31" si="9">+AB31*0.98</f>
        <v>16572.78</v>
      </c>
      <c r="AD31" s="646">
        <f t="shared" si="9"/>
        <v>16241.324399999998</v>
      </c>
      <c r="AE31" s="646">
        <f t="shared" si="9"/>
        <v>15916.497911999997</v>
      </c>
      <c r="AF31" s="646">
        <f t="shared" si="9"/>
        <v>15598.167953759998</v>
      </c>
      <c r="AG31" s="646">
        <f t="shared" si="9"/>
        <v>15286.204594684797</v>
      </c>
      <c r="AH31" s="646">
        <f t="shared" si="9"/>
        <v>14980.480502791101</v>
      </c>
      <c r="AI31" s="646">
        <f t="shared" si="9"/>
        <v>14680.870892735278</v>
      </c>
      <c r="AJ31" s="646">
        <f t="shared" si="9"/>
        <v>14387.253474880572</v>
      </c>
      <c r="AK31" s="646">
        <f t="shared" si="9"/>
        <v>14099.50840538296</v>
      </c>
      <c r="AL31" s="646">
        <f t="shared" si="9"/>
        <v>13817.518237275301</v>
      </c>
      <c r="AN31" s="648"/>
    </row>
    <row r="32" spans="2:44">
      <c r="C32" s="446" t="s">
        <v>300</v>
      </c>
      <c r="E32" s="649">
        <v>239</v>
      </c>
      <c r="F32" s="649">
        <v>188</v>
      </c>
      <c r="G32" s="649">
        <v>1683.4196113910027</v>
      </c>
      <c r="H32" s="649">
        <v>3772.3356321375536</v>
      </c>
      <c r="I32" s="649">
        <v>6660.4</v>
      </c>
      <c r="J32" s="650">
        <v>3906</v>
      </c>
      <c r="K32" s="649">
        <v>-821.57452955828205</v>
      </c>
      <c r="L32" s="649">
        <v>756</v>
      </c>
      <c r="M32" s="649">
        <v>1350</v>
      </c>
      <c r="N32" s="649">
        <v>-496.5241271143658</v>
      </c>
      <c r="O32" s="649">
        <v>3106.0092168618435</v>
      </c>
      <c r="P32" s="649">
        <v>1072</v>
      </c>
      <c r="Q32" s="649">
        <f>1815-1</f>
        <v>1814</v>
      </c>
      <c r="R32" s="649">
        <v>1610</v>
      </c>
      <c r="S32" s="649">
        <v>6507.86130221855</v>
      </c>
      <c r="T32" s="649">
        <v>1955.4</v>
      </c>
      <c r="U32" s="649">
        <v>1215</v>
      </c>
      <c r="V32" s="649">
        <v>1215</v>
      </c>
      <c r="W32" s="649">
        <v>1582</v>
      </c>
      <c r="X32" s="649">
        <v>-2157</v>
      </c>
      <c r="Y32" s="649">
        <v>1215</v>
      </c>
      <c r="Z32" s="649">
        <v>-2187</v>
      </c>
      <c r="AA32" s="649">
        <v>-3199</v>
      </c>
      <c r="AB32" s="649">
        <v>-1254</v>
      </c>
      <c r="AC32" s="649">
        <f t="shared" ref="AC32:AL32" si="10">+AB32*1.05</f>
        <v>-1316.7</v>
      </c>
      <c r="AD32" s="649">
        <f t="shared" si="10"/>
        <v>-1382.5350000000001</v>
      </c>
      <c r="AE32" s="649">
        <f t="shared" si="10"/>
        <v>-1451.6617500000002</v>
      </c>
      <c r="AF32" s="649">
        <f t="shared" si="10"/>
        <v>-1524.2448375000004</v>
      </c>
      <c r="AG32" s="649">
        <f t="shared" si="10"/>
        <v>-1600.4570793750004</v>
      </c>
      <c r="AH32" s="649">
        <f t="shared" si="10"/>
        <v>-1680.4799333437504</v>
      </c>
      <c r="AI32" s="649">
        <f t="shared" si="10"/>
        <v>-1764.5039300109381</v>
      </c>
      <c r="AJ32" s="649">
        <f t="shared" si="10"/>
        <v>-1852.729126511485</v>
      </c>
      <c r="AK32" s="649">
        <f t="shared" si="10"/>
        <v>-1945.3655828370593</v>
      </c>
      <c r="AL32" s="649">
        <f t="shared" si="10"/>
        <v>-2042.6338619789124</v>
      </c>
      <c r="AN32" s="648"/>
    </row>
    <row r="33" spans="3:44" s="657" customFormat="1">
      <c r="C33" s="465" t="s">
        <v>301</v>
      </c>
      <c r="E33" s="658">
        <f t="shared" ref="E33:N33" si="11">SUM(E29:E32)</f>
        <v>28356</v>
      </c>
      <c r="F33" s="658">
        <f t="shared" si="11"/>
        <v>45441</v>
      </c>
      <c r="G33" s="658">
        <f t="shared" si="11"/>
        <v>59470.205332323385</v>
      </c>
      <c r="H33" s="658">
        <f t="shared" si="11"/>
        <v>63307.466649972055</v>
      </c>
      <c r="I33" s="658">
        <f t="shared" si="11"/>
        <v>63074.200000000004</v>
      </c>
      <c r="J33" s="659">
        <f t="shared" si="11"/>
        <v>46399</v>
      </c>
      <c r="K33" s="658">
        <f t="shared" si="11"/>
        <v>56984.791955109918</v>
      </c>
      <c r="L33" s="658">
        <f t="shared" si="11"/>
        <v>62541</v>
      </c>
      <c r="M33" s="658">
        <f t="shared" si="11"/>
        <v>59930.192781284568</v>
      </c>
      <c r="N33" s="658">
        <f t="shared" si="11"/>
        <v>61776.095436564552</v>
      </c>
      <c r="O33" s="658">
        <f t="shared" ref="O33:AG33" si="12">SUM(O29:O32)</f>
        <v>87318.162111370184</v>
      </c>
      <c r="P33" s="658">
        <f t="shared" si="12"/>
        <v>94935</v>
      </c>
      <c r="Q33" s="658">
        <f t="shared" si="12"/>
        <v>114384</v>
      </c>
      <c r="R33" s="658">
        <f t="shared" si="12"/>
        <v>106678</v>
      </c>
      <c r="S33" s="658">
        <f t="shared" si="12"/>
        <v>79289.204071508851</v>
      </c>
      <c r="T33" s="658">
        <f t="shared" si="12"/>
        <v>80769.399999999994</v>
      </c>
      <c r="U33" s="658">
        <f t="shared" si="12"/>
        <v>84150.099592701838</v>
      </c>
      <c r="V33" s="658">
        <f t="shared" si="12"/>
        <v>90132.857674472121</v>
      </c>
      <c r="W33" s="658">
        <f t="shared" si="12"/>
        <v>81341.861280188139</v>
      </c>
      <c r="X33" s="658">
        <f t="shared" si="12"/>
        <v>42198</v>
      </c>
      <c r="Y33" s="658">
        <f t="shared" si="12"/>
        <v>65081</v>
      </c>
      <c r="Z33" s="658">
        <f t="shared" si="12"/>
        <v>46882</v>
      </c>
      <c r="AA33" s="658">
        <f t="shared" si="12"/>
        <v>40641</v>
      </c>
      <c r="AB33" s="658">
        <f t="shared" si="12"/>
        <v>48048</v>
      </c>
      <c r="AC33" s="658">
        <f t="shared" si="12"/>
        <v>66934.668996274544</v>
      </c>
      <c r="AD33" s="658">
        <f t="shared" si="12"/>
        <v>68798.774118354646</v>
      </c>
      <c r="AE33" s="658">
        <f t="shared" si="12"/>
        <v>71824.20106677078</v>
      </c>
      <c r="AF33" s="658">
        <f t="shared" si="12"/>
        <v>75407.725906880049</v>
      </c>
      <c r="AG33" s="658">
        <f t="shared" si="12"/>
        <v>79630.825959150476</v>
      </c>
      <c r="AH33" s="658">
        <f>SUM(AH29:AH32)</f>
        <v>82275.184165914456</v>
      </c>
      <c r="AI33" s="658">
        <f>SUM(AI29:AI32)</f>
        <v>85685.908492466508</v>
      </c>
      <c r="AJ33" s="658">
        <f>SUM(AJ29:AJ32)</f>
        <v>89650.578753282971</v>
      </c>
      <c r="AK33" s="658">
        <f>SUM(AK29:AK32)</f>
        <v>94251.120666610208</v>
      </c>
      <c r="AL33" s="658">
        <f>SUM(AL29:AL32)</f>
        <v>99583.472752890797</v>
      </c>
      <c r="AM33" s="441"/>
      <c r="AN33" s="648"/>
      <c r="AO33" s="441"/>
      <c r="AP33" s="441"/>
      <c r="AQ33" s="441"/>
      <c r="AR33" s="441"/>
    </row>
    <row r="34" spans="3:44" ht="6" customHeight="1">
      <c r="C34" s="446"/>
      <c r="D34" s="662" t="s">
        <v>302</v>
      </c>
      <c r="E34" s="646"/>
      <c r="F34" s="646"/>
      <c r="G34" s="646"/>
      <c r="H34" s="646"/>
      <c r="I34" s="646"/>
      <c r="J34" s="645"/>
      <c r="K34" s="646"/>
      <c r="L34" s="646"/>
      <c r="M34" s="646"/>
      <c r="N34" s="646"/>
      <c r="O34" s="646"/>
      <c r="P34" s="646"/>
      <c r="Q34" s="646"/>
      <c r="R34" s="646"/>
      <c r="S34" s="646"/>
      <c r="T34" s="646"/>
      <c r="U34" s="646"/>
      <c r="V34" s="646"/>
      <c r="W34" s="646"/>
      <c r="X34" s="646"/>
      <c r="Y34" s="646"/>
      <c r="Z34" s="646"/>
      <c r="AA34" s="646"/>
      <c r="AB34" s="646"/>
      <c r="AC34" s="646"/>
      <c r="AD34" s="646"/>
      <c r="AE34" s="646"/>
      <c r="AF34" s="646"/>
      <c r="AG34" s="646"/>
      <c r="AH34" s="646"/>
      <c r="AI34" s="646"/>
      <c r="AJ34" s="646"/>
      <c r="AK34" s="646"/>
      <c r="AL34" s="646"/>
      <c r="AN34" s="648"/>
    </row>
    <row r="35" spans="3:44">
      <c r="C35" s="446" t="s">
        <v>303</v>
      </c>
      <c r="D35" s="446"/>
      <c r="E35" s="646">
        <v>12827</v>
      </c>
      <c r="F35" s="646">
        <v>14841</v>
      </c>
      <c r="G35" s="646">
        <v>12583.289802508127</v>
      </c>
      <c r="H35" s="646">
        <v>21757.680635853121</v>
      </c>
      <c r="I35" s="646">
        <v>20414.400000000001</v>
      </c>
      <c r="J35" s="645">
        <v>19239</v>
      </c>
      <c r="K35" s="646">
        <v>24551.282792315666</v>
      </c>
      <c r="L35" s="646">
        <v>24358</v>
      </c>
      <c r="M35" s="646">
        <f>+BS!M98</f>
        <v>22461</v>
      </c>
      <c r="N35" s="646">
        <v>38520.158153891978</v>
      </c>
      <c r="O35" s="646">
        <v>42707.139708777555</v>
      </c>
      <c r="P35" s="646">
        <f>+BS!P98</f>
        <v>49270</v>
      </c>
      <c r="Q35" s="646">
        <f>+BS!Q98</f>
        <v>47442</v>
      </c>
      <c r="R35" s="646">
        <f>+BS!R98</f>
        <v>44722</v>
      </c>
      <c r="S35" s="646">
        <v>68469.002672367234</v>
      </c>
      <c r="T35" s="646">
        <v>72153</v>
      </c>
      <c r="U35" s="646">
        <f>+BS!U98</f>
        <v>61953</v>
      </c>
      <c r="V35" s="646">
        <f>+BS!V98</f>
        <v>62686</v>
      </c>
      <c r="W35" s="646">
        <v>71151</v>
      </c>
      <c r="X35" s="646">
        <v>87657</v>
      </c>
      <c r="Y35" s="646">
        <v>77353</v>
      </c>
      <c r="Z35" s="646">
        <f>90268</f>
        <v>90268</v>
      </c>
      <c r="AA35" s="646">
        <f>87897-11032</f>
        <v>76865</v>
      </c>
      <c r="AB35" s="647">
        <v>91983</v>
      </c>
      <c r="AC35" s="646">
        <f>+BS!AC98</f>
        <v>82805</v>
      </c>
      <c r="AD35" s="646">
        <f>+BS!AD98</f>
        <v>73627</v>
      </c>
      <c r="AE35" s="646">
        <f>+BS!AE98</f>
        <v>58713</v>
      </c>
      <c r="AF35" s="646">
        <f>+BS!AF98</f>
        <v>43799</v>
      </c>
      <c r="AG35" s="646">
        <f>+BS!AG98</f>
        <v>28885</v>
      </c>
      <c r="AH35" s="646">
        <f>+BS!AH98</f>
        <v>23149</v>
      </c>
      <c r="AI35" s="646">
        <f>+BS!AI98</f>
        <v>17413</v>
      </c>
      <c r="AJ35" s="646">
        <f>+BS!AJ98</f>
        <v>11677</v>
      </c>
      <c r="AK35" s="646">
        <f>+BS!AK98</f>
        <v>5941</v>
      </c>
      <c r="AL35" s="646">
        <f>+BS!AL98</f>
        <v>0</v>
      </c>
      <c r="AN35" s="648"/>
    </row>
    <row r="36" spans="3:44">
      <c r="C36" s="446" t="s">
        <v>304</v>
      </c>
      <c r="D36" s="446"/>
      <c r="E36" s="646">
        <f>2004+2001</f>
        <v>4005</v>
      </c>
      <c r="F36" s="646">
        <f>2159+2208</f>
        <v>4367</v>
      </c>
      <c r="G36" s="646">
        <v>4116</v>
      </c>
      <c r="H36" s="646">
        <v>2895</v>
      </c>
      <c r="I36" s="646">
        <v>2683.4</v>
      </c>
      <c r="J36" s="645">
        <v>1495</v>
      </c>
      <c r="K36" s="646">
        <v>-1219</v>
      </c>
      <c r="L36" s="646">
        <v>712</v>
      </c>
      <c r="M36" s="646">
        <v>1150</v>
      </c>
      <c r="N36" s="646">
        <v>1246</v>
      </c>
      <c r="O36" s="646">
        <v>1485</v>
      </c>
      <c r="P36" s="646">
        <v>870</v>
      </c>
      <c r="Q36" s="646">
        <v>-265</v>
      </c>
      <c r="R36" s="646">
        <v>870</v>
      </c>
      <c r="S36" s="646">
        <v>4152</v>
      </c>
      <c r="T36" s="646">
        <v>-3793</v>
      </c>
      <c r="U36" s="646">
        <f>+O36*1.02</f>
        <v>1514.7</v>
      </c>
      <c r="V36" s="646">
        <f>+O36*1.02</f>
        <v>1514.7</v>
      </c>
      <c r="W36" s="646">
        <f>4237-7932</f>
        <v>-3695</v>
      </c>
      <c r="X36" s="646">
        <f>-5829+4139</f>
        <v>-1690</v>
      </c>
      <c r="Y36" s="646">
        <f>-7653+5335</f>
        <v>-2318</v>
      </c>
      <c r="Z36" s="646">
        <f>-9397+4264</f>
        <v>-5133</v>
      </c>
      <c r="AA36" s="646">
        <v>5335</v>
      </c>
      <c r="AB36" s="646">
        <f>-9630+4991</f>
        <v>-4639</v>
      </c>
      <c r="AC36" s="646">
        <f t="shared" ref="AC36:AL36" si="13">+AB36*1.02</f>
        <v>-4731.78</v>
      </c>
      <c r="AD36" s="646">
        <f t="shared" si="13"/>
        <v>-4826.4156000000003</v>
      </c>
      <c r="AE36" s="646">
        <f t="shared" si="13"/>
        <v>-4922.9439120000006</v>
      </c>
      <c r="AF36" s="646">
        <f t="shared" si="13"/>
        <v>-5021.4027902400003</v>
      </c>
      <c r="AG36" s="646">
        <f t="shared" si="13"/>
        <v>-5121.8308460448006</v>
      </c>
      <c r="AH36" s="646">
        <f t="shared" si="13"/>
        <v>-5224.2674629656967</v>
      </c>
      <c r="AI36" s="646">
        <f t="shared" si="13"/>
        <v>-5328.7528122250105</v>
      </c>
      <c r="AJ36" s="646">
        <f t="shared" si="13"/>
        <v>-5435.3278684695106</v>
      </c>
      <c r="AK36" s="646">
        <f t="shared" si="13"/>
        <v>-5544.0344258389005</v>
      </c>
      <c r="AL36" s="646">
        <f t="shared" si="13"/>
        <v>-5654.9151143556783</v>
      </c>
      <c r="AN36" s="648"/>
    </row>
    <row r="37" spans="3:44" ht="5.25" customHeight="1">
      <c r="C37" s="446"/>
      <c r="D37" s="446"/>
      <c r="E37" s="649"/>
      <c r="F37" s="649"/>
      <c r="G37" s="649"/>
      <c r="H37" s="649"/>
      <c r="I37" s="649"/>
      <c r="J37" s="650"/>
      <c r="K37" s="649"/>
      <c r="L37" s="649"/>
      <c r="M37" s="649"/>
      <c r="N37" s="649"/>
      <c r="O37" s="649"/>
      <c r="P37" s="649"/>
      <c r="Q37" s="649"/>
      <c r="R37" s="649"/>
      <c r="S37" s="649"/>
      <c r="T37" s="649"/>
      <c r="U37" s="649"/>
      <c r="V37" s="649"/>
      <c r="W37" s="649"/>
      <c r="X37" s="649"/>
      <c r="Y37" s="649"/>
      <c r="Z37" s="649"/>
      <c r="AA37" s="649"/>
      <c r="AB37" s="649"/>
      <c r="AC37" s="649"/>
      <c r="AD37" s="649"/>
      <c r="AE37" s="649"/>
      <c r="AF37" s="649"/>
      <c r="AG37" s="649"/>
      <c r="AH37" s="649"/>
      <c r="AI37" s="649"/>
      <c r="AJ37" s="649"/>
      <c r="AK37" s="649"/>
      <c r="AL37" s="649"/>
      <c r="AN37" s="648"/>
    </row>
    <row r="38" spans="3:44">
      <c r="C38" s="465" t="s">
        <v>152</v>
      </c>
      <c r="D38" s="446"/>
      <c r="E38" s="663">
        <f t="shared" ref="E38:AG38" si="14">E33+E35+E36</f>
        <v>45188</v>
      </c>
      <c r="F38" s="663">
        <f t="shared" si="14"/>
        <v>64649</v>
      </c>
      <c r="G38" s="663">
        <f t="shared" si="14"/>
        <v>76169.495134831508</v>
      </c>
      <c r="H38" s="663">
        <f t="shared" si="14"/>
        <v>87960.14728582518</v>
      </c>
      <c r="I38" s="663">
        <f t="shared" si="14"/>
        <v>86172</v>
      </c>
      <c r="J38" s="664">
        <f t="shared" si="14"/>
        <v>67133</v>
      </c>
      <c r="K38" s="663">
        <f t="shared" si="14"/>
        <v>80317.074747425591</v>
      </c>
      <c r="L38" s="663">
        <f t="shared" si="14"/>
        <v>87611</v>
      </c>
      <c r="M38" s="663">
        <f t="shared" si="14"/>
        <v>83541.192781284568</v>
      </c>
      <c r="N38" s="663">
        <f t="shared" si="14"/>
        <v>101542.25359045653</v>
      </c>
      <c r="O38" s="663">
        <f t="shared" si="14"/>
        <v>131510.30182014772</v>
      </c>
      <c r="P38" s="663">
        <f t="shared" si="14"/>
        <v>145075</v>
      </c>
      <c r="Q38" s="663">
        <f t="shared" si="14"/>
        <v>161561</v>
      </c>
      <c r="R38" s="663">
        <f t="shared" si="14"/>
        <v>152270</v>
      </c>
      <c r="S38" s="663">
        <f t="shared" si="14"/>
        <v>151910.2067438761</v>
      </c>
      <c r="T38" s="663">
        <f t="shared" si="14"/>
        <v>149129.4</v>
      </c>
      <c r="U38" s="663">
        <f t="shared" si="14"/>
        <v>147617.79959270183</v>
      </c>
      <c r="V38" s="663">
        <f t="shared" si="14"/>
        <v>154333.55767447213</v>
      </c>
      <c r="W38" s="663">
        <f t="shared" si="14"/>
        <v>148797.86128018814</v>
      </c>
      <c r="X38" s="663">
        <f t="shared" si="14"/>
        <v>128165</v>
      </c>
      <c r="Y38" s="663">
        <f t="shared" si="14"/>
        <v>140116</v>
      </c>
      <c r="Z38" s="663">
        <f t="shared" si="14"/>
        <v>132017</v>
      </c>
      <c r="AA38" s="663">
        <f t="shared" si="14"/>
        <v>122841</v>
      </c>
      <c r="AB38" s="663">
        <f t="shared" si="14"/>
        <v>135392</v>
      </c>
      <c r="AC38" s="663">
        <f t="shared" si="14"/>
        <v>145007.88899627453</v>
      </c>
      <c r="AD38" s="663">
        <f t="shared" si="14"/>
        <v>137599.35851835465</v>
      </c>
      <c r="AE38" s="663">
        <f t="shared" si="14"/>
        <v>125614.25715477078</v>
      </c>
      <c r="AF38" s="663">
        <f t="shared" si="14"/>
        <v>114185.32311664005</v>
      </c>
      <c r="AG38" s="663">
        <f t="shared" si="14"/>
        <v>103393.99511310567</v>
      </c>
      <c r="AH38" s="663">
        <f>AH33+AH35+AH36</f>
        <v>100199.91670294876</v>
      </c>
      <c r="AI38" s="663">
        <f>AI33+AI35+AI36</f>
        <v>97770.1556802415</v>
      </c>
      <c r="AJ38" s="663">
        <f>AJ33+AJ35+AJ36</f>
        <v>95892.25088481346</v>
      </c>
      <c r="AK38" s="663">
        <f>AK33+AK35+AK36</f>
        <v>94648.086240771314</v>
      </c>
      <c r="AL38" s="663">
        <f>AL33+AL35+AL36</f>
        <v>93928.557638535116</v>
      </c>
      <c r="AN38" s="648"/>
    </row>
    <row r="39" spans="3:44" ht="13.5" customHeight="1">
      <c r="C39" s="761" t="s">
        <v>165</v>
      </c>
      <c r="D39" s="761"/>
      <c r="E39" s="774"/>
      <c r="F39" s="774"/>
      <c r="G39" s="774"/>
      <c r="H39" s="774"/>
      <c r="I39" s="774"/>
      <c r="J39" s="774"/>
      <c r="K39" s="774"/>
      <c r="L39" s="774"/>
      <c r="M39" s="774"/>
      <c r="N39" s="774"/>
      <c r="O39" s="774"/>
      <c r="P39" s="774"/>
      <c r="Q39" s="774"/>
      <c r="R39" s="774"/>
      <c r="S39" s="774"/>
      <c r="T39" s="774"/>
      <c r="U39" s="774"/>
      <c r="V39" s="774"/>
      <c r="W39" s="774"/>
      <c r="X39" s="774"/>
      <c r="Y39" s="774"/>
      <c r="Z39" s="774"/>
      <c r="AA39" s="774"/>
      <c r="AB39" s="774">
        <f>(AB10+AB11+AB12+AB15+AB18)-(AB29+AB31+AB32)</f>
        <v>128716</v>
      </c>
      <c r="AC39" s="774">
        <f>(AC10+AC11+AC12+AC15+AC18)-(AC29+AC31+AC32)</f>
        <v>123177.0406567321</v>
      </c>
      <c r="AD39" s="774">
        <f t="shared" ref="AD39:AL39" si="15">(AD10+AD11+AD12+AD15+AD18)-(AD29+AD31+AD32)</f>
        <v>130297.80901561239</v>
      </c>
      <c r="AE39" s="774">
        <f t="shared" si="15"/>
        <v>140601.87745905539</v>
      </c>
      <c r="AF39" s="774">
        <f t="shared" si="15"/>
        <v>152476.80450664347</v>
      </c>
      <c r="AG39" s="774">
        <f t="shared" si="15"/>
        <v>166136.28584045285</v>
      </c>
      <c r="AH39" s="774">
        <f t="shared" si="15"/>
        <v>175661.48865137633</v>
      </c>
      <c r="AI39" s="774">
        <f t="shared" si="15"/>
        <v>187302.96009865403</v>
      </c>
      <c r="AJ39" s="774">
        <f t="shared" si="15"/>
        <v>200491.40956436383</v>
      </c>
      <c r="AK39" s="774">
        <f t="shared" si="15"/>
        <v>215442.6974862733</v>
      </c>
      <c r="AL39" s="774">
        <f t="shared" si="15"/>
        <v>232410.27238670416</v>
      </c>
      <c r="AN39" s="648"/>
    </row>
    <row r="40" spans="3:44" ht="13.5" customHeight="1">
      <c r="C40" s="775" t="s">
        <v>396</v>
      </c>
      <c r="D40" s="761"/>
      <c r="E40" s="774"/>
      <c r="F40" s="774"/>
      <c r="G40" s="774"/>
      <c r="H40" s="774"/>
      <c r="I40" s="774"/>
      <c r="J40" s="774"/>
      <c r="K40" s="774"/>
      <c r="L40" s="774"/>
      <c r="M40" s="774"/>
      <c r="N40" s="774"/>
      <c r="O40" s="774"/>
      <c r="P40" s="774"/>
      <c r="Q40" s="774"/>
      <c r="R40" s="774"/>
      <c r="S40" s="774"/>
      <c r="T40" s="774"/>
      <c r="U40" s="774"/>
      <c r="V40" s="774"/>
      <c r="W40" s="774"/>
      <c r="X40" s="774"/>
      <c r="Y40" s="774"/>
      <c r="Z40" s="774"/>
      <c r="AA40" s="774"/>
      <c r="AB40" s="776">
        <f>AB39/'Inc St'!AB7</f>
        <v>0.51572116291398773</v>
      </c>
      <c r="AC40" s="776">
        <f>AC39/'Inc St'!AC7</f>
        <v>0.40921502198335868</v>
      </c>
      <c r="AD40" s="776">
        <f>AD39/'Inc St'!AD7</f>
        <v>0.39790249482031576</v>
      </c>
      <c r="AE40" s="776">
        <f>AE39/'Inc St'!AE7</f>
        <v>0.38700490774843355</v>
      </c>
      <c r="AF40" s="776">
        <f>AF39/'Inc St'!AF7</f>
        <v>0.37773951369268077</v>
      </c>
      <c r="AG40" s="776">
        <f>AG39/'Inc St'!AG7</f>
        <v>0.36987425780001859</v>
      </c>
      <c r="AH40" s="776">
        <f>AH39/'Inc St'!AH7</f>
        <v>0.36455011919495389</v>
      </c>
      <c r="AI40" s="776">
        <f>AI39/'Inc St'!AI7</f>
        <v>0.359682107553286</v>
      </c>
      <c r="AJ40" s="776">
        <f>AJ39/'Inc St'!AJ7</f>
        <v>0.35541064662250099</v>
      </c>
      <c r="AK40" s="776">
        <f>AK39/'Inc St'!AK7</f>
        <v>0.35167202331335667</v>
      </c>
      <c r="AL40" s="776">
        <f>AL39/'Inc St'!AL7</f>
        <v>0.34840851480291213</v>
      </c>
      <c r="AN40" s="648"/>
    </row>
    <row r="41" spans="3:44" ht="13.5" customHeight="1">
      <c r="C41" s="761" t="s">
        <v>143</v>
      </c>
      <c r="D41" s="761"/>
      <c r="E41" s="774"/>
      <c r="F41" s="774"/>
      <c r="G41" s="774"/>
      <c r="H41" s="774"/>
      <c r="I41" s="774"/>
      <c r="J41" s="774"/>
      <c r="K41" s="774"/>
      <c r="L41" s="774"/>
      <c r="M41" s="774"/>
      <c r="N41" s="774"/>
      <c r="O41" s="774"/>
      <c r="P41" s="774"/>
      <c r="Q41" s="774"/>
      <c r="R41" s="774"/>
      <c r="S41" s="774"/>
      <c r="T41" s="774"/>
      <c r="U41" s="774"/>
      <c r="V41" s="774"/>
      <c r="W41" s="774"/>
      <c r="X41" s="774"/>
      <c r="Y41" s="774"/>
      <c r="Z41" s="774"/>
      <c r="AA41" s="774"/>
      <c r="AB41" s="774"/>
      <c r="AC41" s="774">
        <f>AC39-AB39</f>
        <v>-5538.9593432678957</v>
      </c>
      <c r="AD41" s="774">
        <f>AD39-AC39</f>
        <v>7120.7683588802902</v>
      </c>
      <c r="AE41" s="774">
        <f t="shared" ref="AE41:AL41" si="16">AE39-AD39</f>
        <v>10304.068443443</v>
      </c>
      <c r="AF41" s="774">
        <f t="shared" si="16"/>
        <v>11874.927047588077</v>
      </c>
      <c r="AG41" s="774">
        <f t="shared" si="16"/>
        <v>13659.481333809381</v>
      </c>
      <c r="AH41" s="774">
        <f t="shared" si="16"/>
        <v>9525.2028109234816</v>
      </c>
      <c r="AI41" s="774">
        <f t="shared" si="16"/>
        <v>11641.471447277698</v>
      </c>
      <c r="AJ41" s="774">
        <f t="shared" si="16"/>
        <v>13188.449465709797</v>
      </c>
      <c r="AK41" s="774">
        <f t="shared" si="16"/>
        <v>14951.287921909476</v>
      </c>
      <c r="AL41" s="774">
        <f t="shared" si="16"/>
        <v>16967.57490043086</v>
      </c>
      <c r="AN41" s="648"/>
    </row>
    <row r="42" spans="3:44" ht="6" customHeight="1">
      <c r="C42" s="446"/>
      <c r="D42" s="446"/>
      <c r="E42" s="646"/>
      <c r="F42" s="646"/>
      <c r="G42" s="646"/>
      <c r="H42" s="646"/>
      <c r="I42" s="646"/>
      <c r="J42" s="645"/>
      <c r="K42" s="646"/>
      <c r="L42" s="646"/>
      <c r="M42" s="646"/>
      <c r="N42" s="646"/>
      <c r="O42" s="646"/>
      <c r="P42" s="646"/>
      <c r="Q42" s="646"/>
      <c r="R42" s="646"/>
      <c r="S42" s="646"/>
      <c r="T42" s="646"/>
      <c r="U42" s="646"/>
      <c r="V42" s="646"/>
      <c r="W42" s="646"/>
      <c r="X42" s="646"/>
      <c r="Y42" s="646"/>
      <c r="Z42" s="646"/>
      <c r="AA42" s="646"/>
      <c r="AB42" s="646"/>
      <c r="AC42" s="646"/>
      <c r="AD42" s="646"/>
      <c r="AE42" s="646"/>
      <c r="AF42" s="646"/>
      <c r="AG42" s="646"/>
      <c r="AH42" s="646"/>
      <c r="AI42" s="646"/>
      <c r="AJ42" s="646"/>
      <c r="AK42" s="646"/>
      <c r="AL42" s="646"/>
      <c r="AN42" s="648"/>
    </row>
    <row r="43" spans="3:44" ht="6" customHeight="1">
      <c r="C43" s="446"/>
      <c r="D43" s="446"/>
      <c r="E43" s="646"/>
      <c r="F43" s="646"/>
      <c r="G43" s="646"/>
      <c r="H43" s="646"/>
      <c r="I43" s="646"/>
      <c r="J43" s="645"/>
      <c r="K43" s="646"/>
      <c r="L43" s="646"/>
      <c r="M43" s="646"/>
      <c r="N43" s="646"/>
      <c r="O43" s="646"/>
      <c r="P43" s="646"/>
      <c r="Q43" s="646"/>
      <c r="R43" s="646"/>
      <c r="S43" s="646"/>
      <c r="T43" s="646"/>
      <c r="U43" s="646"/>
      <c r="V43" s="646"/>
      <c r="W43" s="646"/>
      <c r="X43" s="646"/>
      <c r="Y43" s="646"/>
      <c r="Z43" s="646"/>
      <c r="AA43" s="646"/>
      <c r="AB43" s="646"/>
      <c r="AC43" s="646"/>
      <c r="AD43" s="646"/>
      <c r="AE43" s="646"/>
      <c r="AF43" s="646"/>
      <c r="AG43" s="646"/>
      <c r="AH43" s="646"/>
      <c r="AI43" s="646"/>
      <c r="AJ43" s="646"/>
      <c r="AK43" s="646"/>
      <c r="AL43" s="646"/>
      <c r="AN43" s="648"/>
    </row>
    <row r="44" spans="3:44">
      <c r="C44" s="465" t="s">
        <v>305</v>
      </c>
      <c r="D44" s="446"/>
      <c r="E44" s="646"/>
      <c r="F44" s="646"/>
      <c r="G44" s="646"/>
      <c r="H44" s="646"/>
      <c r="I44" s="646"/>
      <c r="J44" s="645"/>
      <c r="K44" s="646"/>
      <c r="L44" s="646"/>
      <c r="M44" s="646"/>
      <c r="N44" s="646"/>
      <c r="O44" s="646"/>
      <c r="P44" s="646"/>
      <c r="Q44" s="646"/>
      <c r="R44" s="646"/>
      <c r="S44" s="646"/>
      <c r="T44" s="646"/>
      <c r="U44" s="646"/>
      <c r="V44" s="646"/>
      <c r="W44" s="646"/>
      <c r="X44" s="646"/>
      <c r="Y44" s="646"/>
      <c r="Z44" s="646"/>
      <c r="AA44" s="646"/>
      <c r="AB44" s="646"/>
      <c r="AC44" s="646"/>
      <c r="AD44" s="646"/>
      <c r="AE44" s="646"/>
      <c r="AF44" s="646"/>
      <c r="AG44" s="646"/>
      <c r="AH44" s="646"/>
      <c r="AI44" s="646"/>
      <c r="AJ44" s="646"/>
      <c r="AK44" s="646"/>
      <c r="AL44" s="646"/>
      <c r="AN44" s="648"/>
    </row>
    <row r="45" spans="3:44">
      <c r="C45" s="446" t="s">
        <v>306</v>
      </c>
      <c r="E45" s="646">
        <v>39654</v>
      </c>
      <c r="F45" s="646">
        <v>40471</v>
      </c>
      <c r="G45" s="646">
        <f>+BS!G113</f>
        <v>40471</v>
      </c>
      <c r="H45" s="646">
        <f>+BS!H113</f>
        <v>40471</v>
      </c>
      <c r="I45" s="646">
        <f>+BS!I113</f>
        <v>40471</v>
      </c>
      <c r="J45" s="645">
        <f>+BS!J113</f>
        <v>40471</v>
      </c>
      <c r="K45" s="646">
        <f>+BS!K113</f>
        <v>40471</v>
      </c>
      <c r="L45" s="646">
        <f>+BS!L113</f>
        <v>40471</v>
      </c>
      <c r="M45" s="646">
        <f>+BS!M113</f>
        <v>40471</v>
      </c>
      <c r="N45" s="646">
        <f>+BS!N113</f>
        <v>40471</v>
      </c>
      <c r="O45" s="646">
        <f>+BS!O113</f>
        <v>40471</v>
      </c>
      <c r="P45" s="646">
        <f>+BS!P113</f>
        <v>47457</v>
      </c>
      <c r="Q45" s="646">
        <f>+BS!Q113</f>
        <v>47457</v>
      </c>
      <c r="R45" s="646">
        <f>+BS!R113</f>
        <v>47457</v>
      </c>
      <c r="S45" s="646">
        <v>52717.272540795399</v>
      </c>
      <c r="T45" s="646">
        <v>52717</v>
      </c>
      <c r="U45" s="646">
        <f>+BS!U113</f>
        <v>52717</v>
      </c>
      <c r="V45" s="646">
        <f>+BS!V113</f>
        <v>52717</v>
      </c>
      <c r="W45" s="646">
        <f>+BS!W113</f>
        <v>52717</v>
      </c>
      <c r="X45" s="646">
        <f>+BS!X113</f>
        <v>52717</v>
      </c>
      <c r="Y45" s="646">
        <f>+BS!Y113</f>
        <v>52717</v>
      </c>
      <c r="Z45" s="646">
        <v>52717</v>
      </c>
      <c r="AA45" s="646">
        <v>52717</v>
      </c>
      <c r="AB45" s="646">
        <f>+BS!AB113</f>
        <v>52717</v>
      </c>
      <c r="AC45" s="646">
        <f>+BS!AC113</f>
        <v>52717</v>
      </c>
      <c r="AD45" s="646">
        <f>+BS!AD113</f>
        <v>52717</v>
      </c>
      <c r="AE45" s="646">
        <f>+BS!AE113</f>
        <v>52717</v>
      </c>
      <c r="AF45" s="646">
        <f>+BS!AF113</f>
        <v>52717</v>
      </c>
      <c r="AG45" s="646">
        <f>+BS!AG113</f>
        <v>52717</v>
      </c>
      <c r="AH45" s="646">
        <f>+BS!AH113</f>
        <v>52717</v>
      </c>
      <c r="AI45" s="646">
        <f>+BS!AI113</f>
        <v>52717</v>
      </c>
      <c r="AJ45" s="646">
        <f>+BS!AJ113</f>
        <v>52717</v>
      </c>
      <c r="AK45" s="646">
        <f>+BS!AK113</f>
        <v>52717</v>
      </c>
      <c r="AL45" s="646">
        <f>+BS!AL113</f>
        <v>52717</v>
      </c>
      <c r="AN45" s="648"/>
    </row>
    <row r="46" spans="3:44">
      <c r="C46" s="446" t="s">
        <v>307</v>
      </c>
      <c r="E46" s="646">
        <v>24339</v>
      </c>
      <c r="F46" s="646">
        <f>+E46+E49-24426</f>
        <v>4162.2547617601012</v>
      </c>
      <c r="G46" s="646">
        <f>34194-22649</f>
        <v>11545</v>
      </c>
      <c r="H46" s="646">
        <v>21128</v>
      </c>
      <c r="I46" s="646">
        <v>35877</v>
      </c>
      <c r="J46" s="645">
        <v>69208</v>
      </c>
      <c r="K46" s="646">
        <v>76053</v>
      </c>
      <c r="L46" s="646">
        <v>76053</v>
      </c>
      <c r="M46" s="646">
        <f>+K46</f>
        <v>76053</v>
      </c>
      <c r="N46" s="646">
        <v>84743</v>
      </c>
      <c r="O46" s="646">
        <v>84743</v>
      </c>
      <c r="P46" s="646">
        <f>O46+O49</f>
        <v>93291.543070231099</v>
      </c>
      <c r="Q46" s="646">
        <v>93292</v>
      </c>
      <c r="R46" s="646">
        <f>+Q46</f>
        <v>93292</v>
      </c>
      <c r="S46" s="646">
        <f>+R46</f>
        <v>93292</v>
      </c>
      <c r="T46" s="646">
        <f>68160+1979+1</f>
        <v>70140</v>
      </c>
      <c r="U46" s="646">
        <f>S46+S49+S47</f>
        <v>68159.848044757324</v>
      </c>
      <c r="V46" s="646">
        <f>S46+S49+S47</f>
        <v>68159.848044757324</v>
      </c>
      <c r="W46" s="646">
        <f>68160+1746</f>
        <v>69906</v>
      </c>
      <c r="X46" s="646">
        <f>76168+1484</f>
        <v>77652</v>
      </c>
      <c r="Y46" s="646">
        <f>100221+1507</f>
        <v>101728</v>
      </c>
      <c r="Z46" s="646">
        <f>97981+1245</f>
        <v>99226</v>
      </c>
      <c r="AA46" s="646">
        <f>99002+1326</f>
        <v>100328</v>
      </c>
      <c r="AB46" s="646">
        <v>99909</v>
      </c>
      <c r="AC46" s="646">
        <f t="shared" ref="AC46:AL46" si="17">AB46+AB49</f>
        <v>105010</v>
      </c>
      <c r="AD46" s="646">
        <f t="shared" si="17"/>
        <v>110963.94065355757</v>
      </c>
      <c r="AE46" s="646">
        <f t="shared" si="17"/>
        <v>118902.04628173368</v>
      </c>
      <c r="AF46" s="646">
        <f t="shared" si="17"/>
        <v>129299.46939461498</v>
      </c>
      <c r="AG46" s="646">
        <f t="shared" si="17"/>
        <v>142358.60083810164</v>
      </c>
      <c r="AH46" s="646">
        <f t="shared" si="17"/>
        <v>158306.98749212298</v>
      </c>
      <c r="AI46" s="646">
        <f t="shared" si="17"/>
        <v>176506.03454723398</v>
      </c>
      <c r="AJ46" s="646">
        <f t="shared" si="17"/>
        <v>196415.86681004951</v>
      </c>
      <c r="AK46" s="646">
        <f t="shared" si="17"/>
        <v>218133.62754981537</v>
      </c>
      <c r="AL46" s="646">
        <f t="shared" si="17"/>
        <v>241761.95692908508</v>
      </c>
      <c r="AN46" s="648"/>
    </row>
    <row r="47" spans="3:44" hidden="1">
      <c r="C47" s="446" t="s">
        <v>308</v>
      </c>
      <c r="E47" s="646"/>
      <c r="F47" s="646"/>
      <c r="G47" s="646"/>
      <c r="H47" s="646">
        <v>0</v>
      </c>
      <c r="I47" s="646">
        <v>0</v>
      </c>
      <c r="J47" s="645">
        <v>0</v>
      </c>
      <c r="K47" s="646">
        <v>0</v>
      </c>
      <c r="L47" s="646">
        <v>0</v>
      </c>
      <c r="M47" s="646"/>
      <c r="N47" s="646"/>
      <c r="O47" s="646">
        <v>0</v>
      </c>
      <c r="P47" s="646"/>
      <c r="Q47" s="646">
        <v>0</v>
      </c>
      <c r="R47" s="646">
        <v>0</v>
      </c>
      <c r="S47" s="646">
        <v>-37044.974435906071</v>
      </c>
      <c r="T47" s="646">
        <v>0</v>
      </c>
      <c r="U47" s="646">
        <v>0</v>
      </c>
      <c r="V47" s="646">
        <v>0</v>
      </c>
      <c r="W47" s="646">
        <v>0</v>
      </c>
      <c r="X47" s="646">
        <v>0</v>
      </c>
      <c r="Y47" s="646">
        <v>0</v>
      </c>
      <c r="Z47" s="646">
        <v>0</v>
      </c>
      <c r="AA47" s="646">
        <v>0</v>
      </c>
      <c r="AB47" s="646">
        <v>0</v>
      </c>
      <c r="AC47" s="646">
        <v>0</v>
      </c>
      <c r="AD47" s="646">
        <v>0</v>
      </c>
      <c r="AE47" s="646">
        <v>0</v>
      </c>
      <c r="AF47" s="646">
        <v>0</v>
      </c>
      <c r="AG47" s="646">
        <v>0</v>
      </c>
      <c r="AH47" s="646">
        <v>0</v>
      </c>
      <c r="AI47" s="646">
        <v>0</v>
      </c>
      <c r="AJ47" s="646">
        <v>0</v>
      </c>
      <c r="AK47" s="646">
        <v>0</v>
      </c>
      <c r="AL47" s="646">
        <v>0</v>
      </c>
      <c r="AN47" s="648"/>
    </row>
    <row r="48" spans="3:44">
      <c r="C48" s="446" t="s">
        <v>309</v>
      </c>
      <c r="E48" s="646"/>
      <c r="F48" s="646"/>
      <c r="G48" s="646"/>
      <c r="H48" s="646">
        <v>0</v>
      </c>
      <c r="I48" s="646">
        <v>0</v>
      </c>
      <c r="J48" s="645">
        <v>0</v>
      </c>
      <c r="K48" s="646"/>
      <c r="L48" s="646">
        <v>0</v>
      </c>
      <c r="M48" s="646"/>
      <c r="N48" s="646"/>
      <c r="O48" s="646">
        <v>0</v>
      </c>
      <c r="P48" s="646"/>
      <c r="Q48" s="646"/>
      <c r="R48" s="646">
        <v>0</v>
      </c>
      <c r="S48" s="646">
        <v>1735</v>
      </c>
      <c r="T48" s="646">
        <v>1498</v>
      </c>
      <c r="U48" s="646">
        <f>+S48</f>
        <v>1735</v>
      </c>
      <c r="V48" s="646">
        <f>+S48</f>
        <v>1735</v>
      </c>
      <c r="W48" s="646">
        <v>1321</v>
      </c>
      <c r="X48" s="646">
        <v>1123</v>
      </c>
      <c r="Y48" s="646">
        <v>1735</v>
      </c>
      <c r="Z48" s="646">
        <v>942</v>
      </c>
      <c r="AA48" s="646">
        <v>1735</v>
      </c>
      <c r="AB48" s="646">
        <v>987</v>
      </c>
      <c r="AC48" s="646">
        <v>1735</v>
      </c>
      <c r="AD48" s="646">
        <v>1735</v>
      </c>
      <c r="AE48" s="646">
        <v>1735</v>
      </c>
      <c r="AF48" s="646">
        <v>1735</v>
      </c>
      <c r="AG48" s="646">
        <v>1735</v>
      </c>
      <c r="AH48" s="646">
        <v>1735</v>
      </c>
      <c r="AI48" s="646">
        <v>1735</v>
      </c>
      <c r="AJ48" s="646">
        <v>1735</v>
      </c>
      <c r="AK48" s="646">
        <v>1735</v>
      </c>
      <c r="AL48" s="646">
        <v>1735</v>
      </c>
      <c r="AN48" s="648"/>
    </row>
    <row r="49" spans="3:40">
      <c r="C49" s="446" t="s">
        <v>310</v>
      </c>
      <c r="E49" s="652">
        <f>+'Inc St'!E27</f>
        <v>4249.2547617601031</v>
      </c>
      <c r="F49" s="652">
        <f>+'Inc St'!F27</f>
        <v>5605.4792632724002</v>
      </c>
      <c r="G49" s="652">
        <f>+'Inc St'!G27</f>
        <v>7245.6170551441373</v>
      </c>
      <c r="H49" s="652">
        <f>+'Inc St'!H27</f>
        <v>17705.923427753791</v>
      </c>
      <c r="I49" s="652">
        <f>+'Inc St'!I27</f>
        <v>34730.581085397484</v>
      </c>
      <c r="J49" s="653">
        <v>8241</v>
      </c>
      <c r="K49" s="652">
        <v>5404.1513122572233</v>
      </c>
      <c r="L49" s="652">
        <v>9057</v>
      </c>
      <c r="M49" s="652">
        <f>+'Inc St'!M27</f>
        <v>6854.9288478093713</v>
      </c>
      <c r="N49" s="652">
        <v>283.97661960505883</v>
      </c>
      <c r="O49" s="652">
        <f>+'Inc St'!O27</f>
        <v>8548.543070231095</v>
      </c>
      <c r="P49" s="652">
        <f>+'Inc St'!P27</f>
        <v>5620.9317375680384</v>
      </c>
      <c r="Q49" s="652">
        <f>+'Inc St'!Q27</f>
        <v>6541.4580315312851</v>
      </c>
      <c r="R49" s="652">
        <f>+'Inc St'!R27</f>
        <v>11803.712779192452</v>
      </c>
      <c r="S49" s="652">
        <v>11912.822480663401</v>
      </c>
      <c r="T49" s="652">
        <v>311</v>
      </c>
      <c r="U49" s="652">
        <f>+'Inc St'!U27</f>
        <v>8063.4500000000007</v>
      </c>
      <c r="V49" s="652">
        <f>+'Inc St'!V27</f>
        <v>400.85776364263717</v>
      </c>
      <c r="W49" s="652">
        <v>8008</v>
      </c>
      <c r="X49" s="652">
        <v>21813</v>
      </c>
      <c r="Y49" s="652">
        <v>8190</v>
      </c>
      <c r="Z49" s="652">
        <v>850</v>
      </c>
      <c r="AA49" s="652">
        <v>17986</v>
      </c>
      <c r="AB49" s="652">
        <v>5101</v>
      </c>
      <c r="AC49" s="652">
        <f>+'Inc St'!AC27</f>
        <v>5953.9406535575717</v>
      </c>
      <c r="AD49" s="652">
        <f>+'Inc St'!AD27</f>
        <v>7938.1056281761084</v>
      </c>
      <c r="AE49" s="652">
        <f>+'Inc St'!AE27</f>
        <v>10397.423112881293</v>
      </c>
      <c r="AF49" s="652">
        <f>+'Inc St'!AF27</f>
        <v>13059.131443486665</v>
      </c>
      <c r="AG49" s="652">
        <f>+'Inc St'!AG27</f>
        <v>15948.386654021344</v>
      </c>
      <c r="AH49" s="652">
        <f>+'Inc St'!AH27</f>
        <v>18199.047055111016</v>
      </c>
      <c r="AI49" s="652">
        <f>+'Inc St'!AI27</f>
        <v>19909.832262815518</v>
      </c>
      <c r="AJ49" s="652">
        <f>+'Inc St'!AJ27</f>
        <v>21717.760739765854</v>
      </c>
      <c r="AK49" s="652">
        <f>+'Inc St'!AK27</f>
        <v>23628.329379269697</v>
      </c>
      <c r="AL49" s="652">
        <f>+'Inc St'!AL27</f>
        <v>25657.677782676295</v>
      </c>
      <c r="AN49" s="648"/>
    </row>
    <row r="50" spans="3:40">
      <c r="C50" s="665" t="s">
        <v>311</v>
      </c>
      <c r="E50" s="646">
        <v>-23161</v>
      </c>
      <c r="F50" s="646">
        <f>-23013-1413+24426</f>
        <v>0</v>
      </c>
      <c r="G50" s="646">
        <f>-22649+22649</f>
        <v>0</v>
      </c>
      <c r="H50" s="646">
        <f>-2977+1</f>
        <v>-2976</v>
      </c>
      <c r="I50" s="646">
        <v>-2902</v>
      </c>
      <c r="J50" s="645">
        <v>-5305</v>
      </c>
      <c r="K50" s="646">
        <v>-3722</v>
      </c>
      <c r="L50" s="646">
        <v>-4865</v>
      </c>
      <c r="M50" s="646">
        <v>-4285.2852000000003</v>
      </c>
      <c r="N50" s="646">
        <v>-4050</v>
      </c>
      <c r="O50" s="646">
        <v>-8118</v>
      </c>
      <c r="P50" s="646">
        <v>-11521</v>
      </c>
      <c r="Q50" s="646">
        <v>-11788</v>
      </c>
      <c r="R50" s="646">
        <v>-11521</v>
      </c>
      <c r="S50" s="646">
        <v>-11068</v>
      </c>
      <c r="T50" s="646">
        <v>-10730</v>
      </c>
      <c r="U50" s="646">
        <f>+S50*1.02</f>
        <v>-11289.36</v>
      </c>
      <c r="V50" s="646">
        <f>+S50*1.02</f>
        <v>-11289.36</v>
      </c>
      <c r="W50" s="646">
        <v>-16178</v>
      </c>
      <c r="X50" s="646">
        <v>-24889</v>
      </c>
      <c r="Y50" s="646">
        <f>-18238-1</f>
        <v>-18239</v>
      </c>
      <c r="Z50" s="646">
        <v>-23619</v>
      </c>
      <c r="AA50" s="646">
        <v>-17898</v>
      </c>
      <c r="AB50" s="646">
        <v>-24978</v>
      </c>
      <c r="AC50" s="646">
        <f>+AB50*0.995</f>
        <v>-24853.11</v>
      </c>
      <c r="AD50" s="646">
        <f t="shared" ref="AD50:AL50" si="18">+AC50*0.995</f>
        <v>-24728.844450000001</v>
      </c>
      <c r="AE50" s="646">
        <f t="shared" si="18"/>
        <v>-24605.20022775</v>
      </c>
      <c r="AF50" s="646">
        <f t="shared" si="18"/>
        <v>-24482.174226611249</v>
      </c>
      <c r="AG50" s="646">
        <f t="shared" si="18"/>
        <v>-24359.763355478193</v>
      </c>
      <c r="AH50" s="646">
        <f t="shared" si="18"/>
        <v>-24237.964538700802</v>
      </c>
      <c r="AI50" s="646">
        <f t="shared" si="18"/>
        <v>-24116.774716007298</v>
      </c>
      <c r="AJ50" s="646">
        <f t="shared" si="18"/>
        <v>-23996.190842427262</v>
      </c>
      <c r="AK50" s="646">
        <f t="shared" si="18"/>
        <v>-23876.209888215126</v>
      </c>
      <c r="AL50" s="646">
        <f t="shared" si="18"/>
        <v>-23756.82883877405</v>
      </c>
      <c r="AN50" s="648"/>
    </row>
    <row r="51" spans="3:40">
      <c r="C51" s="446" t="s">
        <v>312</v>
      </c>
      <c r="D51" s="446"/>
      <c r="E51" s="649">
        <v>2055</v>
      </c>
      <c r="F51" s="649">
        <v>1692</v>
      </c>
      <c r="G51" s="649">
        <v>3327</v>
      </c>
      <c r="H51" s="649">
        <v>3191</v>
      </c>
      <c r="I51" s="649">
        <v>4564.3999999999996</v>
      </c>
      <c r="J51" s="650">
        <v>4201</v>
      </c>
      <c r="K51" s="649">
        <v>4134.8072647082081</v>
      </c>
      <c r="L51" s="649">
        <v>4219</v>
      </c>
      <c r="M51" s="649">
        <v>5454</v>
      </c>
      <c r="N51" s="649">
        <v>4558.6303026532105</v>
      </c>
      <c r="O51" s="649">
        <v>5137</v>
      </c>
      <c r="P51" s="649">
        <v>4588</v>
      </c>
      <c r="Q51" s="649">
        <v>4653</v>
      </c>
      <c r="R51" s="649">
        <v>4588</v>
      </c>
      <c r="S51" s="649">
        <v>1970</v>
      </c>
      <c r="T51" s="649">
        <v>5304</v>
      </c>
      <c r="U51" s="649">
        <f>+S51+'Inc St'!U26</f>
        <v>2232</v>
      </c>
      <c r="V51" s="649">
        <f>+S51+'Inc St'!V26</f>
        <v>1980.3027597093487</v>
      </c>
      <c r="W51" s="649">
        <v>4847</v>
      </c>
      <c r="X51" s="649">
        <v>4494</v>
      </c>
      <c r="Y51" s="649">
        <v>5187</v>
      </c>
      <c r="Z51" s="649">
        <v>4488</v>
      </c>
      <c r="AA51" s="649">
        <v>5521</v>
      </c>
      <c r="AB51" s="649">
        <v>5839</v>
      </c>
      <c r="AC51" s="649">
        <f>+AB51*1.01</f>
        <v>5897.39</v>
      </c>
      <c r="AD51" s="649">
        <f t="shared" ref="AD51:AL51" si="19">+AC51*1.01</f>
        <v>5956.3639000000003</v>
      </c>
      <c r="AE51" s="649">
        <f t="shared" si="19"/>
        <v>6015.9275390000003</v>
      </c>
      <c r="AF51" s="649">
        <f t="shared" si="19"/>
        <v>6076.0868143900007</v>
      </c>
      <c r="AG51" s="649">
        <f t="shared" si="19"/>
        <v>6136.8476825339003</v>
      </c>
      <c r="AH51" s="649">
        <f t="shared" si="19"/>
        <v>6198.2161593592391</v>
      </c>
      <c r="AI51" s="649">
        <f t="shared" si="19"/>
        <v>6260.1983209528316</v>
      </c>
      <c r="AJ51" s="649">
        <f t="shared" si="19"/>
        <v>6322.8003041623597</v>
      </c>
      <c r="AK51" s="649">
        <f t="shared" si="19"/>
        <v>6386.0283072039838</v>
      </c>
      <c r="AL51" s="649">
        <f t="shared" si="19"/>
        <v>6449.8885902760239</v>
      </c>
      <c r="AN51" s="648"/>
    </row>
    <row r="52" spans="3:40">
      <c r="C52" s="465" t="s">
        <v>313</v>
      </c>
      <c r="D52" s="446"/>
      <c r="E52" s="652">
        <f t="shared" ref="E52:N52" si="20">SUM(E45:E51)</f>
        <v>47136.254761760109</v>
      </c>
      <c r="F52" s="652">
        <f t="shared" si="20"/>
        <v>51930.7340250325</v>
      </c>
      <c r="G52" s="652">
        <f t="shared" si="20"/>
        <v>62588.617055144139</v>
      </c>
      <c r="H52" s="652">
        <f t="shared" si="20"/>
        <v>79519.923427753791</v>
      </c>
      <c r="I52" s="652">
        <f t="shared" si="20"/>
        <v>112740.98108539748</v>
      </c>
      <c r="J52" s="652">
        <f t="shared" si="20"/>
        <v>116816</v>
      </c>
      <c r="K52" s="652">
        <f t="shared" si="20"/>
        <v>122340.95857696544</v>
      </c>
      <c r="L52" s="652">
        <f t="shared" si="20"/>
        <v>124935</v>
      </c>
      <c r="M52" s="652">
        <f t="shared" si="20"/>
        <v>124547.64364780937</v>
      </c>
      <c r="N52" s="652">
        <f t="shared" si="20"/>
        <v>126006.60692225827</v>
      </c>
      <c r="O52" s="652">
        <f t="shared" ref="O52:AG52" si="21">SUM(O45:O51)</f>
        <v>130781.5430702311</v>
      </c>
      <c r="P52" s="652">
        <f t="shared" si="21"/>
        <v>139436.47480779912</v>
      </c>
      <c r="Q52" s="652">
        <f t="shared" si="21"/>
        <v>140155.45803153128</v>
      </c>
      <c r="R52" s="652">
        <f t="shared" si="21"/>
        <v>145619.71277919246</v>
      </c>
      <c r="S52" s="652">
        <f t="shared" si="21"/>
        <v>113514.12058555271</v>
      </c>
      <c r="T52" s="652">
        <f t="shared" si="21"/>
        <v>119240</v>
      </c>
      <c r="U52" s="652">
        <f t="shared" si="21"/>
        <v>121617.93804475732</v>
      </c>
      <c r="V52" s="652">
        <f t="shared" si="21"/>
        <v>113703.6485681093</v>
      </c>
      <c r="W52" s="652">
        <f t="shared" si="21"/>
        <v>120621</v>
      </c>
      <c r="X52" s="652">
        <f t="shared" si="21"/>
        <v>132910</v>
      </c>
      <c r="Y52" s="652">
        <f t="shared" si="21"/>
        <v>151318</v>
      </c>
      <c r="Z52" s="652">
        <f t="shared" si="21"/>
        <v>134604</v>
      </c>
      <c r="AA52" s="652">
        <f t="shared" si="21"/>
        <v>160389</v>
      </c>
      <c r="AB52" s="652">
        <f t="shared" si="21"/>
        <v>139575</v>
      </c>
      <c r="AC52" s="652">
        <f t="shared" si="21"/>
        <v>146460.22065355757</v>
      </c>
      <c r="AD52" s="652">
        <f t="shared" si="21"/>
        <v>154581.56573173366</v>
      </c>
      <c r="AE52" s="652">
        <f t="shared" si="21"/>
        <v>165162.19670586495</v>
      </c>
      <c r="AF52" s="652">
        <f t="shared" si="21"/>
        <v>178404.5134258804</v>
      </c>
      <c r="AG52" s="652">
        <f t="shared" si="21"/>
        <v>194536.0718191787</v>
      </c>
      <c r="AH52" s="652">
        <f>SUM(AH45:AH51)</f>
        <v>212918.28616789242</v>
      </c>
      <c r="AI52" s="652">
        <f>SUM(AI45:AI51)</f>
        <v>233011.29041499505</v>
      </c>
      <c r="AJ52" s="652">
        <f>SUM(AJ45:AJ51)</f>
        <v>254912.23701155046</v>
      </c>
      <c r="AK52" s="652">
        <f>SUM(AK45:AK51)</f>
        <v>278723.77534807386</v>
      </c>
      <c r="AL52" s="652">
        <f>SUM(AL45:AL51)</f>
        <v>304564.69446326332</v>
      </c>
      <c r="AN52" s="648"/>
    </row>
    <row r="53" spans="3:40" ht="14" thickBot="1">
      <c r="C53" s="446"/>
      <c r="D53" s="446"/>
      <c r="E53" s="660">
        <f t="shared" ref="E53:AG53" si="22">E52+E38</f>
        <v>92324.254761760109</v>
      </c>
      <c r="F53" s="660">
        <f t="shared" si="22"/>
        <v>116579.73402503249</v>
      </c>
      <c r="G53" s="660">
        <f t="shared" si="22"/>
        <v>138758.11218997565</v>
      </c>
      <c r="H53" s="660">
        <f t="shared" si="22"/>
        <v>167480.07071357896</v>
      </c>
      <c r="I53" s="660">
        <f t="shared" si="22"/>
        <v>198912.98108539748</v>
      </c>
      <c r="J53" s="660">
        <f t="shared" si="22"/>
        <v>183949</v>
      </c>
      <c r="K53" s="660">
        <f t="shared" si="22"/>
        <v>202658.03332439103</v>
      </c>
      <c r="L53" s="660">
        <f t="shared" si="22"/>
        <v>212546</v>
      </c>
      <c r="M53" s="660">
        <f t="shared" si="22"/>
        <v>208088.83642909394</v>
      </c>
      <c r="N53" s="660">
        <f t="shared" si="22"/>
        <v>227548.8605127148</v>
      </c>
      <c r="O53" s="660">
        <f t="shared" si="22"/>
        <v>262291.84489037882</v>
      </c>
      <c r="P53" s="660">
        <f t="shared" si="22"/>
        <v>284511.4748077991</v>
      </c>
      <c r="Q53" s="660">
        <f t="shared" si="22"/>
        <v>301716.45803153131</v>
      </c>
      <c r="R53" s="660">
        <f t="shared" si="22"/>
        <v>297889.71277919249</v>
      </c>
      <c r="S53" s="660">
        <f t="shared" si="22"/>
        <v>265424.32732942881</v>
      </c>
      <c r="T53" s="660">
        <f t="shared" si="22"/>
        <v>268369.40000000002</v>
      </c>
      <c r="U53" s="660">
        <f t="shared" si="22"/>
        <v>269235.73763745918</v>
      </c>
      <c r="V53" s="660">
        <f t="shared" si="22"/>
        <v>268037.20624258142</v>
      </c>
      <c r="W53" s="660">
        <f t="shared" si="22"/>
        <v>269418.86128018814</v>
      </c>
      <c r="X53" s="660">
        <f t="shared" si="22"/>
        <v>261075</v>
      </c>
      <c r="Y53" s="660">
        <f t="shared" si="22"/>
        <v>291434</v>
      </c>
      <c r="Z53" s="660">
        <f t="shared" si="22"/>
        <v>266621</v>
      </c>
      <c r="AA53" s="660">
        <f t="shared" si="22"/>
        <v>283230</v>
      </c>
      <c r="AB53" s="660">
        <f t="shared" si="22"/>
        <v>274967</v>
      </c>
      <c r="AC53" s="660">
        <f t="shared" si="22"/>
        <v>291468.10964983213</v>
      </c>
      <c r="AD53" s="660">
        <f t="shared" si="22"/>
        <v>292180.92425008828</v>
      </c>
      <c r="AE53" s="660">
        <f t="shared" si="22"/>
        <v>290776.45386063575</v>
      </c>
      <c r="AF53" s="660">
        <f t="shared" si="22"/>
        <v>292589.83654252044</v>
      </c>
      <c r="AG53" s="660">
        <f t="shared" si="22"/>
        <v>297930.06693228439</v>
      </c>
      <c r="AH53" s="660">
        <f>AH52+AH38</f>
        <v>313118.2028708412</v>
      </c>
      <c r="AI53" s="660">
        <f>AI52+AI38</f>
        <v>330781.44609523658</v>
      </c>
      <c r="AJ53" s="660">
        <f>AJ52+AJ38</f>
        <v>350804.48789636395</v>
      </c>
      <c r="AK53" s="660">
        <f>AK52+AK38</f>
        <v>373371.86158884515</v>
      </c>
      <c r="AL53" s="660">
        <f>AL52+AL38</f>
        <v>398493.25210179843</v>
      </c>
      <c r="AN53" s="648"/>
    </row>
    <row r="54" spans="3:40" s="670" customFormat="1" ht="6.75" customHeight="1" thickTop="1">
      <c r="C54" s="666" t="s">
        <v>314</v>
      </c>
      <c r="D54" s="667"/>
      <c r="E54" s="668" t="str">
        <f t="shared" ref="E54:AG54" si="23">IF(E53&lt;&gt;E25,E53-E25,"")</f>
        <v/>
      </c>
      <c r="F54" s="668" t="str">
        <f t="shared" si="23"/>
        <v/>
      </c>
      <c r="G54" s="668" t="str">
        <f t="shared" si="23"/>
        <v/>
      </c>
      <c r="H54" s="668" t="str">
        <f t="shared" si="23"/>
        <v/>
      </c>
      <c r="I54" s="668" t="str">
        <f t="shared" si="23"/>
        <v/>
      </c>
      <c r="J54" s="669" t="str">
        <f t="shared" si="23"/>
        <v/>
      </c>
      <c r="K54" s="669" t="str">
        <f t="shared" si="23"/>
        <v/>
      </c>
      <c r="L54" s="669" t="str">
        <f t="shared" si="23"/>
        <v/>
      </c>
      <c r="M54" s="669" t="str">
        <f t="shared" si="23"/>
        <v/>
      </c>
      <c r="N54" s="669" t="str">
        <f t="shared" si="23"/>
        <v/>
      </c>
      <c r="O54" s="669" t="str">
        <f t="shared" si="23"/>
        <v/>
      </c>
      <c r="P54" s="669" t="str">
        <f t="shared" si="23"/>
        <v/>
      </c>
      <c r="Q54" s="669" t="str">
        <f t="shared" si="23"/>
        <v/>
      </c>
      <c r="R54" s="669" t="str">
        <f t="shared" si="23"/>
        <v/>
      </c>
      <c r="S54" s="669" t="str">
        <f t="shared" si="23"/>
        <v/>
      </c>
      <c r="T54" s="669" t="str">
        <f t="shared" si="23"/>
        <v/>
      </c>
      <c r="U54" s="669" t="str">
        <f t="shared" si="23"/>
        <v/>
      </c>
      <c r="V54" s="669" t="str">
        <f t="shared" si="23"/>
        <v/>
      </c>
      <c r="W54" s="669" t="str">
        <f t="shared" si="23"/>
        <v/>
      </c>
      <c r="X54" s="669" t="str">
        <f t="shared" si="23"/>
        <v/>
      </c>
      <c r="Y54" s="669" t="str">
        <f t="shared" si="23"/>
        <v/>
      </c>
      <c r="Z54" s="668" t="str">
        <f t="shared" si="23"/>
        <v/>
      </c>
      <c r="AA54" s="668" t="str">
        <f t="shared" si="23"/>
        <v/>
      </c>
      <c r="AB54" s="668" t="str">
        <f t="shared" si="23"/>
        <v/>
      </c>
      <c r="AC54" s="668" t="str">
        <f t="shared" si="23"/>
        <v/>
      </c>
      <c r="AD54" s="668" t="str">
        <f t="shared" si="23"/>
        <v/>
      </c>
      <c r="AE54" s="668" t="str">
        <f t="shared" si="23"/>
        <v/>
      </c>
      <c r="AF54" s="668" t="str">
        <f t="shared" si="23"/>
        <v/>
      </c>
      <c r="AG54" s="668" t="str">
        <f t="shared" si="23"/>
        <v/>
      </c>
      <c r="AH54" s="668" t="str">
        <f>IF(AH53&lt;&gt;AH25,AH53-AH25,"")</f>
        <v/>
      </c>
      <c r="AI54" s="668" t="str">
        <f>IF(AI53&lt;&gt;AI25,AI53-AI25,"")</f>
        <v/>
      </c>
      <c r="AJ54" s="668" t="str">
        <f>IF(AJ53&lt;&gt;AJ25,AJ53-AJ25,"")</f>
        <v/>
      </c>
      <c r="AK54" s="668" t="str">
        <f>IF(AK53&lt;&gt;AK25,AK53-AK25,"")</f>
        <v/>
      </c>
      <c r="AL54" s="668" t="str">
        <f>IF(AL53&lt;&gt;AL25,AL53-AL25,"")</f>
        <v/>
      </c>
    </row>
    <row r="55" spans="3:40" s="674" customFormat="1">
      <c r="C55" s="671" t="s">
        <v>315</v>
      </c>
      <c r="D55" s="667"/>
      <c r="E55" s="672">
        <f t="shared" ref="E55:J55" si="24">E35+E30-E8</f>
        <v>10827.745238239891</v>
      </c>
      <c r="F55" s="672">
        <f t="shared" si="24"/>
        <v>21081.265974967508</v>
      </c>
      <c r="G55" s="672">
        <f t="shared" si="24"/>
        <v>19492.678750651827</v>
      </c>
      <c r="H55" s="672">
        <f t="shared" si="24"/>
        <v>7687.0066012856187</v>
      </c>
      <c r="I55" s="672">
        <f t="shared" si="24"/>
        <v>-2380.4382200528853</v>
      </c>
      <c r="J55" s="672">
        <f t="shared" si="24"/>
        <v>-11022</v>
      </c>
      <c r="K55" s="673"/>
      <c r="L55" s="672">
        <f>L35+L30-L8</f>
        <v>16382.336161183659</v>
      </c>
      <c r="M55" s="673"/>
      <c r="N55" s="672">
        <f>N35+N30-N8</f>
        <v>52300.631009190372</v>
      </c>
      <c r="O55" s="672">
        <f t="shared" ref="O55:AG55" si="25">O35+O30-O8</f>
        <v>63893.309322744375</v>
      </c>
      <c r="P55" s="672">
        <f t="shared" si="25"/>
        <v>80223.506197005394</v>
      </c>
      <c r="Q55" s="672">
        <f t="shared" si="25"/>
        <v>85658.33632739383</v>
      </c>
      <c r="R55" s="672">
        <f t="shared" si="25"/>
        <v>78323.216039580526</v>
      </c>
      <c r="S55" s="672">
        <f t="shared" si="25"/>
        <v>77228.582602460039</v>
      </c>
      <c r="T55" s="672">
        <f t="shared" si="25"/>
        <v>79320.999999999971</v>
      </c>
      <c r="U55" s="672">
        <f t="shared" si="25"/>
        <v>76128.149591083726</v>
      </c>
      <c r="V55" s="672">
        <f t="shared" si="25"/>
        <v>78568.047878269164</v>
      </c>
      <c r="W55" s="672">
        <f t="shared" si="25"/>
        <v>54439.054125501527</v>
      </c>
      <c r="X55" s="672">
        <f t="shared" si="25"/>
        <v>50908</v>
      </c>
      <c r="Y55" s="672">
        <f t="shared" si="25"/>
        <v>48062</v>
      </c>
      <c r="Z55" s="672">
        <f t="shared" si="25"/>
        <v>60874</v>
      </c>
      <c r="AA55" s="672">
        <f t="shared" si="25"/>
        <v>46711</v>
      </c>
      <c r="AB55" s="672">
        <f t="shared" si="25"/>
        <v>66762</v>
      </c>
      <c r="AC55" s="672">
        <f t="shared" si="25"/>
        <v>51641.090003174497</v>
      </c>
      <c r="AD55" s="672">
        <f t="shared" si="25"/>
        <v>47335.853983878769</v>
      </c>
      <c r="AE55" s="672">
        <f t="shared" si="25"/>
        <v>43146.73781419039</v>
      </c>
      <c r="AF55" s="672">
        <f t="shared" si="25"/>
        <v>37258.935888513108</v>
      </c>
      <c r="AG55" s="672">
        <f t="shared" si="25"/>
        <v>29658.62446465384</v>
      </c>
      <c r="AH55" s="672">
        <f>AH35+AH30-AH8</f>
        <v>15167.260414477787</v>
      </c>
      <c r="AI55" s="672">
        <f>AI35+AI30-AI8</f>
        <v>1999.0130079498049</v>
      </c>
      <c r="AJ55" s="672">
        <f>AJ35+AJ30-AJ8</f>
        <v>-12012.521894848847</v>
      </c>
      <c r="AK55" s="672">
        <f>AK35+AK30-AK8</f>
        <v>-26754.093477650022</v>
      </c>
      <c r="AL55" s="672">
        <f>AL35+AL30-AL8</f>
        <v>-42091.001631680119</v>
      </c>
    </row>
    <row r="56" spans="3:40" s="674" customFormat="1">
      <c r="C56" s="671" t="s">
        <v>316</v>
      </c>
      <c r="D56" s="667"/>
      <c r="E56" s="672">
        <f>+'Inc St'!E32</f>
        <v>11683.81857059036</v>
      </c>
      <c r="F56" s="672">
        <f>+'Inc St'!F32</f>
        <v>16202.4792632724</v>
      </c>
      <c r="G56" s="672">
        <f>+'Inc St'!G32</f>
        <v>19129.955096100457</v>
      </c>
      <c r="H56" s="672">
        <f>+'Inc St'!H32</f>
        <v>33873.775756404531</v>
      </c>
      <c r="I56" s="672">
        <f>+'Inc St'!I32</f>
        <v>53284.233599771811</v>
      </c>
      <c r="J56" s="672">
        <f>+'Inc St'!J32</f>
        <v>25343.595674268465</v>
      </c>
      <c r="K56" s="673"/>
      <c r="L56" s="672">
        <f>+'Inc St'!L32</f>
        <v>25176.586882427833</v>
      </c>
      <c r="M56" s="673"/>
      <c r="N56" s="672">
        <f>+'Inc St'!N32</f>
        <v>2852.75508465331</v>
      </c>
      <c r="O56" s="672">
        <f>+'Inc St'!O32</f>
        <v>25001.543070231095</v>
      </c>
      <c r="P56" s="672">
        <f>+'Inc St'!P32</f>
        <v>12725.931737568038</v>
      </c>
      <c r="Q56" s="672">
        <f>+'Inc St'!Q32</f>
        <v>17704.458031531285</v>
      </c>
      <c r="R56" s="672">
        <f>+'Inc St'!R32</f>
        <v>30149.548086904968</v>
      </c>
      <c r="S56" s="672">
        <f>+'Inc St'!S32</f>
        <v>33066.462327623936</v>
      </c>
      <c r="T56" s="672">
        <f>+'Inc St'!P32</f>
        <v>12725.931737568038</v>
      </c>
      <c r="U56" s="672">
        <f>+'Inc St'!Q32</f>
        <v>17704.458031531285</v>
      </c>
      <c r="V56" s="672">
        <f>+'Inc St'!R32</f>
        <v>30149.548086904968</v>
      </c>
      <c r="W56" s="672">
        <f>+'Inc St'!W32</f>
        <v>35126.013545180576</v>
      </c>
      <c r="X56" s="672">
        <f>+'Inc St'!X32</f>
        <v>32007.517313273958</v>
      </c>
      <c r="Y56" s="672">
        <f>+'Inc St'!Y32</f>
        <v>29992</v>
      </c>
      <c r="Z56" s="672">
        <f>+'Inc St'!Z32</f>
        <v>26515.080656500781</v>
      </c>
      <c r="AA56" s="672">
        <f>+'Inc St'!AA32</f>
        <v>38897</v>
      </c>
      <c r="AB56" s="672">
        <f>+'Inc St'!AB32</f>
        <v>26243.668254353252</v>
      </c>
      <c r="AC56" s="672">
        <f>+'Inc St'!AC32</f>
        <v>26823.258019404042</v>
      </c>
      <c r="AD56" s="672">
        <f>+'Inc St'!AD32</f>
        <v>29758.359335091234</v>
      </c>
      <c r="AE56" s="672">
        <f>+'Inc St'!AE32</f>
        <v>32972.485318550855</v>
      </c>
      <c r="AF56" s="672">
        <f>+'Inc St'!AD32</f>
        <v>29758.359335091234</v>
      </c>
      <c r="AG56" s="672">
        <f>+'Inc St'!AE32</f>
        <v>32972.485318550855</v>
      </c>
      <c r="AH56" s="672">
        <f>+'Inc St'!AF32</f>
        <v>36518.231398755059</v>
      </c>
      <c r="AI56" s="672">
        <f>+'Inc St'!AG32</f>
        <v>40437.997531649118</v>
      </c>
      <c r="AJ56" s="672">
        <f>+'Inc St'!AH32</f>
        <v>44067.275012484701</v>
      </c>
      <c r="AK56" s="672">
        <f>+'Inc St'!AI32</f>
        <v>47004.576550764148</v>
      </c>
      <c r="AL56" s="672">
        <f>+'Inc St'!AJ32</f>
        <v>50139.043397603113</v>
      </c>
    </row>
    <row r="57" spans="3:40" s="674" customFormat="1">
      <c r="C57" s="671" t="s">
        <v>317</v>
      </c>
      <c r="D57" s="667"/>
      <c r="E57" s="675">
        <f t="shared" ref="E57:J57" si="26">E55/E56</f>
        <v>0.92673000464888144</v>
      </c>
      <c r="F57" s="675">
        <f t="shared" si="26"/>
        <v>1.30111359085361</v>
      </c>
      <c r="G57" s="675">
        <f t="shared" si="26"/>
        <v>1.0189610301084977</v>
      </c>
      <c r="H57" s="675">
        <f t="shared" si="26"/>
        <v>0.22693090538725175</v>
      </c>
      <c r="I57" s="675">
        <f t="shared" si="26"/>
        <v>-4.4674344721420171E-2</v>
      </c>
      <c r="J57" s="675">
        <f t="shared" si="26"/>
        <v>-0.43490277155860391</v>
      </c>
      <c r="K57" s="673"/>
      <c r="L57" s="675">
        <f>L55/L56</f>
        <v>0.65069726240842518</v>
      </c>
      <c r="M57" s="673"/>
      <c r="N57" s="675">
        <f>N55/N56</f>
        <v>18.333375791895705</v>
      </c>
      <c r="O57" s="675">
        <f t="shared" ref="O57:AG57" si="27">O55/O56</f>
        <v>2.5555746356640294</v>
      </c>
      <c r="P57" s="675">
        <f t="shared" si="27"/>
        <v>6.3039396919110251</v>
      </c>
      <c r="Q57" s="675">
        <f t="shared" si="27"/>
        <v>4.8382354418778624</v>
      </c>
      <c r="R57" s="675">
        <f t="shared" si="27"/>
        <v>2.5978238815990449</v>
      </c>
      <c r="S57" s="675">
        <f t="shared" si="27"/>
        <v>2.3355562453967984</v>
      </c>
      <c r="T57" s="675">
        <f t="shared" si="27"/>
        <v>6.2330210184797394</v>
      </c>
      <c r="U57" s="675">
        <f t="shared" si="27"/>
        <v>4.2999423905267822</v>
      </c>
      <c r="V57" s="675">
        <f t="shared" si="27"/>
        <v>2.6059444623116619</v>
      </c>
      <c r="W57" s="675">
        <f t="shared" si="27"/>
        <v>1.5498215889337881</v>
      </c>
      <c r="X57" s="675">
        <f t="shared" si="27"/>
        <v>1.5905013657178513</v>
      </c>
      <c r="Y57" s="675">
        <f t="shared" si="27"/>
        <v>1.6024939983995732</v>
      </c>
      <c r="Z57" s="675">
        <f t="shared" si="27"/>
        <v>2.2958255638975529</v>
      </c>
      <c r="AA57" s="675">
        <f t="shared" si="27"/>
        <v>1.2008895287554311</v>
      </c>
      <c r="AB57" s="675">
        <f t="shared" si="27"/>
        <v>2.5439279049309595</v>
      </c>
      <c r="AC57" s="675">
        <f t="shared" si="27"/>
        <v>1.9252355536309997</v>
      </c>
      <c r="AD57" s="675">
        <f t="shared" si="27"/>
        <v>1.590674185053611</v>
      </c>
      <c r="AE57" s="675">
        <f t="shared" si="27"/>
        <v>1.3085679589313619</v>
      </c>
      <c r="AF57" s="675">
        <f t="shared" si="27"/>
        <v>1.2520493979174836</v>
      </c>
      <c r="AG57" s="675">
        <f t="shared" si="27"/>
        <v>0.89949617622446609</v>
      </c>
      <c r="AH57" s="675">
        <f>AH55/AH56</f>
        <v>0.41533392591939305</v>
      </c>
      <c r="AI57" s="675">
        <f>AI55/AI56</f>
        <v>4.9434025668191446E-2</v>
      </c>
      <c r="AJ57" s="675">
        <f>AJ55/AJ56</f>
        <v>-0.27259506950328966</v>
      </c>
      <c r="AK57" s="675">
        <f>AK55/AK56</f>
        <v>-0.56918060837663442</v>
      </c>
      <c r="AL57" s="675">
        <f>AL55/AL56</f>
        <v>-0.83948553421528327</v>
      </c>
    </row>
    <row r="58" spans="3:40" s="674" customFormat="1">
      <c r="C58" s="676"/>
      <c r="D58" s="677"/>
      <c r="E58" s="678"/>
      <c r="F58" s="678"/>
      <c r="G58" s="678"/>
      <c r="H58" s="678"/>
      <c r="I58" s="676"/>
      <c r="J58" s="676"/>
      <c r="K58" s="678"/>
      <c r="L58" s="678"/>
      <c r="M58" s="676"/>
      <c r="N58" s="676"/>
      <c r="O58" s="678"/>
      <c r="P58" s="678"/>
      <c r="Q58" s="678"/>
      <c r="R58" s="678"/>
      <c r="S58" s="678"/>
      <c r="T58" s="678"/>
      <c r="U58" s="678"/>
      <c r="V58" s="678"/>
      <c r="W58" s="678"/>
      <c r="X58" s="678"/>
      <c r="Y58" s="678"/>
      <c r="Z58" s="676"/>
      <c r="AA58" s="676"/>
      <c r="AB58" s="676"/>
      <c r="AC58" s="676"/>
      <c r="AD58" s="676"/>
      <c r="AE58" s="676"/>
      <c r="AF58" s="676"/>
      <c r="AG58" s="676"/>
      <c r="AH58" s="676"/>
      <c r="AI58" s="676"/>
      <c r="AJ58" s="676"/>
      <c r="AK58" s="676"/>
      <c r="AL58" s="676"/>
    </row>
    <row r="59" spans="3:40" s="674" customFormat="1">
      <c r="C59" s="676" t="s">
        <v>318</v>
      </c>
      <c r="E59" s="678"/>
      <c r="F59" s="678"/>
      <c r="G59" s="678"/>
      <c r="H59" s="678">
        <f>-H8+H30+H35</f>
        <v>7687.0066012856187</v>
      </c>
      <c r="I59" s="678">
        <f t="shared" ref="I59:AG59" si="28">-I8+I30+I35</f>
        <v>-2380.4382200528853</v>
      </c>
      <c r="J59" s="678">
        <f t="shared" si="28"/>
        <v>-11022</v>
      </c>
      <c r="K59" s="678">
        <f t="shared" si="28"/>
        <v>27240.983175299574</v>
      </c>
      <c r="L59" s="678">
        <f t="shared" si="28"/>
        <v>16382.336161183659</v>
      </c>
      <c r="M59" s="678">
        <f t="shared" si="28"/>
        <v>18060.592160657834</v>
      </c>
      <c r="N59" s="678">
        <f t="shared" si="28"/>
        <v>52300.631009190372</v>
      </c>
      <c r="O59" s="678">
        <f t="shared" si="28"/>
        <v>63893.309322744382</v>
      </c>
      <c r="P59" s="678">
        <f t="shared" si="28"/>
        <v>80223.506197005394</v>
      </c>
      <c r="Q59" s="678">
        <f t="shared" si="28"/>
        <v>85658.33632739383</v>
      </c>
      <c r="R59" s="678">
        <f t="shared" si="28"/>
        <v>78323.216039580526</v>
      </c>
      <c r="S59" s="678">
        <f t="shared" si="28"/>
        <v>77228.582602460039</v>
      </c>
      <c r="T59" s="678">
        <f t="shared" si="28"/>
        <v>79320.999999999971</v>
      </c>
      <c r="U59" s="678">
        <f t="shared" si="28"/>
        <v>76128.149591083726</v>
      </c>
      <c r="V59" s="678">
        <f t="shared" si="28"/>
        <v>78568.047878269164</v>
      </c>
      <c r="W59" s="678">
        <f t="shared" si="28"/>
        <v>54439.054125501527</v>
      </c>
      <c r="X59" s="678">
        <f t="shared" si="28"/>
        <v>50908</v>
      </c>
      <c r="Y59" s="678">
        <f t="shared" si="28"/>
        <v>48062</v>
      </c>
      <c r="Z59" s="678">
        <f t="shared" si="28"/>
        <v>60874</v>
      </c>
      <c r="AA59" s="678">
        <f t="shared" si="28"/>
        <v>46711</v>
      </c>
      <c r="AB59" s="678">
        <f t="shared" si="28"/>
        <v>66762</v>
      </c>
      <c r="AC59" s="678">
        <f t="shared" si="28"/>
        <v>51641.090003174497</v>
      </c>
      <c r="AD59" s="678">
        <f t="shared" si="28"/>
        <v>47335.853983878769</v>
      </c>
      <c r="AE59" s="678">
        <f t="shared" si="28"/>
        <v>43146.73781419039</v>
      </c>
      <c r="AF59" s="678">
        <f t="shared" si="28"/>
        <v>37258.935888513108</v>
      </c>
      <c r="AG59" s="678">
        <f t="shared" si="28"/>
        <v>29658.62446465384</v>
      </c>
      <c r="AH59" s="678">
        <f>-AH8+AH30+AH35</f>
        <v>15167.260414477787</v>
      </c>
      <c r="AI59" s="678">
        <f>-AI8+AI30+AI35</f>
        <v>1999.0130079498049</v>
      </c>
      <c r="AJ59" s="678">
        <f>-AJ8+AJ30+AJ35</f>
        <v>-12012.521894848847</v>
      </c>
      <c r="AK59" s="678">
        <f>-AK8+AK30+AK35</f>
        <v>-26754.093477650022</v>
      </c>
      <c r="AL59" s="678">
        <f>-AL8+AL30+AL35</f>
        <v>-42091.001631680119</v>
      </c>
    </row>
    <row r="60" spans="3:40" s="674" customFormat="1">
      <c r="C60" s="676" t="s">
        <v>319</v>
      </c>
      <c r="E60" s="678"/>
      <c r="F60" s="678"/>
      <c r="G60" s="678"/>
      <c r="H60" s="679">
        <f>BS!H59/'Inc St'!H32</f>
        <v>0.22693090538725175</v>
      </c>
      <c r="I60" s="679">
        <f>BS!I59/'Inc St'!I32</f>
        <v>-4.4674344721420171E-2</v>
      </c>
      <c r="J60" s="679">
        <f>BS!J59/'Inc St'!J32</f>
        <v>-0.43490277155860391</v>
      </c>
      <c r="K60" s="679">
        <f>BS!K59/'Inc St'!K32</f>
        <v>1.8253603915687013</v>
      </c>
      <c r="L60" s="679">
        <f>BS!L59/'Inc St'!L32</f>
        <v>0.65069726240842518</v>
      </c>
      <c r="M60" s="679">
        <f>BS!M59/'Inc St'!M32</f>
        <v>0.90727543716390036</v>
      </c>
      <c r="N60" s="679">
        <f>BS!N59/'Inc St'!N32</f>
        <v>18.333375791895705</v>
      </c>
      <c r="O60" s="679">
        <f>BS!O59/'Inc St'!O32</f>
        <v>2.5555746356640299</v>
      </c>
      <c r="P60" s="679">
        <f>BS!P59/'Inc St'!P32</f>
        <v>6.3039396919110251</v>
      </c>
      <c r="Q60" s="679">
        <f>BS!Q59/'Inc St'!Q32</f>
        <v>4.8382354418778624</v>
      </c>
      <c r="R60" s="679">
        <f>BS!R59/'Inc St'!R32</f>
        <v>2.5978238815990449</v>
      </c>
      <c r="S60" s="680">
        <f>BS!S59/'Inc St'!S32</f>
        <v>2.3355562453967984</v>
      </c>
      <c r="T60" s="679">
        <f>BS!T59/'Inc St'!T32</f>
        <v>11.464228934817166</v>
      </c>
      <c r="U60" s="679">
        <f>BS!U59/'Inc St'!U32</f>
        <v>2.9570703429703769</v>
      </c>
      <c r="V60" s="679">
        <f>BS!V59/'Inc St'!V32</f>
        <v>8.6742904174125659</v>
      </c>
      <c r="W60" s="679">
        <f>BS!W59/'Inc St'!W32</f>
        <v>1.5498215889337881</v>
      </c>
      <c r="X60" s="679">
        <f>BS!X59/'Inc St'!X32</f>
        <v>1.5905013657178513</v>
      </c>
      <c r="Y60" s="679">
        <f>BS!Y59/'Inc St'!Y32</f>
        <v>1.6024939983995732</v>
      </c>
      <c r="Z60" s="679">
        <f>BS!Z59/'Inc St'!Z32</f>
        <v>2.2958255638975529</v>
      </c>
      <c r="AA60" s="679">
        <f>BS!AA59/'Inc St'!AA32</f>
        <v>1.2008895287554311</v>
      </c>
      <c r="AB60" s="679">
        <f>BS!AB59/'Inc St'!AB32</f>
        <v>2.5439279049309595</v>
      </c>
      <c r="AC60" s="679">
        <f>BS!AC59/'Inc St'!AC32</f>
        <v>1.9252355536309997</v>
      </c>
      <c r="AD60" s="679">
        <f>BS!AD59/'Inc St'!AD32</f>
        <v>1.590674185053611</v>
      </c>
      <c r="AE60" s="679">
        <f>BS!AE59/'Inc St'!AE32</f>
        <v>1.3085679589313619</v>
      </c>
      <c r="AF60" s="679">
        <f>BS!AF59/'Inc St'!AF32</f>
        <v>1.0202831424575316</v>
      </c>
      <c r="AG60" s="679">
        <f>BS!AG59/'Inc St'!AG32</f>
        <v>0.73343454856886237</v>
      </c>
      <c r="AH60" s="679">
        <f>BS!AH59/'Inc St'!AH32</f>
        <v>0.34418421402686572</v>
      </c>
      <c r="AI60" s="679">
        <f>BS!AI59/'Inc St'!AI32</f>
        <v>4.2528050556755993E-2</v>
      </c>
      <c r="AJ60" s="679">
        <f>BS!AJ59/'Inc St'!AJ32</f>
        <v>-0.23958418591255182</v>
      </c>
      <c r="AK60" s="679">
        <f>BS!AK59/'Inc St'!AK32</f>
        <v>-0.50019053159496163</v>
      </c>
      <c r="AL60" s="679">
        <f>BS!AL59/'Inc St'!AL32</f>
        <v>-0.7375430605440233</v>
      </c>
    </row>
    <row r="61" spans="3:40" s="674" customFormat="1">
      <c r="C61" s="676"/>
      <c r="E61" s="678"/>
      <c r="F61" s="678"/>
      <c r="G61" s="678"/>
      <c r="H61" s="678"/>
      <c r="I61" s="676"/>
      <c r="J61" s="676"/>
      <c r="K61" s="678"/>
      <c r="L61" s="678"/>
      <c r="M61" s="676"/>
      <c r="N61" s="676"/>
      <c r="O61" s="678"/>
      <c r="P61" s="678"/>
      <c r="Q61" s="678"/>
      <c r="R61" s="678"/>
      <c r="S61" s="678"/>
      <c r="T61" s="678"/>
      <c r="U61" s="678"/>
      <c r="V61" s="678"/>
      <c r="W61" s="678"/>
      <c r="X61" s="676"/>
      <c r="Y61" s="676"/>
      <c r="Z61" s="676"/>
      <c r="AA61" s="676"/>
      <c r="AB61" s="676"/>
      <c r="AC61" s="676"/>
      <c r="AD61" s="676"/>
      <c r="AE61" s="676"/>
      <c r="AF61" s="676"/>
      <c r="AG61" s="676"/>
      <c r="AH61" s="676"/>
      <c r="AI61" s="676"/>
      <c r="AJ61" s="676"/>
      <c r="AK61" s="676"/>
      <c r="AL61" s="676"/>
    </row>
    <row r="62" spans="3:40" s="674" customFormat="1">
      <c r="C62" s="676"/>
      <c r="E62" s="678"/>
      <c r="F62" s="678"/>
      <c r="G62" s="678"/>
      <c r="H62" s="678"/>
      <c r="I62" s="676"/>
      <c r="J62" s="676"/>
      <c r="K62" s="678"/>
      <c r="L62" s="678"/>
      <c r="M62" s="676"/>
      <c r="N62" s="676"/>
      <c r="O62" s="678"/>
      <c r="P62" s="678"/>
      <c r="Q62" s="678"/>
      <c r="R62" s="678"/>
      <c r="S62" s="678"/>
      <c r="T62" s="678"/>
      <c r="U62" s="678"/>
      <c r="V62" s="678"/>
      <c r="W62" s="678"/>
      <c r="X62" s="676"/>
      <c r="Y62" s="676"/>
      <c r="Z62" s="676"/>
      <c r="AA62" s="676"/>
      <c r="AB62" s="676"/>
      <c r="AC62" s="676"/>
      <c r="AD62" s="676"/>
      <c r="AE62" s="676"/>
      <c r="AF62" s="676"/>
      <c r="AG62" s="676"/>
      <c r="AH62" s="676"/>
      <c r="AI62" s="676"/>
      <c r="AJ62" s="676"/>
      <c r="AK62" s="676"/>
      <c r="AL62" s="676"/>
    </row>
    <row r="63" spans="3:40" s="674" customFormat="1" ht="18">
      <c r="C63" s="438" t="s">
        <v>320</v>
      </c>
      <c r="E63" s="678"/>
      <c r="F63" s="678"/>
      <c r="G63" s="678"/>
      <c r="H63" s="678"/>
      <c r="I63" s="676"/>
      <c r="J63" s="676"/>
      <c r="K63" s="678"/>
      <c r="L63" s="678"/>
      <c r="M63" s="676"/>
      <c r="N63" s="676"/>
      <c r="O63" s="678"/>
      <c r="P63" s="678"/>
      <c r="Q63" s="678"/>
      <c r="R63" s="678"/>
      <c r="S63" s="678"/>
      <c r="T63" s="678"/>
      <c r="U63" s="678"/>
      <c r="V63" s="678"/>
      <c r="W63" s="678"/>
      <c r="X63" s="676"/>
      <c r="Y63" s="676"/>
      <c r="Z63" s="676"/>
      <c r="AA63" s="676"/>
      <c r="AB63" s="676"/>
    </row>
    <row r="64" spans="3:40" s="674" customFormat="1" ht="18">
      <c r="C64" s="676"/>
      <c r="E64" s="678"/>
      <c r="F64" s="678"/>
      <c r="G64" s="678"/>
      <c r="H64" s="678"/>
      <c r="I64" s="676"/>
      <c r="J64" s="676"/>
      <c r="K64" s="678"/>
      <c r="L64" s="678"/>
      <c r="M64" s="676"/>
      <c r="N64" s="676"/>
      <c r="O64" s="678"/>
      <c r="P64" s="678"/>
      <c r="Q64" s="678"/>
      <c r="R64" s="678"/>
      <c r="S64" s="678"/>
      <c r="T64" s="678"/>
      <c r="U64" s="678"/>
      <c r="V64" s="678"/>
      <c r="W64" s="678"/>
      <c r="X64" s="681"/>
      <c r="Y64" s="444"/>
      <c r="Z64" s="445"/>
      <c r="AA64" s="445"/>
      <c r="AB64" s="676"/>
      <c r="AC64" s="810" t="s">
        <v>276</v>
      </c>
      <c r="AD64" s="810"/>
      <c r="AE64" s="810"/>
      <c r="AF64" s="810"/>
      <c r="AG64" s="810"/>
      <c r="AH64" s="810"/>
      <c r="AI64" s="810"/>
      <c r="AJ64" s="810"/>
      <c r="AK64" s="810"/>
      <c r="AL64" s="810"/>
    </row>
    <row r="65" spans="3:38" s="648" customFormat="1" ht="26">
      <c r="E65" s="682" t="s">
        <v>321</v>
      </c>
      <c r="F65" s="682" t="s">
        <v>322</v>
      </c>
      <c r="G65" s="682" t="s">
        <v>172</v>
      </c>
      <c r="H65" s="453" t="s">
        <v>277</v>
      </c>
      <c r="I65" s="453" t="s">
        <v>278</v>
      </c>
      <c r="J65" s="453" t="s">
        <v>279</v>
      </c>
      <c r="K65" s="451" t="s">
        <v>176</v>
      </c>
      <c r="L65" s="639" t="s">
        <v>177</v>
      </c>
      <c r="M65" s="451" t="s">
        <v>178</v>
      </c>
      <c r="N65" s="451" t="s">
        <v>179</v>
      </c>
      <c r="O65" s="639" t="s">
        <v>180</v>
      </c>
      <c r="P65" s="451" t="s">
        <v>181</v>
      </c>
      <c r="Q65" s="451" t="s">
        <v>182</v>
      </c>
      <c r="R65" s="456" t="s">
        <v>183</v>
      </c>
      <c r="S65" s="639" t="s">
        <v>184</v>
      </c>
      <c r="T65" s="453" t="s">
        <v>185</v>
      </c>
      <c r="U65" s="453" t="s">
        <v>186</v>
      </c>
      <c r="V65" s="453" t="s">
        <v>187</v>
      </c>
      <c r="W65" s="639" t="s">
        <v>188</v>
      </c>
      <c r="X65" s="639" t="s">
        <v>189</v>
      </c>
      <c r="Y65" s="639" t="s">
        <v>190</v>
      </c>
      <c r="Z65" s="639" t="s">
        <v>191</v>
      </c>
      <c r="AA65" s="639" t="s">
        <v>192</v>
      </c>
      <c r="AB65" s="639" t="s">
        <v>280</v>
      </c>
      <c r="AC65" s="639" t="s">
        <v>194</v>
      </c>
      <c r="AD65" s="639" t="s">
        <v>195</v>
      </c>
      <c r="AE65" s="639" t="s">
        <v>196</v>
      </c>
      <c r="AF65" s="639" t="s">
        <v>197</v>
      </c>
      <c r="AG65" s="639" t="s">
        <v>198</v>
      </c>
      <c r="AH65" s="639" t="s">
        <v>198</v>
      </c>
      <c r="AI65" s="639" t="s">
        <v>198</v>
      </c>
      <c r="AJ65" s="639" t="s">
        <v>198</v>
      </c>
      <c r="AK65" s="639" t="s">
        <v>198</v>
      </c>
      <c r="AL65" s="639" t="s">
        <v>198</v>
      </c>
    </row>
    <row r="66" spans="3:38" s="648" customFormat="1" ht="8.25" customHeight="1" thickBot="1">
      <c r="K66" s="683"/>
      <c r="L66" s="683"/>
      <c r="O66" s="683"/>
      <c r="P66" s="683"/>
      <c r="Q66" s="683"/>
      <c r="R66" s="683"/>
      <c r="S66" s="683"/>
      <c r="T66" s="683"/>
      <c r="U66" s="683"/>
      <c r="V66" s="683"/>
      <c r="W66" s="683"/>
    </row>
    <row r="67" spans="3:38" s="648" customFormat="1" ht="19" thickBot="1">
      <c r="C67" s="684" t="s">
        <v>153</v>
      </c>
      <c r="D67" s="685"/>
      <c r="E67" s="646"/>
      <c r="F67" s="646"/>
      <c r="G67" s="686"/>
      <c r="H67" s="686"/>
      <c r="I67" s="629"/>
      <c r="J67" s="629"/>
      <c r="K67" s="646"/>
      <c r="L67" s="646"/>
      <c r="M67" s="629"/>
      <c r="N67" s="629"/>
      <c r="O67" s="646"/>
      <c r="P67" s="646"/>
      <c r="Q67" s="646"/>
      <c r="R67" s="646"/>
      <c r="S67" s="646"/>
      <c r="T67" s="646"/>
      <c r="U67" s="646"/>
      <c r="V67" s="646"/>
      <c r="W67" s="646"/>
      <c r="X67" s="629"/>
      <c r="Y67" s="629"/>
      <c r="Z67" s="629"/>
      <c r="AA67" s="629"/>
      <c r="AB67" s="629"/>
      <c r="AC67" s="629"/>
      <c r="AD67" s="629"/>
      <c r="AE67" s="629"/>
      <c r="AF67" s="629"/>
      <c r="AG67" s="629"/>
      <c r="AH67" s="629"/>
      <c r="AI67" s="629"/>
      <c r="AJ67" s="629"/>
      <c r="AK67" s="629"/>
      <c r="AL67" s="629"/>
    </row>
    <row r="68" spans="3:38" s="648" customFormat="1">
      <c r="E68" s="646"/>
      <c r="F68" s="646"/>
      <c r="G68" s="686"/>
      <c r="H68" s="686"/>
      <c r="I68" s="629"/>
      <c r="J68" s="629"/>
      <c r="K68" s="646"/>
      <c r="L68" s="646"/>
      <c r="M68" s="629"/>
      <c r="N68" s="629"/>
      <c r="O68" s="646"/>
      <c r="P68" s="646"/>
      <c r="Q68" s="646"/>
      <c r="R68" s="646"/>
      <c r="S68" s="646"/>
      <c r="T68" s="646"/>
      <c r="U68" s="646"/>
      <c r="V68" s="646"/>
      <c r="W68" s="646"/>
      <c r="X68" s="629"/>
      <c r="Y68" s="629"/>
      <c r="Z68" s="629"/>
      <c r="AA68" s="629"/>
      <c r="AB68" s="629"/>
      <c r="AC68" s="629"/>
      <c r="AD68" s="629"/>
      <c r="AE68" s="629"/>
      <c r="AF68" s="629"/>
      <c r="AG68" s="629"/>
      <c r="AH68" s="629"/>
      <c r="AI68" s="629"/>
      <c r="AJ68" s="629"/>
      <c r="AK68" s="629"/>
      <c r="AL68" s="629"/>
    </row>
    <row r="69" spans="3:38">
      <c r="C69" s="687" t="s">
        <v>323</v>
      </c>
      <c r="E69" s="448"/>
      <c r="F69" s="448"/>
      <c r="G69" s="448"/>
      <c r="H69" s="448"/>
      <c r="I69" s="446"/>
      <c r="J69" s="446"/>
      <c r="K69" s="448"/>
      <c r="L69" s="448"/>
      <c r="M69" s="446"/>
      <c r="N69" s="446"/>
      <c r="O69" s="448"/>
      <c r="P69" s="448"/>
      <c r="Q69" s="448"/>
      <c r="R69" s="448"/>
      <c r="S69" s="448"/>
      <c r="T69" s="448"/>
      <c r="U69" s="448"/>
      <c r="V69" s="448"/>
      <c r="W69" s="448"/>
      <c r="X69" s="446"/>
      <c r="Y69" s="446"/>
      <c r="Z69" s="446"/>
      <c r="AA69" s="446"/>
      <c r="AB69" s="446"/>
      <c r="AC69" s="446"/>
      <c r="AD69" s="446"/>
      <c r="AE69" s="446"/>
      <c r="AF69" s="446"/>
      <c r="AG69" s="446"/>
      <c r="AH69" s="446"/>
      <c r="AI69" s="446"/>
      <c r="AJ69" s="446"/>
      <c r="AK69" s="446"/>
      <c r="AL69" s="446"/>
    </row>
    <row r="70" spans="3:38">
      <c r="C70" s="688" t="s">
        <v>324</v>
      </c>
      <c r="E70" s="689">
        <f>(E10/'Inc St'!E7)*365</f>
        <v>74.133425506882958</v>
      </c>
      <c r="F70" s="689">
        <f>(F10/'Inc St'!F7)*365</f>
        <v>93.579538953390539</v>
      </c>
      <c r="G70" s="689">
        <f>(G10/'Inc St'!G7)*365</f>
        <v>95.107649971209938</v>
      </c>
      <c r="H70" s="689">
        <f>(H10/'Inc St'!H7)*365</f>
        <v>96.865571017463296</v>
      </c>
      <c r="I70" s="689">
        <f>(I10/'Inc St'!I7)*365</f>
        <v>125.29472595656669</v>
      </c>
      <c r="J70" s="689">
        <f>(J10/'Inc St'!J7)*365</f>
        <v>97.477797788966313</v>
      </c>
      <c r="K70" s="689">
        <f>(K10/'Inc St'!K7)*273</f>
        <v>109.51852788524812</v>
      </c>
      <c r="L70" s="689">
        <f>(L10/'Inc St'!L7)*273</f>
        <v>79.96209574733912</v>
      </c>
      <c r="M70" s="690">
        <v>110</v>
      </c>
      <c r="N70" s="689">
        <f>(N10/'Inc St'!N7)*90</f>
        <v>108.61740369187679</v>
      </c>
      <c r="O70" s="689">
        <f>(O10/'Inc St'!O7)*365</f>
        <v>127.47189329859911</v>
      </c>
      <c r="P70" s="689">
        <f>(P10/'Inc St'!P7)*181</f>
        <v>94.742746325412568</v>
      </c>
      <c r="Q70" s="689">
        <f>(Q10/'Inc St'!Q7)*273</f>
        <v>123.14703383273513</v>
      </c>
      <c r="R70" s="690">
        <v>108</v>
      </c>
      <c r="S70" s="689">
        <f>(S10/'Inc St'!S7)*365</f>
        <v>127.30393873825882</v>
      </c>
      <c r="T70" s="689">
        <f>(T10/'Inc St'!T7)*180</f>
        <v>99.833621731039202</v>
      </c>
      <c r="U70" s="691">
        <v>115</v>
      </c>
      <c r="V70" s="691">
        <v>110</v>
      </c>
      <c r="W70" s="689">
        <f>(W10/'Inc St'!W7)*365</f>
        <v>102.33560301998341</v>
      </c>
      <c r="X70" s="689">
        <f>(X10/'Inc St'!X7)*365</f>
        <v>115.22263681592041</v>
      </c>
      <c r="Y70" s="689">
        <f>(Y10/'Inc St'!Y7)*365</f>
        <v>115.9272085093836</v>
      </c>
      <c r="Z70" s="689">
        <f>(Z10/'Inc St'!Z7)*365</f>
        <v>127.69449069917374</v>
      </c>
      <c r="AA70" s="689">
        <f>(AA10/'Inc St'!AA7)*365</f>
        <v>131.41633932329196</v>
      </c>
      <c r="AB70" s="689">
        <f>(AB10/'Inc St'!AB7)*365</f>
        <v>142.27841620186857</v>
      </c>
      <c r="AC70" s="691">
        <v>130</v>
      </c>
      <c r="AD70" s="691">
        <v>130</v>
      </c>
      <c r="AE70" s="691">
        <v>130</v>
      </c>
      <c r="AF70" s="691">
        <v>130</v>
      </c>
      <c r="AG70" s="691">
        <v>130</v>
      </c>
      <c r="AH70" s="691">
        <v>130</v>
      </c>
      <c r="AI70" s="691">
        <v>130</v>
      </c>
      <c r="AJ70" s="691">
        <v>130</v>
      </c>
      <c r="AK70" s="691">
        <v>130</v>
      </c>
      <c r="AL70" s="691">
        <v>130</v>
      </c>
    </row>
    <row r="71" spans="3:38">
      <c r="C71" s="688" t="s">
        <v>325</v>
      </c>
      <c r="E71" s="692">
        <f>(E29/'Inc St'!E7)*365</f>
        <v>38.315800321176162</v>
      </c>
      <c r="F71" s="692">
        <f>(F29/'Inc St'!F7)*365</f>
        <v>45.384553255931351</v>
      </c>
      <c r="G71" s="692">
        <f>(G29/'Inc St'!G7)*365</f>
        <v>45.645631769100447</v>
      </c>
      <c r="H71" s="692">
        <f>(H29/'Inc St'!H7)*365</f>
        <v>42.659060446907041</v>
      </c>
      <c r="I71" s="692">
        <f>(I29/'Inc St'!I7)*365</f>
        <v>31.615046535677354</v>
      </c>
      <c r="J71" s="692">
        <f>(J29/'Inc St'!J7)*365</f>
        <v>30.769499199131239</v>
      </c>
      <c r="K71" s="692">
        <f>(K29/'Inc St'!K7)*273</f>
        <v>31.820607003563655</v>
      </c>
      <c r="L71" s="692">
        <f>(L29/'Inc St'!L7)*273</f>
        <v>29.126632653545734</v>
      </c>
      <c r="M71" s="690">
        <v>34</v>
      </c>
      <c r="N71" s="692">
        <f>(N29/'Inc St'!N7)*90</f>
        <v>25.304517938081734</v>
      </c>
      <c r="O71" s="692">
        <f>(O29/'Inc St'!O7)*365</f>
        <v>23.93380917483314</v>
      </c>
      <c r="P71" s="692">
        <f>(P29/'Inc St'!P7)*181</f>
        <v>25.639904040518193</v>
      </c>
      <c r="Q71" s="692">
        <f>(Q29/'Inc St'!Q7)*273</f>
        <v>27.909805936608233</v>
      </c>
      <c r="R71" s="690">
        <v>30</v>
      </c>
      <c r="S71" s="692">
        <f>(S29/'Inc St'!S7)*365</f>
        <v>19.456018045800075</v>
      </c>
      <c r="T71" s="692">
        <f>(T29/'Inc St'!T7)*180</f>
        <v>28.496522903131016</v>
      </c>
      <c r="U71" s="691">
        <v>26</v>
      </c>
      <c r="V71" s="691">
        <v>30</v>
      </c>
      <c r="W71" s="692">
        <f>(W29/'Inc St'!W7)*365</f>
        <v>27.599321021510004</v>
      </c>
      <c r="X71" s="692">
        <f>(X29/'Inc St'!X7)*365</f>
        <v>33.17537313432836</v>
      </c>
      <c r="Y71" s="692">
        <f>(Y29/'Inc St'!Y7)*365</f>
        <v>35.367564719056716</v>
      </c>
      <c r="Z71" s="692">
        <f>(Z29/'Inc St'!Z7)*365</f>
        <v>41.013360914775717</v>
      </c>
      <c r="AA71" s="692">
        <f>(AA29/'Inc St'!AA7)*365</f>
        <v>31.540480046933386</v>
      </c>
      <c r="AB71" s="692">
        <f>(AB29/'Inc St'!AB7)*365</f>
        <v>24.602470944958167</v>
      </c>
      <c r="AC71" s="691">
        <v>45</v>
      </c>
      <c r="AD71" s="691">
        <v>45</v>
      </c>
      <c r="AE71" s="691">
        <v>45</v>
      </c>
      <c r="AF71" s="691">
        <v>45</v>
      </c>
      <c r="AG71" s="691">
        <v>45</v>
      </c>
      <c r="AH71" s="691">
        <v>45</v>
      </c>
      <c r="AI71" s="691">
        <v>45</v>
      </c>
      <c r="AJ71" s="691">
        <v>45</v>
      </c>
      <c r="AK71" s="691">
        <v>45</v>
      </c>
      <c r="AL71" s="691">
        <v>45</v>
      </c>
    </row>
    <row r="72" spans="3:38">
      <c r="C72" s="688" t="s">
        <v>326</v>
      </c>
      <c r="E72" s="692">
        <f>(E15/'Inc St'!E7)*365</f>
        <v>55.166728211117501</v>
      </c>
      <c r="F72" s="692">
        <f>(F15/'Inc St'!F7)*365</f>
        <v>64.239508665657084</v>
      </c>
      <c r="G72" s="692">
        <f>(G15/'Inc St'!G7)*365</f>
        <v>55.549263835871855</v>
      </c>
      <c r="H72" s="692">
        <f>(H15/'Inc St'!H7)*365</f>
        <v>31.897062120250173</v>
      </c>
      <c r="I72" s="692">
        <f>(I15/'Inc St'!I7)*365</f>
        <v>9.3614270941054816</v>
      </c>
      <c r="J72" s="692">
        <f>(J15/'Inc St'!J7)*365</f>
        <v>32.004049715471517</v>
      </c>
      <c r="K72" s="692">
        <f>(K15/'Inc St'!K7)*273</f>
        <v>40.604413677167486</v>
      </c>
      <c r="L72" s="692">
        <f>(L15/'Inc St'!L7)*273</f>
        <v>29.148526711007403</v>
      </c>
      <c r="M72" s="690">
        <v>40</v>
      </c>
      <c r="N72" s="692">
        <f>(N15/'Inc St'!N7)*90</f>
        <v>56.772530800522368</v>
      </c>
      <c r="O72" s="692">
        <f>(O15/'Inc St'!O7)*365</f>
        <v>25.893254747148017</v>
      </c>
      <c r="P72" s="692">
        <f>(P15/'Inc St'!P7)*181</f>
        <v>57.151798949460414</v>
      </c>
      <c r="Q72" s="692">
        <f>(Q15/'Inc St'!Q7)*273</f>
        <v>54.64493485661874</v>
      </c>
      <c r="R72" s="690">
        <v>54</v>
      </c>
      <c r="S72" s="692">
        <f>(S15/'Inc St'!S7)*365</f>
        <v>28.771754865984121</v>
      </c>
      <c r="T72" s="692">
        <f>(T15/'Inc St'!T7)*180</f>
        <v>44.951516536615621</v>
      </c>
      <c r="U72" s="691">
        <v>38</v>
      </c>
      <c r="V72" s="691">
        <v>30</v>
      </c>
      <c r="W72" s="692">
        <f>(W15/'Inc St'!W7)*365</f>
        <v>12.211657546354299</v>
      </c>
      <c r="X72" s="692">
        <f>(X15/'Inc St'!X7)*365</f>
        <v>16.501243781094526</v>
      </c>
      <c r="Y72" s="692">
        <f>(Y15/'Inc St'!Y7)*365</f>
        <v>14.736199070893756</v>
      </c>
      <c r="Z72" s="692">
        <f>(Z15/'Inc St'!Z7)*365</f>
        <v>45.280863990001066</v>
      </c>
      <c r="AA72" s="692">
        <f>(AA15/'Inc St'!AA7)*365</f>
        <v>40.38629175222232</v>
      </c>
      <c r="AB72" s="692">
        <f>(AB15/'Inc St'!AB7)*365</f>
        <v>32.697024632192516</v>
      </c>
      <c r="AC72" s="691">
        <v>35</v>
      </c>
      <c r="AD72" s="691">
        <v>35</v>
      </c>
      <c r="AE72" s="691">
        <v>35</v>
      </c>
      <c r="AF72" s="691">
        <v>35</v>
      </c>
      <c r="AG72" s="691">
        <v>35</v>
      </c>
      <c r="AH72" s="691">
        <v>35</v>
      </c>
      <c r="AI72" s="691">
        <v>35</v>
      </c>
      <c r="AJ72" s="691">
        <v>35</v>
      </c>
      <c r="AK72" s="691">
        <v>35</v>
      </c>
      <c r="AL72" s="691">
        <v>35</v>
      </c>
    </row>
    <row r="73" spans="3:38" s="648" customFormat="1" ht="14">
      <c r="E73" s="683"/>
      <c r="F73" s="683"/>
      <c r="G73" s="693"/>
      <c r="H73" s="693"/>
      <c r="K73" s="683"/>
      <c r="L73" s="683"/>
      <c r="O73" s="683"/>
      <c r="P73" s="683"/>
      <c r="Q73" s="683"/>
      <c r="R73" s="683"/>
      <c r="S73" s="683"/>
    </row>
    <row r="74" spans="3:38" ht="14" thickBot="1">
      <c r="E74" s="477"/>
      <c r="F74" s="477"/>
      <c r="G74" s="642"/>
      <c r="H74" s="642"/>
      <c r="T74" s="441"/>
      <c r="U74" s="441"/>
      <c r="V74" s="441"/>
      <c r="W74" s="441"/>
    </row>
    <row r="75" spans="3:38" ht="19" thickBot="1">
      <c r="C75" s="684" t="s">
        <v>151</v>
      </c>
      <c r="D75" s="694"/>
      <c r="E75" s="477"/>
      <c r="F75" s="477"/>
      <c r="G75" s="642"/>
      <c r="H75" s="695"/>
      <c r="T75" s="441"/>
      <c r="U75" s="441"/>
      <c r="V75" s="441"/>
      <c r="W75" s="441"/>
    </row>
    <row r="76" spans="3:38">
      <c r="T76" s="441"/>
      <c r="U76" s="441"/>
      <c r="V76" s="441"/>
      <c r="W76" s="441"/>
    </row>
    <row r="77" spans="3:38">
      <c r="C77" s="696" t="s">
        <v>327</v>
      </c>
      <c r="E77" s="697"/>
      <c r="F77" s="697">
        <f>+E21</f>
        <v>101079</v>
      </c>
      <c r="G77" s="697">
        <f>+F80</f>
        <v>106339</v>
      </c>
      <c r="H77" s="697">
        <f>+G80+1451</f>
        <v>114750</v>
      </c>
      <c r="I77" s="697">
        <f>+H80</f>
        <v>122448</v>
      </c>
      <c r="J77" s="697">
        <f>+I80</f>
        <v>127799</v>
      </c>
      <c r="K77" s="697">
        <f>+J80</f>
        <v>131838</v>
      </c>
      <c r="L77" s="697">
        <f>+J80</f>
        <v>131838</v>
      </c>
      <c r="M77" s="697">
        <f>+J80</f>
        <v>131838</v>
      </c>
      <c r="N77" s="697">
        <f>+L80</f>
        <v>146011</v>
      </c>
      <c r="O77" s="697">
        <f>+N80</f>
        <v>150935</v>
      </c>
      <c r="P77" s="697">
        <f>+O80</f>
        <v>163104</v>
      </c>
      <c r="Q77" s="697">
        <f>+O80</f>
        <v>163104</v>
      </c>
      <c r="R77" s="697">
        <f>+O80</f>
        <v>163104</v>
      </c>
      <c r="S77" s="697">
        <f>+O80</f>
        <v>163104</v>
      </c>
      <c r="T77" s="697">
        <f>+S80</f>
        <v>172055</v>
      </c>
      <c r="U77" s="697">
        <f>+S80</f>
        <v>172055</v>
      </c>
      <c r="V77" s="697">
        <f>+S80</f>
        <v>172055</v>
      </c>
      <c r="W77" s="697">
        <f>+S80</f>
        <v>172055</v>
      </c>
      <c r="X77" s="697">
        <f>+W80</f>
        <v>179541</v>
      </c>
      <c r="Y77" s="697">
        <f t="shared" ref="Y77:AG77" si="29">+X80</f>
        <v>191027</v>
      </c>
      <c r="Z77" s="697">
        <f>+X80</f>
        <v>191027</v>
      </c>
      <c r="AA77" s="697">
        <f t="shared" si="29"/>
        <v>200964</v>
      </c>
      <c r="AB77" s="697">
        <f>+Z80</f>
        <v>200964</v>
      </c>
      <c r="AC77" s="697">
        <f t="shared" si="29"/>
        <v>206837</v>
      </c>
      <c r="AD77" s="697">
        <f t="shared" si="29"/>
        <v>212937</v>
      </c>
      <c r="AE77" s="697">
        <f t="shared" si="29"/>
        <v>219037</v>
      </c>
      <c r="AF77" s="697">
        <f t="shared" si="29"/>
        <v>225137</v>
      </c>
      <c r="AG77" s="697">
        <f t="shared" si="29"/>
        <v>231237</v>
      </c>
      <c r="AH77" s="697">
        <f>+AG80</f>
        <v>237337</v>
      </c>
      <c r="AI77" s="697">
        <f>+AH80</f>
        <v>243437</v>
      </c>
      <c r="AJ77" s="697">
        <f>+AI80</f>
        <v>251037</v>
      </c>
      <c r="AK77" s="697">
        <f>+AJ80</f>
        <v>258637</v>
      </c>
      <c r="AL77" s="697">
        <f>+AK80</f>
        <v>266237</v>
      </c>
    </row>
    <row r="78" spans="3:38">
      <c r="C78" s="665" t="s">
        <v>328</v>
      </c>
      <c r="E78" s="697"/>
      <c r="F78" s="697">
        <v>0</v>
      </c>
      <c r="G78" s="697">
        <v>0</v>
      </c>
      <c r="H78" s="697">
        <v>0</v>
      </c>
      <c r="I78" s="697">
        <v>0</v>
      </c>
      <c r="J78" s="697">
        <v>0</v>
      </c>
      <c r="K78" s="697">
        <v>0</v>
      </c>
      <c r="L78" s="697">
        <v>0</v>
      </c>
      <c r="M78" s="697">
        <v>0</v>
      </c>
      <c r="N78" s="697">
        <v>0</v>
      </c>
      <c r="O78" s="697">
        <v>0</v>
      </c>
      <c r="P78" s="698">
        <v>0</v>
      </c>
      <c r="Q78" s="698">
        <v>0</v>
      </c>
      <c r="R78" s="698">
        <v>0</v>
      </c>
      <c r="S78" s="698">
        <v>0</v>
      </c>
      <c r="T78" s="698">
        <v>0</v>
      </c>
      <c r="U78" s="698">
        <v>0</v>
      </c>
      <c r="V78" s="698">
        <v>0</v>
      </c>
      <c r="W78" s="698">
        <v>0</v>
      </c>
      <c r="X78" s="698">
        <v>0</v>
      </c>
      <c r="Y78" s="698">
        <v>0</v>
      </c>
      <c r="Z78" s="698">
        <v>0</v>
      </c>
      <c r="AA78" s="698">
        <v>0</v>
      </c>
      <c r="AB78" s="698">
        <v>0</v>
      </c>
      <c r="AC78" s="698">
        <v>0</v>
      </c>
      <c r="AD78" s="698">
        <v>0</v>
      </c>
      <c r="AE78" s="698">
        <v>0</v>
      </c>
      <c r="AF78" s="698">
        <v>0</v>
      </c>
      <c r="AG78" s="698">
        <v>0</v>
      </c>
      <c r="AH78" s="698">
        <v>0</v>
      </c>
      <c r="AI78" s="698">
        <v>0</v>
      </c>
      <c r="AJ78" s="698">
        <v>0</v>
      </c>
      <c r="AK78" s="698">
        <v>0</v>
      </c>
      <c r="AL78" s="698">
        <v>0</v>
      </c>
    </row>
    <row r="79" spans="3:38">
      <c r="C79" s="665" t="s">
        <v>329</v>
      </c>
      <c r="E79" s="697"/>
      <c r="F79" s="697">
        <f>106339-101079</f>
        <v>5260</v>
      </c>
      <c r="G79" s="697">
        <v>6960</v>
      </c>
      <c r="H79" s="697">
        <v>7698</v>
      </c>
      <c r="I79" s="697">
        <v>5351</v>
      </c>
      <c r="J79" s="697">
        <v>4039</v>
      </c>
      <c r="K79" s="697">
        <v>10745</v>
      </c>
      <c r="L79" s="697">
        <v>14173</v>
      </c>
      <c r="M79" s="698">
        <f>+K79+1000</f>
        <v>11745</v>
      </c>
      <c r="N79" s="698">
        <v>4924</v>
      </c>
      <c r="O79" s="697">
        <f>163104-150935</f>
        <v>12169</v>
      </c>
      <c r="P79" s="698">
        <f>169834-163104</f>
        <v>6730</v>
      </c>
      <c r="Q79" s="698">
        <f>170701-163104</f>
        <v>7597</v>
      </c>
      <c r="R79" s="698">
        <f>+Q79+500</f>
        <v>8097</v>
      </c>
      <c r="S79" s="698">
        <f>+R79+500+354</f>
        <v>8951</v>
      </c>
      <c r="T79" s="698">
        <v>3293</v>
      </c>
      <c r="U79" s="698">
        <f>+U143</f>
        <v>15450</v>
      </c>
      <c r="V79" s="698">
        <f>+V143</f>
        <v>15450</v>
      </c>
      <c r="W79" s="698">
        <v>7486</v>
      </c>
      <c r="X79" s="698">
        <v>11486</v>
      </c>
      <c r="Y79" s="698">
        <v>13788</v>
      </c>
      <c r="Z79" s="698">
        <v>9937</v>
      </c>
      <c r="AA79" s="698">
        <v>5010</v>
      </c>
      <c r="AB79" s="698">
        <v>5873</v>
      </c>
      <c r="AC79" s="698">
        <f t="shared" ref="AC79:AL79" si="30">AC143</f>
        <v>6100</v>
      </c>
      <c r="AD79" s="698">
        <f t="shared" si="30"/>
        <v>6100</v>
      </c>
      <c r="AE79" s="698">
        <f t="shared" si="30"/>
        <v>6100</v>
      </c>
      <c r="AF79" s="698">
        <f t="shared" si="30"/>
        <v>6100</v>
      </c>
      <c r="AG79" s="698">
        <f t="shared" si="30"/>
        <v>6100</v>
      </c>
      <c r="AH79" s="698">
        <f t="shared" si="30"/>
        <v>6100</v>
      </c>
      <c r="AI79" s="698">
        <f t="shared" si="30"/>
        <v>7600</v>
      </c>
      <c r="AJ79" s="698">
        <f t="shared" si="30"/>
        <v>7600</v>
      </c>
      <c r="AK79" s="698">
        <f t="shared" si="30"/>
        <v>7600</v>
      </c>
      <c r="AL79" s="698">
        <f t="shared" si="30"/>
        <v>7600</v>
      </c>
    </row>
    <row r="80" spans="3:38" s="477" customFormat="1">
      <c r="C80" s="524" t="s">
        <v>330</v>
      </c>
      <c r="D80" s="699"/>
      <c r="E80" s="699"/>
      <c r="F80" s="700">
        <f t="shared" ref="F80:N80" si="31">SUM(F77:F79)</f>
        <v>106339</v>
      </c>
      <c r="G80" s="700">
        <f t="shared" si="31"/>
        <v>113299</v>
      </c>
      <c r="H80" s="700">
        <f t="shared" si="31"/>
        <v>122448</v>
      </c>
      <c r="I80" s="700">
        <f t="shared" si="31"/>
        <v>127799</v>
      </c>
      <c r="J80" s="700">
        <f t="shared" si="31"/>
        <v>131838</v>
      </c>
      <c r="K80" s="700">
        <f t="shared" si="31"/>
        <v>142583</v>
      </c>
      <c r="L80" s="700">
        <f t="shared" si="31"/>
        <v>146011</v>
      </c>
      <c r="M80" s="700">
        <f t="shared" si="31"/>
        <v>143583</v>
      </c>
      <c r="N80" s="700">
        <f t="shared" si="31"/>
        <v>150935</v>
      </c>
      <c r="O80" s="700">
        <f t="shared" ref="O80:AG80" si="32">SUM(O77:O79)</f>
        <v>163104</v>
      </c>
      <c r="P80" s="700">
        <f t="shared" si="32"/>
        <v>169834</v>
      </c>
      <c r="Q80" s="700">
        <f t="shared" si="32"/>
        <v>170701</v>
      </c>
      <c r="R80" s="700">
        <f t="shared" si="32"/>
        <v>171201</v>
      </c>
      <c r="S80" s="700">
        <f t="shared" si="32"/>
        <v>172055</v>
      </c>
      <c r="T80" s="700">
        <f t="shared" si="32"/>
        <v>175348</v>
      </c>
      <c r="U80" s="700">
        <f t="shared" si="32"/>
        <v>187505</v>
      </c>
      <c r="V80" s="700">
        <f t="shared" si="32"/>
        <v>187505</v>
      </c>
      <c r="W80" s="700">
        <f t="shared" si="32"/>
        <v>179541</v>
      </c>
      <c r="X80" s="700">
        <f t="shared" si="32"/>
        <v>191027</v>
      </c>
      <c r="Y80" s="700">
        <f t="shared" si="32"/>
        <v>204815</v>
      </c>
      <c r="Z80" s="700">
        <f t="shared" si="32"/>
        <v>200964</v>
      </c>
      <c r="AA80" s="700">
        <f t="shared" si="32"/>
        <v>205974</v>
      </c>
      <c r="AB80" s="700">
        <f t="shared" si="32"/>
        <v>206837</v>
      </c>
      <c r="AC80" s="700">
        <f t="shared" si="32"/>
        <v>212937</v>
      </c>
      <c r="AD80" s="700">
        <f t="shared" si="32"/>
        <v>219037</v>
      </c>
      <c r="AE80" s="700">
        <f t="shared" si="32"/>
        <v>225137</v>
      </c>
      <c r="AF80" s="700">
        <f t="shared" si="32"/>
        <v>231237</v>
      </c>
      <c r="AG80" s="700">
        <f t="shared" si="32"/>
        <v>237337</v>
      </c>
      <c r="AH80" s="700">
        <f>SUM(AH77:AH79)</f>
        <v>243437</v>
      </c>
      <c r="AI80" s="700">
        <f>SUM(AI77:AI79)</f>
        <v>251037</v>
      </c>
      <c r="AJ80" s="700">
        <f>SUM(AJ77:AJ79)</f>
        <v>258637</v>
      </c>
      <c r="AK80" s="700">
        <f>SUM(AK77:AK79)</f>
        <v>266237</v>
      </c>
      <c r="AL80" s="700">
        <f>SUM(AL77:AL79)</f>
        <v>273837</v>
      </c>
    </row>
    <row r="81" spans="3:38">
      <c r="F81" s="701">
        <f t="shared" ref="F81:AG81" si="33">+F21-F80</f>
        <v>0</v>
      </c>
      <c r="G81" s="701">
        <f t="shared" si="33"/>
        <v>0</v>
      </c>
      <c r="H81" s="701">
        <f t="shared" si="33"/>
        <v>0</v>
      </c>
      <c r="I81" s="701">
        <f t="shared" si="33"/>
        <v>0</v>
      </c>
      <c r="J81" s="701">
        <f t="shared" si="33"/>
        <v>0</v>
      </c>
      <c r="K81" s="701">
        <f t="shared" si="33"/>
        <v>0</v>
      </c>
      <c r="L81" s="701">
        <f t="shared" si="33"/>
        <v>0</v>
      </c>
      <c r="M81" s="701">
        <f t="shared" si="33"/>
        <v>0</v>
      </c>
      <c r="N81" s="701">
        <f t="shared" si="33"/>
        <v>0</v>
      </c>
      <c r="O81" s="701">
        <f t="shared" si="33"/>
        <v>0</v>
      </c>
      <c r="P81" s="701">
        <f t="shared" si="33"/>
        <v>0</v>
      </c>
      <c r="Q81" s="701">
        <f t="shared" si="33"/>
        <v>0</v>
      </c>
      <c r="R81" s="701">
        <f t="shared" si="33"/>
        <v>0</v>
      </c>
      <c r="S81" s="701">
        <f t="shared" si="33"/>
        <v>0.18258778599556535</v>
      </c>
      <c r="T81" s="701">
        <f t="shared" si="33"/>
        <v>0</v>
      </c>
      <c r="U81" s="701">
        <f t="shared" si="33"/>
        <v>0</v>
      </c>
      <c r="V81" s="701">
        <f t="shared" si="33"/>
        <v>0</v>
      </c>
      <c r="W81" s="701">
        <f t="shared" si="33"/>
        <v>0</v>
      </c>
      <c r="X81" s="701">
        <f t="shared" si="33"/>
        <v>0</v>
      </c>
      <c r="Y81" s="701">
        <f t="shared" si="33"/>
        <v>0</v>
      </c>
      <c r="Z81" s="701">
        <f t="shared" si="33"/>
        <v>0</v>
      </c>
      <c r="AA81" s="701">
        <f t="shared" si="33"/>
        <v>0</v>
      </c>
      <c r="AB81" s="701">
        <f t="shared" si="33"/>
        <v>0</v>
      </c>
      <c r="AC81" s="701">
        <f t="shared" si="33"/>
        <v>0</v>
      </c>
      <c r="AD81" s="701">
        <f t="shared" si="33"/>
        <v>0</v>
      </c>
      <c r="AE81" s="701">
        <f t="shared" si="33"/>
        <v>0</v>
      </c>
      <c r="AF81" s="701">
        <f t="shared" si="33"/>
        <v>0</v>
      </c>
      <c r="AG81" s="701">
        <f t="shared" si="33"/>
        <v>0</v>
      </c>
      <c r="AH81" s="701">
        <f>+AH21-AH80</f>
        <v>0</v>
      </c>
      <c r="AI81" s="701">
        <f>+AI21-AI80</f>
        <v>0</v>
      </c>
      <c r="AJ81" s="701">
        <f>+AJ21-AJ80</f>
        <v>0</v>
      </c>
      <c r="AK81" s="701">
        <f>+AK21-AK80</f>
        <v>0</v>
      </c>
      <c r="AL81" s="701">
        <f>+AL21-AL80</f>
        <v>0</v>
      </c>
    </row>
    <row r="82" spans="3:38">
      <c r="C82" s="696" t="s">
        <v>331</v>
      </c>
      <c r="E82" s="697"/>
      <c r="F82" s="697">
        <f>+E22</f>
        <v>64758</v>
      </c>
      <c r="G82" s="697">
        <f>+F85</f>
        <v>70012</v>
      </c>
      <c r="H82" s="697">
        <f>+G85-1544</f>
        <v>73868</v>
      </c>
      <c r="I82" s="697">
        <f>+H85+1725</f>
        <v>79392</v>
      </c>
      <c r="J82" s="697">
        <f>+I85</f>
        <v>80941</v>
      </c>
      <c r="K82" s="697">
        <f>+J85</f>
        <v>81077</v>
      </c>
      <c r="L82" s="697">
        <f>+J85</f>
        <v>81077</v>
      </c>
      <c r="M82" s="697">
        <f>+J85</f>
        <v>81077</v>
      </c>
      <c r="N82" s="697">
        <f>+L85</f>
        <v>87627</v>
      </c>
      <c r="O82" s="697">
        <f>+N85</f>
        <v>89134.159547282674</v>
      </c>
      <c r="P82" s="697">
        <f>+O85</f>
        <v>94462.159547282674</v>
      </c>
      <c r="Q82" s="697">
        <f>+O85</f>
        <v>94462.159547282674</v>
      </c>
      <c r="R82" s="697">
        <f>+O85</f>
        <v>94462.159547282674</v>
      </c>
      <c r="S82" s="697">
        <f>+O85</f>
        <v>94462.159547282674</v>
      </c>
      <c r="T82" s="697">
        <f>+S85</f>
        <v>102093.15954728267</v>
      </c>
      <c r="U82" s="697">
        <f>+S85</f>
        <v>102093.15954728267</v>
      </c>
      <c r="V82" s="697">
        <f>+S85</f>
        <v>102093.15954728267</v>
      </c>
      <c r="W82" s="697">
        <f>+S85</f>
        <v>102093.15954728267</v>
      </c>
      <c r="X82" s="697">
        <f>+W85</f>
        <v>109726.15954728267</v>
      </c>
      <c r="Y82" s="697">
        <f t="shared" ref="Y82:AG82" si="34">+X85</f>
        <v>119428.15954728267</v>
      </c>
      <c r="Z82" s="697">
        <f>+X85</f>
        <v>119428.15954728267</v>
      </c>
      <c r="AA82" s="697">
        <f t="shared" si="34"/>
        <v>127748.15954728267</v>
      </c>
      <c r="AB82" s="697">
        <f>+Z85</f>
        <v>127748.15954728267</v>
      </c>
      <c r="AC82" s="697">
        <f t="shared" si="34"/>
        <v>136006.15954728267</v>
      </c>
      <c r="AD82" s="697">
        <f t="shared" si="34"/>
        <v>144874.15954728267</v>
      </c>
      <c r="AE82" s="697">
        <f t="shared" si="34"/>
        <v>154352.15954728267</v>
      </c>
      <c r="AF82" s="697">
        <f t="shared" si="34"/>
        <v>164440.15954728267</v>
      </c>
      <c r="AG82" s="697">
        <f t="shared" si="34"/>
        <v>175138.15954728267</v>
      </c>
      <c r="AH82" s="697">
        <f>+AG85</f>
        <v>186446.15954728267</v>
      </c>
      <c r="AI82" s="697">
        <f>+AH85</f>
        <v>198262.49288061602</v>
      </c>
      <c r="AJ82" s="697">
        <f>+AI85</f>
        <v>210663.44159856474</v>
      </c>
      <c r="AK82" s="697">
        <f>+AJ85</f>
        <v>223649.00570112883</v>
      </c>
      <c r="AL82" s="697">
        <f>+AK85</f>
        <v>237219.18518830833</v>
      </c>
    </row>
    <row r="83" spans="3:38">
      <c r="C83" s="665" t="s">
        <v>332</v>
      </c>
      <c r="E83" s="697"/>
      <c r="F83" s="697">
        <v>0</v>
      </c>
      <c r="G83" s="697">
        <v>0</v>
      </c>
      <c r="H83" s="697">
        <v>0</v>
      </c>
      <c r="I83" s="697">
        <v>0</v>
      </c>
      <c r="J83" s="697">
        <v>0</v>
      </c>
      <c r="K83" s="697">
        <v>0</v>
      </c>
      <c r="L83" s="697">
        <v>0</v>
      </c>
      <c r="M83" s="697">
        <v>0</v>
      </c>
      <c r="N83" s="697">
        <v>0</v>
      </c>
      <c r="O83" s="697">
        <f>+J83+(O78/10)</f>
        <v>0</v>
      </c>
      <c r="P83" s="698">
        <f>+M83+(P78/10)</f>
        <v>0</v>
      </c>
      <c r="Q83" s="698">
        <f>+N83+(Q78/10)</f>
        <v>0</v>
      </c>
      <c r="R83" s="698">
        <f>+O83+(R78/10)</f>
        <v>0</v>
      </c>
      <c r="S83" s="698">
        <f>+P83+(S78/10)</f>
        <v>0</v>
      </c>
      <c r="T83" s="698">
        <f>+M83+(T78/10)</f>
        <v>0</v>
      </c>
      <c r="U83" s="698">
        <f>+N83+(U78/10)</f>
        <v>0</v>
      </c>
      <c r="V83" s="698">
        <f>+O83+(V78/10)</f>
        <v>0</v>
      </c>
      <c r="W83" s="698">
        <f>+P83+(W78/10)</f>
        <v>0</v>
      </c>
      <c r="X83" s="698">
        <f>+O83+(X78/10)</f>
        <v>0</v>
      </c>
      <c r="Y83" s="698">
        <f t="shared" ref="Y83:AG84" si="35">+X83+(Y78/10)</f>
        <v>0</v>
      </c>
      <c r="Z83" s="698">
        <f t="shared" si="35"/>
        <v>0</v>
      </c>
      <c r="AA83" s="698">
        <f t="shared" si="35"/>
        <v>0</v>
      </c>
      <c r="AB83" s="698">
        <f>+AA83+(AB78/10)</f>
        <v>0</v>
      </c>
      <c r="AC83" s="698">
        <f t="shared" si="35"/>
        <v>0</v>
      </c>
      <c r="AD83" s="698">
        <f t="shared" si="35"/>
        <v>0</v>
      </c>
      <c r="AE83" s="698">
        <f t="shared" si="35"/>
        <v>0</v>
      </c>
      <c r="AF83" s="698">
        <f t="shared" si="35"/>
        <v>0</v>
      </c>
      <c r="AG83" s="698">
        <f t="shared" si="35"/>
        <v>0</v>
      </c>
      <c r="AH83" s="698">
        <f>+AG83+(AH78/10)</f>
        <v>0</v>
      </c>
      <c r="AI83" s="698">
        <f>+AH83+(AI78/10)</f>
        <v>0</v>
      </c>
      <c r="AJ83" s="698">
        <f>+AI83+(AJ78/10)</f>
        <v>0</v>
      </c>
      <c r="AK83" s="698">
        <f>+AJ83+(AK78/10)</f>
        <v>0</v>
      </c>
      <c r="AL83" s="698">
        <f>+AK83+(AL78/10)</f>
        <v>0</v>
      </c>
    </row>
    <row r="84" spans="3:38">
      <c r="C84" s="665" t="s">
        <v>333</v>
      </c>
      <c r="E84" s="697"/>
      <c r="F84" s="697">
        <f>70012-64758</f>
        <v>5254</v>
      </c>
      <c r="G84" s="697">
        <v>5400</v>
      </c>
      <c r="H84" s="697">
        <v>3799</v>
      </c>
      <c r="I84" s="697">
        <v>1549</v>
      </c>
      <c r="J84" s="697">
        <v>136</v>
      </c>
      <c r="K84" s="697">
        <f>+'Inc St'!K30+18</f>
        <v>4843</v>
      </c>
      <c r="L84" s="697">
        <v>6550</v>
      </c>
      <c r="M84" s="697">
        <f>+'Inc St'!M30</f>
        <v>6286</v>
      </c>
      <c r="N84" s="697">
        <f>+'Inc St'!N30</f>
        <v>1507.1595472826807</v>
      </c>
      <c r="O84" s="697">
        <f>94462-89134</f>
        <v>5328</v>
      </c>
      <c r="P84" s="698">
        <f>98013-94462</f>
        <v>3551</v>
      </c>
      <c r="Q84" s="698">
        <f>100072-94462</f>
        <v>5610</v>
      </c>
      <c r="R84" s="698">
        <f>7384-116</f>
        <v>7268</v>
      </c>
      <c r="S84" s="698">
        <f>7384+247</f>
        <v>7631</v>
      </c>
      <c r="T84" s="698">
        <v>3602</v>
      </c>
      <c r="U84" s="698">
        <f>8250-13</f>
        <v>8237</v>
      </c>
      <c r="V84" s="698">
        <f>8250</f>
        <v>8250</v>
      </c>
      <c r="W84" s="698">
        <v>7633</v>
      </c>
      <c r="X84" s="698">
        <v>9702</v>
      </c>
      <c r="Y84" s="698">
        <v>7594</v>
      </c>
      <c r="Z84" s="698">
        <v>8320</v>
      </c>
      <c r="AA84" s="698">
        <v>8333</v>
      </c>
      <c r="AB84" s="698">
        <v>8258</v>
      </c>
      <c r="AC84" s="698">
        <f t="shared" si="35"/>
        <v>8868</v>
      </c>
      <c r="AD84" s="698">
        <f t="shared" si="35"/>
        <v>9478</v>
      </c>
      <c r="AE84" s="698">
        <f t="shared" si="35"/>
        <v>10088</v>
      </c>
      <c r="AF84" s="698">
        <f t="shared" si="35"/>
        <v>10698</v>
      </c>
      <c r="AG84" s="698">
        <f t="shared" si="35"/>
        <v>11308</v>
      </c>
      <c r="AH84" s="698">
        <f>+AG84+(AH79/12)</f>
        <v>11816.333333333334</v>
      </c>
      <c r="AI84" s="698">
        <f>+AH84+(AI79/13)</f>
        <v>12400.948717948719</v>
      </c>
      <c r="AJ84" s="698">
        <f>+AI84+(AJ79/13)</f>
        <v>12985.564102564103</v>
      </c>
      <c r="AK84" s="698">
        <f>+AJ84+(AK79/13)</f>
        <v>13570.179487179488</v>
      </c>
      <c r="AL84" s="698">
        <f>+AK84+(AL79/13)</f>
        <v>14154.794871794873</v>
      </c>
    </row>
    <row r="85" spans="3:38" s="477" customFormat="1">
      <c r="C85" s="624" t="s">
        <v>334</v>
      </c>
      <c r="D85" s="699"/>
      <c r="E85" s="699"/>
      <c r="F85" s="700">
        <f t="shared" ref="F85:N85" si="36">SUM(F82:F84)</f>
        <v>70012</v>
      </c>
      <c r="G85" s="700">
        <f t="shared" si="36"/>
        <v>75412</v>
      </c>
      <c r="H85" s="700">
        <f t="shared" si="36"/>
        <v>77667</v>
      </c>
      <c r="I85" s="700">
        <f t="shared" si="36"/>
        <v>80941</v>
      </c>
      <c r="J85" s="700">
        <f t="shared" si="36"/>
        <v>81077</v>
      </c>
      <c r="K85" s="700">
        <f t="shared" si="36"/>
        <v>85920</v>
      </c>
      <c r="L85" s="700">
        <f t="shared" si="36"/>
        <v>87627</v>
      </c>
      <c r="M85" s="700">
        <f t="shared" si="36"/>
        <v>87363</v>
      </c>
      <c r="N85" s="700">
        <f t="shared" si="36"/>
        <v>89134.159547282674</v>
      </c>
      <c r="O85" s="700">
        <f t="shared" ref="O85:AG85" si="37">SUM(O82:O84)</f>
        <v>94462.159547282674</v>
      </c>
      <c r="P85" s="700">
        <f t="shared" si="37"/>
        <v>98013.159547282674</v>
      </c>
      <c r="Q85" s="700">
        <f t="shared" si="37"/>
        <v>100072.15954728267</v>
      </c>
      <c r="R85" s="700">
        <f t="shared" si="37"/>
        <v>101730.15954728267</v>
      </c>
      <c r="S85" s="700">
        <f t="shared" si="37"/>
        <v>102093.15954728267</v>
      </c>
      <c r="T85" s="700">
        <f t="shared" si="37"/>
        <v>105695.15954728267</v>
      </c>
      <c r="U85" s="700">
        <f t="shared" si="37"/>
        <v>110330.15954728267</v>
      </c>
      <c r="V85" s="700">
        <f t="shared" si="37"/>
        <v>110343.15954728267</v>
      </c>
      <c r="W85" s="700">
        <f t="shared" si="37"/>
        <v>109726.15954728267</v>
      </c>
      <c r="X85" s="700">
        <f t="shared" si="37"/>
        <v>119428.15954728267</v>
      </c>
      <c r="Y85" s="700">
        <f t="shared" si="37"/>
        <v>127022.15954728267</v>
      </c>
      <c r="Z85" s="700">
        <f t="shared" si="37"/>
        <v>127748.15954728267</v>
      </c>
      <c r="AA85" s="700">
        <f t="shared" si="37"/>
        <v>136081.15954728267</v>
      </c>
      <c r="AB85" s="700">
        <f t="shared" si="37"/>
        <v>136006.15954728267</v>
      </c>
      <c r="AC85" s="700">
        <f t="shared" si="37"/>
        <v>144874.15954728267</v>
      </c>
      <c r="AD85" s="700">
        <f t="shared" si="37"/>
        <v>154352.15954728267</v>
      </c>
      <c r="AE85" s="700">
        <f t="shared" si="37"/>
        <v>164440.15954728267</v>
      </c>
      <c r="AF85" s="700">
        <f t="shared" si="37"/>
        <v>175138.15954728267</v>
      </c>
      <c r="AG85" s="700">
        <f t="shared" si="37"/>
        <v>186446.15954728267</v>
      </c>
      <c r="AH85" s="700">
        <f>SUM(AH82:AH84)</f>
        <v>198262.49288061602</v>
      </c>
      <c r="AI85" s="700">
        <f>SUM(AI82:AI84)</f>
        <v>210663.44159856474</v>
      </c>
      <c r="AJ85" s="700">
        <f>SUM(AJ82:AJ84)</f>
        <v>223649.00570112883</v>
      </c>
      <c r="AK85" s="700">
        <f>SUM(AK82:AK84)</f>
        <v>237219.18518830833</v>
      </c>
      <c r="AL85" s="700">
        <f>SUM(AL82:AL84)</f>
        <v>251373.9800601032</v>
      </c>
    </row>
    <row r="86" spans="3:38">
      <c r="E86" s="702"/>
      <c r="F86" s="701">
        <f t="shared" ref="F86:AG86" si="38">+F22-F85</f>
        <v>0</v>
      </c>
      <c r="G86" s="701">
        <f t="shared" si="38"/>
        <v>0</v>
      </c>
      <c r="H86" s="701">
        <f t="shared" si="38"/>
        <v>0</v>
      </c>
      <c r="I86" s="701">
        <f t="shared" si="38"/>
        <v>0</v>
      </c>
      <c r="J86" s="701">
        <f t="shared" si="38"/>
        <v>0</v>
      </c>
      <c r="K86" s="701">
        <f t="shared" si="38"/>
        <v>0</v>
      </c>
      <c r="L86" s="701">
        <f t="shared" si="38"/>
        <v>0</v>
      </c>
      <c r="M86" s="701">
        <f t="shared" si="38"/>
        <v>0</v>
      </c>
      <c r="N86" s="701">
        <f t="shared" si="38"/>
        <v>3.2867214496945962E-2</v>
      </c>
      <c r="O86" s="701">
        <f t="shared" si="38"/>
        <v>-0.15954728267388418</v>
      </c>
      <c r="P86" s="701">
        <f t="shared" si="38"/>
        <v>-0.15954728267388418</v>
      </c>
      <c r="Q86" s="701">
        <f t="shared" si="38"/>
        <v>-0.15954728267388418</v>
      </c>
      <c r="R86" s="701">
        <f t="shared" si="38"/>
        <v>-3.8287795498035848E-2</v>
      </c>
      <c r="S86" s="701">
        <f t="shared" si="38"/>
        <v>-0.15954728267388418</v>
      </c>
      <c r="T86" s="701">
        <f t="shared" si="38"/>
        <v>-0.15954728267388418</v>
      </c>
      <c r="U86" s="701">
        <f t="shared" si="38"/>
        <v>-0.15954728267388418</v>
      </c>
      <c r="V86" s="701">
        <f t="shared" si="38"/>
        <v>0.17337579425657168</v>
      </c>
      <c r="W86" s="701">
        <f t="shared" si="38"/>
        <v>-0.15954728267388418</v>
      </c>
      <c r="X86" s="701">
        <f t="shared" si="38"/>
        <v>-0.15954728267388418</v>
      </c>
      <c r="Y86" s="701">
        <f t="shared" si="38"/>
        <v>-0.15954728267388418</v>
      </c>
      <c r="Z86" s="701">
        <f t="shared" si="38"/>
        <v>-0.15954728267388418</v>
      </c>
      <c r="AA86" s="701">
        <f t="shared" si="38"/>
        <v>352.84045271732612</v>
      </c>
      <c r="AB86" s="701">
        <f t="shared" si="38"/>
        <v>-0.15954728267388418</v>
      </c>
      <c r="AC86" s="701">
        <f t="shared" si="38"/>
        <v>-0.15954728267388418</v>
      </c>
      <c r="AD86" s="701">
        <f t="shared" si="38"/>
        <v>-0.15954728267388418</v>
      </c>
      <c r="AE86" s="701">
        <f t="shared" si="38"/>
        <v>-0.15954728267388418</v>
      </c>
      <c r="AF86" s="701">
        <f t="shared" si="38"/>
        <v>-0.15954728267388418</v>
      </c>
      <c r="AG86" s="701">
        <f t="shared" si="38"/>
        <v>-0.15954728267388418</v>
      </c>
      <c r="AH86" s="701">
        <f>+AH22-AH85</f>
        <v>-0.15954728267388418</v>
      </c>
      <c r="AI86" s="701">
        <f>+AI22-AI85</f>
        <v>-0.15954728267388418</v>
      </c>
      <c r="AJ86" s="701">
        <f>+AJ22-AJ85</f>
        <v>-0.15954728267388418</v>
      </c>
      <c r="AK86" s="701">
        <f>+AK22-AK85</f>
        <v>-0.15954728267388418</v>
      </c>
      <c r="AL86" s="701">
        <f>+AL22-AL85</f>
        <v>-0.15954728267388418</v>
      </c>
    </row>
    <row r="87" spans="3:38" s="477" customFormat="1">
      <c r="C87" s="524" t="s">
        <v>335</v>
      </c>
      <c r="D87" s="524"/>
      <c r="E87" s="699"/>
      <c r="F87" s="700">
        <f t="shared" ref="F87:AG87" si="39">+F80-F85</f>
        <v>36327</v>
      </c>
      <c r="G87" s="700">
        <f t="shared" si="39"/>
        <v>37887</v>
      </c>
      <c r="H87" s="700">
        <f t="shared" si="39"/>
        <v>44781</v>
      </c>
      <c r="I87" s="700">
        <f t="shared" si="39"/>
        <v>46858</v>
      </c>
      <c r="J87" s="700">
        <f t="shared" si="39"/>
        <v>50761</v>
      </c>
      <c r="K87" s="700">
        <f t="shared" si="39"/>
        <v>56663</v>
      </c>
      <c r="L87" s="700">
        <f t="shared" si="39"/>
        <v>58384</v>
      </c>
      <c r="M87" s="700">
        <f t="shared" si="39"/>
        <v>56220</v>
      </c>
      <c r="N87" s="700">
        <f t="shared" si="39"/>
        <v>61800.840452717326</v>
      </c>
      <c r="O87" s="700">
        <f t="shared" si="39"/>
        <v>68641.840452717326</v>
      </c>
      <c r="P87" s="700">
        <f t="shared" si="39"/>
        <v>71820.840452717326</v>
      </c>
      <c r="Q87" s="700">
        <f t="shared" si="39"/>
        <v>70628.840452717326</v>
      </c>
      <c r="R87" s="700">
        <f t="shared" si="39"/>
        <v>69470.840452717326</v>
      </c>
      <c r="S87" s="700">
        <f t="shared" si="39"/>
        <v>69961.840452717326</v>
      </c>
      <c r="T87" s="700">
        <f t="shared" si="39"/>
        <v>69652.840452717326</v>
      </c>
      <c r="U87" s="700">
        <f t="shared" si="39"/>
        <v>77174.840452717326</v>
      </c>
      <c r="V87" s="700">
        <f t="shared" si="39"/>
        <v>77161.840452717326</v>
      </c>
      <c r="W87" s="700">
        <f t="shared" si="39"/>
        <v>69814.840452717326</v>
      </c>
      <c r="X87" s="700">
        <f t="shared" si="39"/>
        <v>71598.840452717326</v>
      </c>
      <c r="Y87" s="700">
        <f t="shared" si="39"/>
        <v>77792.840452717326</v>
      </c>
      <c r="Z87" s="700">
        <f t="shared" si="39"/>
        <v>73215.840452717326</v>
      </c>
      <c r="AA87" s="700">
        <f t="shared" si="39"/>
        <v>69892.840452717326</v>
      </c>
      <c r="AB87" s="700">
        <f t="shared" si="39"/>
        <v>70830.840452717326</v>
      </c>
      <c r="AC87" s="700">
        <f t="shared" si="39"/>
        <v>68062.840452717326</v>
      </c>
      <c r="AD87" s="700">
        <f t="shared" si="39"/>
        <v>64684.840452717326</v>
      </c>
      <c r="AE87" s="700">
        <f t="shared" si="39"/>
        <v>60696.840452717326</v>
      </c>
      <c r="AF87" s="700">
        <f t="shared" si="39"/>
        <v>56098.840452717326</v>
      </c>
      <c r="AG87" s="700">
        <f t="shared" si="39"/>
        <v>50890.840452717326</v>
      </c>
      <c r="AH87" s="700">
        <f>+AH80-AH85</f>
        <v>45174.507119383983</v>
      </c>
      <c r="AI87" s="700">
        <f>+AI80-AI85</f>
        <v>40373.558401435264</v>
      </c>
      <c r="AJ87" s="700">
        <f>+AJ80-AJ85</f>
        <v>34987.99429887117</v>
      </c>
      <c r="AK87" s="700">
        <f>+AK80-AK85</f>
        <v>29017.814811691671</v>
      </c>
      <c r="AL87" s="700">
        <f>+AL80-AL85</f>
        <v>22463.019939896796</v>
      </c>
    </row>
    <row r="88" spans="3:38">
      <c r="C88" s="465"/>
      <c r="D88" s="465"/>
      <c r="F88" s="701">
        <f t="shared" ref="F88:AG88" si="40">+F23-F87</f>
        <v>0</v>
      </c>
      <c r="G88" s="701">
        <f t="shared" si="40"/>
        <v>0</v>
      </c>
      <c r="H88" s="701">
        <f t="shared" si="40"/>
        <v>0</v>
      </c>
      <c r="I88" s="701">
        <f t="shared" si="40"/>
        <v>0</v>
      </c>
      <c r="J88" s="701">
        <f t="shared" si="40"/>
        <v>0</v>
      </c>
      <c r="K88" s="701">
        <f t="shared" si="40"/>
        <v>0</v>
      </c>
      <c r="L88" s="701">
        <f t="shared" si="40"/>
        <v>0</v>
      </c>
      <c r="M88" s="701">
        <f t="shared" si="40"/>
        <v>0</v>
      </c>
      <c r="N88" s="701">
        <f t="shared" si="40"/>
        <v>-3.2867214496945962E-2</v>
      </c>
      <c r="O88" s="701">
        <f t="shared" si="40"/>
        <v>0.15954728267388418</v>
      </c>
      <c r="P88" s="701">
        <f t="shared" si="40"/>
        <v>0.15954728267388418</v>
      </c>
      <c r="Q88" s="701">
        <f t="shared" si="40"/>
        <v>0.15954728267388418</v>
      </c>
      <c r="R88" s="701">
        <f t="shared" si="40"/>
        <v>3.8287795498035848E-2</v>
      </c>
      <c r="S88" s="701">
        <f t="shared" si="40"/>
        <v>0.34213506866944954</v>
      </c>
      <c r="T88" s="701">
        <f t="shared" si="40"/>
        <v>0.15954728267388418</v>
      </c>
      <c r="U88" s="701">
        <f t="shared" si="40"/>
        <v>0.15954728267388418</v>
      </c>
      <c r="V88" s="701">
        <f t="shared" si="40"/>
        <v>-0.17337579425657168</v>
      </c>
      <c r="W88" s="701">
        <f t="shared" si="40"/>
        <v>0.15954728267388418</v>
      </c>
      <c r="X88" s="701">
        <f t="shared" si="40"/>
        <v>0.15954728267388418</v>
      </c>
      <c r="Y88" s="701">
        <f t="shared" si="40"/>
        <v>0.15954728267388418</v>
      </c>
      <c r="Z88" s="701">
        <f t="shared" si="40"/>
        <v>0.15954728267388418</v>
      </c>
      <c r="AA88" s="701">
        <f t="shared" si="40"/>
        <v>-352.84045271732612</v>
      </c>
      <c r="AB88" s="701">
        <f t="shared" si="40"/>
        <v>0.15954728267388418</v>
      </c>
      <c r="AC88" s="701">
        <f t="shared" si="40"/>
        <v>0.15954728267388418</v>
      </c>
      <c r="AD88" s="701">
        <f t="shared" si="40"/>
        <v>0.15954728267388418</v>
      </c>
      <c r="AE88" s="701">
        <f t="shared" si="40"/>
        <v>0.15954728267388418</v>
      </c>
      <c r="AF88" s="701">
        <f t="shared" si="40"/>
        <v>0.15954728267388418</v>
      </c>
      <c r="AG88" s="701">
        <f t="shared" si="40"/>
        <v>0.15954728267388418</v>
      </c>
      <c r="AH88" s="701">
        <f>+AH23-AH87</f>
        <v>0.15954728267388418</v>
      </c>
      <c r="AI88" s="701">
        <f>+AI23-AI87</f>
        <v>0.15954728267388418</v>
      </c>
      <c r="AJ88" s="701">
        <f>+AJ23-AJ87</f>
        <v>0.15954728267388418</v>
      </c>
      <c r="AK88" s="701">
        <f>+AK23-AK87</f>
        <v>0.15954728267388418</v>
      </c>
      <c r="AL88" s="701">
        <f>+AL23-AL87</f>
        <v>0.15954728267388418</v>
      </c>
    </row>
    <row r="89" spans="3:38" ht="14" thickBot="1">
      <c r="C89" s="465"/>
      <c r="D89" s="465"/>
      <c r="F89" s="699"/>
      <c r="G89" s="699"/>
      <c r="H89" s="699"/>
      <c r="I89" s="699"/>
      <c r="J89" s="699"/>
      <c r="K89" s="699"/>
      <c r="L89" s="699"/>
      <c r="M89" s="699"/>
      <c r="N89" s="699"/>
      <c r="O89" s="699"/>
      <c r="P89" s="699"/>
      <c r="Q89" s="699"/>
      <c r="R89" s="699"/>
      <c r="S89" s="699"/>
      <c r="T89" s="699"/>
      <c r="U89" s="699"/>
      <c r="V89" s="699"/>
      <c r="W89" s="699"/>
      <c r="X89" s="699"/>
      <c r="Y89" s="699"/>
      <c r="Z89" s="699"/>
      <c r="AA89" s="699"/>
      <c r="AB89" s="699"/>
      <c r="AC89" s="699"/>
      <c r="AD89" s="699"/>
      <c r="AE89" s="699"/>
      <c r="AF89" s="699"/>
      <c r="AG89" s="699"/>
      <c r="AH89" s="699"/>
      <c r="AI89" s="699"/>
      <c r="AJ89" s="699"/>
      <c r="AK89" s="699"/>
      <c r="AL89" s="699"/>
    </row>
    <row r="90" spans="3:38" ht="19" thickBot="1">
      <c r="C90" s="684" t="s">
        <v>336</v>
      </c>
      <c r="D90" s="694"/>
      <c r="F90" s="699"/>
      <c r="G90" s="699"/>
      <c r="H90" s="699"/>
      <c r="I90" s="699"/>
      <c r="J90" s="699"/>
      <c r="K90" s="699"/>
      <c r="L90" s="699"/>
      <c r="M90" s="699"/>
      <c r="N90" s="699"/>
      <c r="O90" s="699"/>
      <c r="P90" s="699"/>
      <c r="Q90" s="699"/>
      <c r="R90" s="699"/>
      <c r="S90" s="699"/>
      <c r="T90" s="699"/>
      <c r="U90" s="699"/>
      <c r="V90" s="699"/>
      <c r="W90" s="699"/>
      <c r="X90" s="699"/>
      <c r="Y90" s="699"/>
      <c r="Z90" s="699"/>
      <c r="AA90" s="699"/>
      <c r="AB90" s="699">
        <f>AB100-20000</f>
        <v>87551</v>
      </c>
      <c r="AC90" s="699"/>
      <c r="AD90" s="699"/>
      <c r="AE90" s="699"/>
      <c r="AF90" s="699"/>
      <c r="AG90" s="699"/>
      <c r="AH90" s="699"/>
      <c r="AI90" s="699"/>
      <c r="AJ90" s="699"/>
      <c r="AK90" s="699"/>
      <c r="AL90" s="699"/>
    </row>
    <row r="91" spans="3:38">
      <c r="F91" s="699"/>
      <c r="G91" s="699"/>
      <c r="H91" s="699"/>
      <c r="I91" s="699"/>
      <c r="J91" s="699"/>
      <c r="K91" s="699"/>
      <c r="L91" s="699"/>
      <c r="M91" s="699"/>
      <c r="N91" s="699"/>
      <c r="O91" s="699"/>
      <c r="P91" s="699"/>
      <c r="Q91" s="699"/>
      <c r="R91" s="699"/>
      <c r="S91" s="699"/>
      <c r="T91" s="699"/>
      <c r="U91" s="699"/>
      <c r="V91" s="699"/>
      <c r="W91" s="699"/>
      <c r="X91" s="699"/>
      <c r="Y91" s="699"/>
      <c r="Z91" s="699"/>
      <c r="AA91" s="699"/>
      <c r="AB91" s="699"/>
      <c r="AC91" s="699"/>
      <c r="AD91" s="699"/>
      <c r="AE91" s="699"/>
      <c r="AF91" s="699"/>
      <c r="AG91" s="699"/>
      <c r="AH91" s="699"/>
      <c r="AI91" s="699"/>
      <c r="AJ91" s="699"/>
      <c r="AK91" s="699"/>
      <c r="AL91" s="699"/>
    </row>
    <row r="92" spans="3:38">
      <c r="C92" s="696" t="s">
        <v>327</v>
      </c>
      <c r="D92" s="651"/>
      <c r="F92" s="697">
        <f>+E30</f>
        <v>7174</v>
      </c>
      <c r="G92" s="697">
        <f>+F94</f>
        <v>12072</v>
      </c>
      <c r="H92" s="697">
        <f>+G94</f>
        <v>16973</v>
      </c>
      <c r="I92" s="697">
        <f>+H94</f>
        <v>14200</v>
      </c>
      <c r="J92" s="697">
        <f>+I94</f>
        <v>11005</v>
      </c>
      <c r="K92" s="697">
        <f>+J94</f>
        <v>4279</v>
      </c>
      <c r="L92" s="697">
        <f>+J94</f>
        <v>4279</v>
      </c>
      <c r="M92" s="697">
        <f>+J94</f>
        <v>4279</v>
      </c>
      <c r="N92" s="697">
        <f>+L94</f>
        <v>15494</v>
      </c>
      <c r="O92" s="697">
        <f>+N94</f>
        <v>26435</v>
      </c>
      <c r="P92" s="697">
        <f>+O94</f>
        <v>42979</v>
      </c>
      <c r="Q92" s="697">
        <f>+O94</f>
        <v>42979</v>
      </c>
      <c r="R92" s="697">
        <f>+O94</f>
        <v>42979</v>
      </c>
      <c r="S92" s="697">
        <f>+O94</f>
        <v>42979</v>
      </c>
      <c r="T92" s="697">
        <f>+S94</f>
        <v>30793</v>
      </c>
      <c r="U92" s="697">
        <f>+S94</f>
        <v>30793</v>
      </c>
      <c r="V92" s="697">
        <f>+S94</f>
        <v>30793</v>
      </c>
      <c r="W92" s="697">
        <f>+S94</f>
        <v>30793</v>
      </c>
      <c r="X92" s="697">
        <f>+W94</f>
        <v>29710</v>
      </c>
      <c r="Y92" s="697">
        <f t="shared" ref="Y92:AG92" si="41">+X94</f>
        <v>6331</v>
      </c>
      <c r="Z92" s="697">
        <f>+X94</f>
        <v>6331</v>
      </c>
      <c r="AA92" s="697">
        <f t="shared" si="41"/>
        <v>7655</v>
      </c>
      <c r="AB92" s="697">
        <f>+Z94</f>
        <v>7655</v>
      </c>
      <c r="AC92" s="697">
        <f t="shared" si="41"/>
        <v>15568</v>
      </c>
      <c r="AD92" s="697">
        <f t="shared" si="41"/>
        <v>14568</v>
      </c>
      <c r="AE92" s="697">
        <f t="shared" si="41"/>
        <v>13568</v>
      </c>
      <c r="AF92" s="697">
        <f t="shared" si="41"/>
        <v>12568</v>
      </c>
      <c r="AG92" s="697">
        <f t="shared" si="41"/>
        <v>11568</v>
      </c>
      <c r="AH92" s="697">
        <f>+AG94</f>
        <v>10568</v>
      </c>
      <c r="AI92" s="697">
        <f>+AH94</f>
        <v>9568</v>
      </c>
      <c r="AJ92" s="697">
        <f>+AI94</f>
        <v>8568</v>
      </c>
      <c r="AK92" s="697">
        <f>+AJ94</f>
        <v>7568</v>
      </c>
      <c r="AL92" s="697">
        <f>+AK94</f>
        <v>6568</v>
      </c>
    </row>
    <row r="93" spans="3:38">
      <c r="C93" s="665" t="s">
        <v>337</v>
      </c>
      <c r="F93" s="697">
        <v>4898</v>
      </c>
      <c r="G93" s="697">
        <v>4901</v>
      </c>
      <c r="H93" s="697">
        <f>4941+255-7969</f>
        <v>-2773</v>
      </c>
      <c r="I93" s="697">
        <v>-3195</v>
      </c>
      <c r="J93" s="697">
        <v>-6726</v>
      </c>
      <c r="K93" s="697">
        <v>13111</v>
      </c>
      <c r="L93" s="697">
        <v>11215</v>
      </c>
      <c r="M93" s="697">
        <f>+K93+1300</f>
        <v>14411</v>
      </c>
      <c r="N93" s="697">
        <v>10941</v>
      </c>
      <c r="O93" s="697">
        <v>16544</v>
      </c>
      <c r="P93" s="698">
        <f>48516-42979</f>
        <v>5537</v>
      </c>
      <c r="Q93" s="698">
        <f>60221-42979</f>
        <v>17242</v>
      </c>
      <c r="R93" s="698">
        <f>17242-500</f>
        <v>16742</v>
      </c>
      <c r="S93" s="698">
        <v>-12186</v>
      </c>
      <c r="T93" s="698">
        <v>6172</v>
      </c>
      <c r="U93" s="698">
        <v>6172</v>
      </c>
      <c r="V93" s="698">
        <v>5802</v>
      </c>
      <c r="W93" s="698">
        <v>-1083</v>
      </c>
      <c r="X93" s="698">
        <v>-23379</v>
      </c>
      <c r="Y93" s="698">
        <v>14586</v>
      </c>
      <c r="Z93" s="698">
        <f>-1331+2655</f>
        <v>1324</v>
      </c>
      <c r="AA93" s="698">
        <v>-500</v>
      </c>
      <c r="AB93" s="698">
        <v>7913</v>
      </c>
      <c r="AC93" s="698">
        <v>-1000</v>
      </c>
      <c r="AD93" s="698">
        <v>-1000</v>
      </c>
      <c r="AE93" s="698">
        <v>-1000</v>
      </c>
      <c r="AF93" s="698">
        <v>-1000</v>
      </c>
      <c r="AG93" s="698">
        <v>-1000</v>
      </c>
      <c r="AH93" s="698">
        <v>-1000</v>
      </c>
      <c r="AI93" s="698">
        <v>-1000</v>
      </c>
      <c r="AJ93" s="698">
        <v>-1000</v>
      </c>
      <c r="AK93" s="698">
        <v>-1000</v>
      </c>
      <c r="AL93" s="698">
        <v>-1000</v>
      </c>
    </row>
    <row r="94" spans="3:38">
      <c r="C94" s="699" t="s">
        <v>338</v>
      </c>
      <c r="D94" s="699"/>
      <c r="E94" s="702"/>
      <c r="F94" s="700">
        <f t="shared" ref="F94:AG94" si="42">SUM(F92:F93)</f>
        <v>12072</v>
      </c>
      <c r="G94" s="700">
        <f t="shared" si="42"/>
        <v>16973</v>
      </c>
      <c r="H94" s="700">
        <f t="shared" si="42"/>
        <v>14200</v>
      </c>
      <c r="I94" s="700">
        <f t="shared" si="42"/>
        <v>11005</v>
      </c>
      <c r="J94" s="700">
        <f t="shared" si="42"/>
        <v>4279</v>
      </c>
      <c r="K94" s="700">
        <f t="shared" si="42"/>
        <v>17390</v>
      </c>
      <c r="L94" s="700">
        <f t="shared" si="42"/>
        <v>15494</v>
      </c>
      <c r="M94" s="700">
        <f t="shared" si="42"/>
        <v>18690</v>
      </c>
      <c r="N94" s="700">
        <f t="shared" si="42"/>
        <v>26435</v>
      </c>
      <c r="O94" s="700">
        <f t="shared" si="42"/>
        <v>42979</v>
      </c>
      <c r="P94" s="700">
        <f t="shared" si="42"/>
        <v>48516</v>
      </c>
      <c r="Q94" s="700">
        <f t="shared" si="42"/>
        <v>60221</v>
      </c>
      <c r="R94" s="700">
        <f t="shared" si="42"/>
        <v>59721</v>
      </c>
      <c r="S94" s="700">
        <f t="shared" si="42"/>
        <v>30793</v>
      </c>
      <c r="T94" s="700">
        <f t="shared" si="42"/>
        <v>36965</v>
      </c>
      <c r="U94" s="700">
        <f t="shared" si="42"/>
        <v>36965</v>
      </c>
      <c r="V94" s="700">
        <f t="shared" si="42"/>
        <v>36595</v>
      </c>
      <c r="W94" s="700">
        <f t="shared" si="42"/>
        <v>29710</v>
      </c>
      <c r="X94" s="700">
        <f t="shared" si="42"/>
        <v>6331</v>
      </c>
      <c r="Y94" s="700">
        <f t="shared" si="42"/>
        <v>20917</v>
      </c>
      <c r="Z94" s="700">
        <f t="shared" si="42"/>
        <v>7655</v>
      </c>
      <c r="AA94" s="700">
        <f t="shared" si="42"/>
        <v>7155</v>
      </c>
      <c r="AB94" s="700">
        <f t="shared" si="42"/>
        <v>15568</v>
      </c>
      <c r="AC94" s="700">
        <f t="shared" si="42"/>
        <v>14568</v>
      </c>
      <c r="AD94" s="700">
        <f t="shared" si="42"/>
        <v>13568</v>
      </c>
      <c r="AE94" s="700">
        <f t="shared" si="42"/>
        <v>12568</v>
      </c>
      <c r="AF94" s="700">
        <f t="shared" si="42"/>
        <v>11568</v>
      </c>
      <c r="AG94" s="700">
        <f t="shared" si="42"/>
        <v>10568</v>
      </c>
      <c r="AH94" s="700">
        <f>SUM(AH92:AH93)</f>
        <v>9568</v>
      </c>
      <c r="AI94" s="700">
        <f>SUM(AI92:AI93)</f>
        <v>8568</v>
      </c>
      <c r="AJ94" s="700">
        <f>SUM(AJ92:AJ93)</f>
        <v>7568</v>
      </c>
      <c r="AK94" s="700">
        <f>SUM(AK92:AK93)</f>
        <v>6568</v>
      </c>
      <c r="AL94" s="700">
        <f>SUM(AL92:AL93)</f>
        <v>5568</v>
      </c>
    </row>
    <row r="95" spans="3:38">
      <c r="F95" s="701">
        <f t="shared" ref="F95:AG95" si="43">+F30-F94</f>
        <v>0</v>
      </c>
      <c r="G95" s="701">
        <f t="shared" si="43"/>
        <v>-1.2006039418338332E-2</v>
      </c>
      <c r="H95" s="701">
        <f t="shared" si="43"/>
        <v>-0.24099627510804567</v>
      </c>
      <c r="I95" s="701">
        <f t="shared" si="43"/>
        <v>0</v>
      </c>
      <c r="J95" s="701">
        <f t="shared" si="43"/>
        <v>0</v>
      </c>
      <c r="K95" s="701">
        <f t="shared" si="43"/>
        <v>-0.39886110201769043</v>
      </c>
      <c r="L95" s="701">
        <f t="shared" si="43"/>
        <v>0</v>
      </c>
      <c r="M95" s="701">
        <f t="shared" si="43"/>
        <v>0</v>
      </c>
      <c r="N95" s="701">
        <f t="shared" si="43"/>
        <v>-0.48814398135436932</v>
      </c>
      <c r="O95" s="701">
        <f t="shared" si="43"/>
        <v>-0.18479405524703907</v>
      </c>
      <c r="P95" s="701">
        <f t="shared" si="43"/>
        <v>0</v>
      </c>
      <c r="Q95" s="701">
        <f t="shared" si="43"/>
        <v>0</v>
      </c>
      <c r="R95" s="701">
        <f t="shared" si="43"/>
        <v>0</v>
      </c>
      <c r="S95" s="701">
        <f t="shared" si="43"/>
        <v>58.987840847501502</v>
      </c>
      <c r="T95" s="701">
        <f t="shared" si="43"/>
        <v>0</v>
      </c>
      <c r="U95" s="701">
        <f t="shared" si="43"/>
        <v>0</v>
      </c>
      <c r="V95" s="701">
        <f t="shared" si="43"/>
        <v>0</v>
      </c>
      <c r="W95" s="701">
        <f t="shared" si="43"/>
        <v>8.5770426125236554E-2</v>
      </c>
      <c r="X95" s="701">
        <f t="shared" si="43"/>
        <v>0</v>
      </c>
      <c r="Y95" s="701">
        <f t="shared" si="43"/>
        <v>0</v>
      </c>
      <c r="Z95" s="701">
        <f t="shared" si="43"/>
        <v>0</v>
      </c>
      <c r="AA95" s="701">
        <f t="shared" si="43"/>
        <v>390</v>
      </c>
      <c r="AB95" s="701">
        <f t="shared" si="43"/>
        <v>0</v>
      </c>
      <c r="AC95" s="701">
        <f t="shared" si="43"/>
        <v>0</v>
      </c>
      <c r="AD95" s="701">
        <f t="shared" si="43"/>
        <v>0</v>
      </c>
      <c r="AE95" s="701">
        <f t="shared" si="43"/>
        <v>0</v>
      </c>
      <c r="AF95" s="701">
        <f t="shared" si="43"/>
        <v>0</v>
      </c>
      <c r="AG95" s="701">
        <f t="shared" si="43"/>
        <v>0</v>
      </c>
      <c r="AH95" s="701">
        <f>+AH30-AH94</f>
        <v>0</v>
      </c>
      <c r="AI95" s="701">
        <f>+AI30-AI94</f>
        <v>0</v>
      </c>
      <c r="AJ95" s="701">
        <f>+AJ30-AJ94</f>
        <v>0</v>
      </c>
      <c r="AK95" s="701">
        <f>+AK30-AK94</f>
        <v>0</v>
      </c>
      <c r="AL95" s="701">
        <f>+AL30-AL94</f>
        <v>0</v>
      </c>
    </row>
    <row r="96" spans="3:38">
      <c r="C96" s="696" t="s">
        <v>327</v>
      </c>
      <c r="F96" s="697">
        <f>+E35</f>
        <v>12827</v>
      </c>
      <c r="G96" s="697">
        <f>+F98</f>
        <v>14841</v>
      </c>
      <c r="H96" s="697">
        <f>+G98</f>
        <v>12583</v>
      </c>
      <c r="I96" s="697">
        <f>+H98</f>
        <v>21757</v>
      </c>
      <c r="J96" s="697">
        <f>+I98</f>
        <v>20414</v>
      </c>
      <c r="K96" s="697">
        <f>+I98</f>
        <v>20414</v>
      </c>
      <c r="L96" s="697">
        <f>+J98</f>
        <v>19239</v>
      </c>
      <c r="M96" s="697">
        <f>+J98</f>
        <v>19239</v>
      </c>
      <c r="N96" s="697">
        <f>+L98</f>
        <v>24358</v>
      </c>
      <c r="O96" s="697">
        <f>+N98</f>
        <v>38520</v>
      </c>
      <c r="P96" s="697">
        <f>+O98</f>
        <v>42707</v>
      </c>
      <c r="Q96" s="697">
        <f>+O98</f>
        <v>42707</v>
      </c>
      <c r="R96" s="697">
        <f>+O98</f>
        <v>42707</v>
      </c>
      <c r="S96" s="697">
        <f>+O98</f>
        <v>42707</v>
      </c>
      <c r="T96" s="697">
        <f>+S98</f>
        <v>68469</v>
      </c>
      <c r="U96" s="697">
        <f>+S98</f>
        <v>68469</v>
      </c>
      <c r="V96" s="697">
        <f>+S98</f>
        <v>68469</v>
      </c>
      <c r="W96" s="697">
        <f>+S98</f>
        <v>68469</v>
      </c>
      <c r="X96" s="697">
        <f>+W98</f>
        <v>71151</v>
      </c>
      <c r="Y96" s="697">
        <f t="shared" ref="Y96:AG96" si="44">+X98</f>
        <v>87657</v>
      </c>
      <c r="Z96" s="697">
        <f>+X98</f>
        <v>87657</v>
      </c>
      <c r="AA96" s="697">
        <f t="shared" si="44"/>
        <v>90268</v>
      </c>
      <c r="AB96" s="697">
        <f>+Z98</f>
        <v>90268</v>
      </c>
      <c r="AC96" s="697">
        <f t="shared" si="44"/>
        <v>91983</v>
      </c>
      <c r="AD96" s="697">
        <f t="shared" si="44"/>
        <v>82805</v>
      </c>
      <c r="AE96" s="697">
        <f t="shared" si="44"/>
        <v>73627</v>
      </c>
      <c r="AF96" s="697">
        <f t="shared" si="44"/>
        <v>58713</v>
      </c>
      <c r="AG96" s="697">
        <f t="shared" si="44"/>
        <v>43799</v>
      </c>
      <c r="AH96" s="697">
        <f>+AG98</f>
        <v>28885</v>
      </c>
      <c r="AI96" s="697">
        <f>+AH98</f>
        <v>23149</v>
      </c>
      <c r="AJ96" s="697">
        <f>+AI98</f>
        <v>17413</v>
      </c>
      <c r="AK96" s="697">
        <f>+AJ98</f>
        <v>11677</v>
      </c>
      <c r="AL96" s="697">
        <f>+AK98</f>
        <v>5941</v>
      </c>
    </row>
    <row r="97" spans="2:38">
      <c r="C97" s="665" t="s">
        <v>339</v>
      </c>
      <c r="F97" s="697">
        <f>14841-12827</f>
        <v>2014</v>
      </c>
      <c r="G97" s="697">
        <v>-2258</v>
      </c>
      <c r="H97" s="697">
        <f>-1630+262+10543-1</f>
        <v>9174</v>
      </c>
      <c r="I97" s="697">
        <v>-1343</v>
      </c>
      <c r="J97" s="697">
        <v>-1175</v>
      </c>
      <c r="K97" s="697">
        <v>4137</v>
      </c>
      <c r="L97" s="697">
        <v>5119</v>
      </c>
      <c r="M97" s="697">
        <f>+K97-915</f>
        <v>3222</v>
      </c>
      <c r="N97" s="697">
        <v>14162</v>
      </c>
      <c r="O97" s="697">
        <v>4187</v>
      </c>
      <c r="P97" s="698">
        <f>49270-42707</f>
        <v>6563</v>
      </c>
      <c r="Q97" s="698">
        <f>47442-42707</f>
        <v>4735</v>
      </c>
      <c r="R97" s="698">
        <f>4515-2500</f>
        <v>2015</v>
      </c>
      <c r="S97" s="698">
        <v>25762</v>
      </c>
      <c r="T97" s="698">
        <v>3684</v>
      </c>
      <c r="U97" s="698">
        <f>3684-10200</f>
        <v>-6516</v>
      </c>
      <c r="V97" s="698">
        <f>-15783+10000</f>
        <v>-5783</v>
      </c>
      <c r="W97" s="698">
        <v>2682</v>
      </c>
      <c r="X97" s="698">
        <v>16506</v>
      </c>
      <c r="Y97" s="698">
        <v>-10304</v>
      </c>
      <c r="Z97" s="698">
        <f>-2567+5178</f>
        <v>2611</v>
      </c>
      <c r="AA97" s="698">
        <v>-2000</v>
      </c>
      <c r="AB97" s="698">
        <v>1715</v>
      </c>
      <c r="AC97" s="698">
        <v>-9178</v>
      </c>
      <c r="AD97" s="698">
        <v>-9178</v>
      </c>
      <c r="AE97" s="698">
        <v>-14914</v>
      </c>
      <c r="AF97" s="698">
        <v>-14914</v>
      </c>
      <c r="AG97" s="698">
        <v>-14914</v>
      </c>
      <c r="AH97" s="698">
        <v>-5736</v>
      </c>
      <c r="AI97" s="698">
        <v>-5736</v>
      </c>
      <c r="AJ97" s="698">
        <v>-5736</v>
      </c>
      <c r="AK97" s="698">
        <v>-5736</v>
      </c>
      <c r="AL97" s="698">
        <f>-5736-205</f>
        <v>-5941</v>
      </c>
    </row>
    <row r="98" spans="2:38">
      <c r="C98" s="699" t="s">
        <v>159</v>
      </c>
      <c r="D98" s="699"/>
      <c r="F98" s="700">
        <f t="shared" ref="F98:N98" si="45">SUM(F96:F97)</f>
        <v>14841</v>
      </c>
      <c r="G98" s="700">
        <f t="shared" si="45"/>
        <v>12583</v>
      </c>
      <c r="H98" s="700">
        <f t="shared" si="45"/>
        <v>21757</v>
      </c>
      <c r="I98" s="700">
        <f t="shared" si="45"/>
        <v>20414</v>
      </c>
      <c r="J98" s="700">
        <f t="shared" si="45"/>
        <v>19239</v>
      </c>
      <c r="K98" s="700">
        <f t="shared" si="45"/>
        <v>24551</v>
      </c>
      <c r="L98" s="700">
        <f t="shared" si="45"/>
        <v>24358</v>
      </c>
      <c r="M98" s="700">
        <f t="shared" si="45"/>
        <v>22461</v>
      </c>
      <c r="N98" s="700">
        <f t="shared" si="45"/>
        <v>38520</v>
      </c>
      <c r="O98" s="700">
        <f t="shared" ref="O98:AG98" si="46">SUM(O96:O97)</f>
        <v>42707</v>
      </c>
      <c r="P98" s="700">
        <f t="shared" si="46"/>
        <v>49270</v>
      </c>
      <c r="Q98" s="700">
        <f t="shared" si="46"/>
        <v>47442</v>
      </c>
      <c r="R98" s="700">
        <f t="shared" si="46"/>
        <v>44722</v>
      </c>
      <c r="S98" s="700">
        <f t="shared" si="46"/>
        <v>68469</v>
      </c>
      <c r="T98" s="700">
        <f t="shared" si="46"/>
        <v>72153</v>
      </c>
      <c r="U98" s="700">
        <f t="shared" si="46"/>
        <v>61953</v>
      </c>
      <c r="V98" s="700">
        <f t="shared" si="46"/>
        <v>62686</v>
      </c>
      <c r="W98" s="700">
        <f t="shared" si="46"/>
        <v>71151</v>
      </c>
      <c r="X98" s="700">
        <f t="shared" si="46"/>
        <v>87657</v>
      </c>
      <c r="Y98" s="700">
        <f t="shared" si="46"/>
        <v>77353</v>
      </c>
      <c r="Z98" s="700">
        <f t="shared" si="46"/>
        <v>90268</v>
      </c>
      <c r="AA98" s="700">
        <f t="shared" si="46"/>
        <v>88268</v>
      </c>
      <c r="AB98" s="700">
        <f t="shared" si="46"/>
        <v>91983</v>
      </c>
      <c r="AC98" s="700">
        <f t="shared" si="46"/>
        <v>82805</v>
      </c>
      <c r="AD98" s="700">
        <f t="shared" si="46"/>
        <v>73627</v>
      </c>
      <c r="AE98" s="700">
        <f t="shared" si="46"/>
        <v>58713</v>
      </c>
      <c r="AF98" s="700">
        <f t="shared" si="46"/>
        <v>43799</v>
      </c>
      <c r="AG98" s="700">
        <f t="shared" si="46"/>
        <v>28885</v>
      </c>
      <c r="AH98" s="700">
        <f>SUM(AH96:AH97)</f>
        <v>23149</v>
      </c>
      <c r="AI98" s="700">
        <f>SUM(AI96:AI97)</f>
        <v>17413</v>
      </c>
      <c r="AJ98" s="700">
        <f>SUM(AJ96:AJ97)</f>
        <v>11677</v>
      </c>
      <c r="AK98" s="700">
        <f>SUM(AK96:AK97)</f>
        <v>5941</v>
      </c>
      <c r="AL98" s="700">
        <f>SUM(AL96:AL97)</f>
        <v>0</v>
      </c>
    </row>
    <row r="99" spans="2:38">
      <c r="F99" s="701">
        <f t="shared" ref="F99:AG99" si="47">+F35-F98</f>
        <v>0</v>
      </c>
      <c r="G99" s="701">
        <f t="shared" si="47"/>
        <v>0.28980250812674058</v>
      </c>
      <c r="H99" s="701">
        <f t="shared" si="47"/>
        <v>0.68063585312120267</v>
      </c>
      <c r="I99" s="701">
        <f t="shared" si="47"/>
        <v>0.40000000000145519</v>
      </c>
      <c r="J99" s="701">
        <f t="shared" si="47"/>
        <v>0</v>
      </c>
      <c r="K99" s="701">
        <f t="shared" si="47"/>
        <v>0.28279231566557428</v>
      </c>
      <c r="L99" s="701">
        <f t="shared" si="47"/>
        <v>0</v>
      </c>
      <c r="M99" s="701">
        <f t="shared" si="47"/>
        <v>0</v>
      </c>
      <c r="N99" s="701">
        <f t="shared" si="47"/>
        <v>0.15815389197814511</v>
      </c>
      <c r="O99" s="701">
        <f t="shared" si="47"/>
        <v>0.13970877755491529</v>
      </c>
      <c r="P99" s="701">
        <f t="shared" si="47"/>
        <v>0</v>
      </c>
      <c r="Q99" s="701">
        <f t="shared" si="47"/>
        <v>0</v>
      </c>
      <c r="R99" s="701">
        <f t="shared" si="47"/>
        <v>0</v>
      </c>
      <c r="S99" s="701">
        <f t="shared" si="47"/>
        <v>2.6723672344814986E-3</v>
      </c>
      <c r="T99" s="701">
        <f t="shared" si="47"/>
        <v>0</v>
      </c>
      <c r="U99" s="701">
        <f t="shared" si="47"/>
        <v>0</v>
      </c>
      <c r="V99" s="701">
        <f t="shared" si="47"/>
        <v>0</v>
      </c>
      <c r="W99" s="701">
        <f t="shared" si="47"/>
        <v>0</v>
      </c>
      <c r="X99" s="701">
        <f t="shared" si="47"/>
        <v>0</v>
      </c>
      <c r="Y99" s="701">
        <f t="shared" si="47"/>
        <v>0</v>
      </c>
      <c r="Z99" s="701">
        <f t="shared" si="47"/>
        <v>0</v>
      </c>
      <c r="AA99" s="701">
        <f t="shared" si="47"/>
        <v>-11403</v>
      </c>
      <c r="AB99" s="701">
        <f t="shared" si="47"/>
        <v>0</v>
      </c>
      <c r="AC99" s="701">
        <f t="shared" si="47"/>
        <v>0</v>
      </c>
      <c r="AD99" s="701">
        <f t="shared" si="47"/>
        <v>0</v>
      </c>
      <c r="AE99" s="701">
        <f t="shared" si="47"/>
        <v>0</v>
      </c>
      <c r="AF99" s="701">
        <f t="shared" si="47"/>
        <v>0</v>
      </c>
      <c r="AG99" s="701">
        <f t="shared" si="47"/>
        <v>0</v>
      </c>
      <c r="AH99" s="701">
        <f>+AH35-AH98</f>
        <v>0</v>
      </c>
      <c r="AI99" s="701">
        <f>+AI35-AI98</f>
        <v>0</v>
      </c>
      <c r="AJ99" s="701">
        <f>+AJ35-AJ98</f>
        <v>0</v>
      </c>
      <c r="AK99" s="701">
        <f>+AK35-AK98</f>
        <v>0</v>
      </c>
      <c r="AL99" s="701">
        <f>+AL35-AL98</f>
        <v>0</v>
      </c>
    </row>
    <row r="100" spans="2:38" s="477" customFormat="1">
      <c r="B100" s="703"/>
      <c r="C100" s="704" t="s">
        <v>7</v>
      </c>
      <c r="F100" s="700">
        <f t="shared" ref="F100:AG100" si="48">+F94+F98</f>
        <v>26913</v>
      </c>
      <c r="G100" s="700">
        <f t="shared" si="48"/>
        <v>29556</v>
      </c>
      <c r="H100" s="700">
        <f t="shared" si="48"/>
        <v>35957</v>
      </c>
      <c r="I100" s="700">
        <f t="shared" si="48"/>
        <v>31419</v>
      </c>
      <c r="J100" s="700">
        <f t="shared" si="48"/>
        <v>23518</v>
      </c>
      <c r="K100" s="700">
        <f t="shared" si="48"/>
        <v>41941</v>
      </c>
      <c r="L100" s="700">
        <f t="shared" si="48"/>
        <v>39852</v>
      </c>
      <c r="M100" s="700">
        <f t="shared" si="48"/>
        <v>41151</v>
      </c>
      <c r="N100" s="700">
        <f t="shared" si="48"/>
        <v>64955</v>
      </c>
      <c r="O100" s="700">
        <f t="shared" si="48"/>
        <v>85686</v>
      </c>
      <c r="P100" s="700">
        <f t="shared" si="48"/>
        <v>97786</v>
      </c>
      <c r="Q100" s="700">
        <f t="shared" si="48"/>
        <v>107663</v>
      </c>
      <c r="R100" s="700">
        <f t="shared" si="48"/>
        <v>104443</v>
      </c>
      <c r="S100" s="700">
        <f t="shared" si="48"/>
        <v>99262</v>
      </c>
      <c r="T100" s="700">
        <f t="shared" si="48"/>
        <v>109118</v>
      </c>
      <c r="U100" s="700">
        <f t="shared" si="48"/>
        <v>98918</v>
      </c>
      <c r="V100" s="700">
        <f t="shared" si="48"/>
        <v>99281</v>
      </c>
      <c r="W100" s="700">
        <f t="shared" si="48"/>
        <v>100861</v>
      </c>
      <c r="X100" s="700">
        <f t="shared" si="48"/>
        <v>93988</v>
      </c>
      <c r="Y100" s="700">
        <f t="shared" si="48"/>
        <v>98270</v>
      </c>
      <c r="Z100" s="700">
        <f t="shared" si="48"/>
        <v>97923</v>
      </c>
      <c r="AA100" s="700">
        <f t="shared" si="48"/>
        <v>95423</v>
      </c>
      <c r="AB100" s="700">
        <f t="shared" si="48"/>
        <v>107551</v>
      </c>
      <c r="AC100" s="700">
        <f t="shared" si="48"/>
        <v>97373</v>
      </c>
      <c r="AD100" s="700">
        <f t="shared" si="48"/>
        <v>87195</v>
      </c>
      <c r="AE100" s="700">
        <f t="shared" si="48"/>
        <v>71281</v>
      </c>
      <c r="AF100" s="700">
        <f t="shared" si="48"/>
        <v>55367</v>
      </c>
      <c r="AG100" s="700">
        <f t="shared" si="48"/>
        <v>39453</v>
      </c>
      <c r="AH100" s="700">
        <f>+AH94+AH98</f>
        <v>32717</v>
      </c>
      <c r="AI100" s="700">
        <f>+AI94+AI98</f>
        <v>25981</v>
      </c>
      <c r="AJ100" s="700">
        <f>+AJ94+AJ98</f>
        <v>19245</v>
      </c>
      <c r="AK100" s="700">
        <f>+AK94+AK98</f>
        <v>12509</v>
      </c>
      <c r="AL100" s="700">
        <f>+AL94+AL98</f>
        <v>5568</v>
      </c>
    </row>
    <row r="101" spans="2:38">
      <c r="B101" s="705"/>
      <c r="C101" s="657"/>
      <c r="F101" s="701">
        <f t="shared" ref="F101:AG101" si="49">+F30+F35-F100</f>
        <v>0</v>
      </c>
      <c r="G101" s="701">
        <f t="shared" si="49"/>
        <v>0.27779646870840224</v>
      </c>
      <c r="H101" s="701">
        <f t="shared" si="49"/>
        <v>0.43963957801315701</v>
      </c>
      <c r="I101" s="701">
        <f t="shared" si="49"/>
        <v>0.40000000000145519</v>
      </c>
      <c r="J101" s="701">
        <f t="shared" si="49"/>
        <v>0</v>
      </c>
      <c r="K101" s="701">
        <f t="shared" si="49"/>
        <v>-0.11606878635211615</v>
      </c>
      <c r="L101" s="701">
        <f t="shared" si="49"/>
        <v>0</v>
      </c>
      <c r="M101" s="701">
        <f t="shared" si="49"/>
        <v>0</v>
      </c>
      <c r="N101" s="701">
        <f t="shared" si="49"/>
        <v>-0.3299900893762242</v>
      </c>
      <c r="O101" s="701">
        <f t="shared" si="49"/>
        <v>-4.508527769939974E-2</v>
      </c>
      <c r="P101" s="701">
        <f t="shared" si="49"/>
        <v>0</v>
      </c>
      <c r="Q101" s="701">
        <f t="shared" si="49"/>
        <v>0</v>
      </c>
      <c r="R101" s="701">
        <f t="shared" si="49"/>
        <v>0</v>
      </c>
      <c r="S101" s="701">
        <f t="shared" si="49"/>
        <v>58.990513214739622</v>
      </c>
      <c r="T101" s="701">
        <f t="shared" si="49"/>
        <v>0</v>
      </c>
      <c r="U101" s="701">
        <f t="shared" si="49"/>
        <v>0</v>
      </c>
      <c r="V101" s="701">
        <f t="shared" si="49"/>
        <v>0</v>
      </c>
      <c r="W101" s="701">
        <f t="shared" si="49"/>
        <v>8.5770426128874533E-2</v>
      </c>
      <c r="X101" s="701">
        <f t="shared" si="49"/>
        <v>0</v>
      </c>
      <c r="Y101" s="701">
        <f t="shared" si="49"/>
        <v>0</v>
      </c>
      <c r="Z101" s="701">
        <f t="shared" si="49"/>
        <v>0</v>
      </c>
      <c r="AA101" s="701">
        <f t="shared" si="49"/>
        <v>-11013</v>
      </c>
      <c r="AB101" s="701">
        <f t="shared" si="49"/>
        <v>0</v>
      </c>
      <c r="AC101" s="701">
        <f t="shared" si="49"/>
        <v>0</v>
      </c>
      <c r="AD101" s="701">
        <f t="shared" si="49"/>
        <v>0</v>
      </c>
      <c r="AE101" s="701">
        <f t="shared" si="49"/>
        <v>0</v>
      </c>
      <c r="AF101" s="701">
        <f t="shared" si="49"/>
        <v>0</v>
      </c>
      <c r="AG101" s="701">
        <f t="shared" si="49"/>
        <v>0</v>
      </c>
      <c r="AH101" s="701">
        <f>+AH30+AH35-AH100</f>
        <v>0</v>
      </c>
      <c r="AI101" s="701">
        <f>+AI30+AI35-AI100</f>
        <v>0</v>
      </c>
      <c r="AJ101" s="701">
        <f>+AJ30+AJ35-AJ100</f>
        <v>0</v>
      </c>
      <c r="AK101" s="701">
        <f>+AK30+AK35-AK100</f>
        <v>0</v>
      </c>
      <c r="AL101" s="701">
        <f>+AL30+AL35-AL100</f>
        <v>0</v>
      </c>
    </row>
    <row r="102" spans="2:38">
      <c r="B102" s="705"/>
      <c r="C102" s="657"/>
      <c r="F102" s="706">
        <v>7.5999999999999998E-2</v>
      </c>
      <c r="G102" s="706">
        <v>0.08</v>
      </c>
      <c r="H102" s="706">
        <v>0.08</v>
      </c>
      <c r="I102" s="706">
        <v>7.5999999999999998E-2</v>
      </c>
      <c r="J102" s="706">
        <v>7.5999999999999998E-2</v>
      </c>
      <c r="K102" s="706">
        <v>7.5999999999999998E-2</v>
      </c>
      <c r="L102" s="706">
        <v>7.5999999999999998E-2</v>
      </c>
      <c r="M102" s="706">
        <v>7.5999999999999998E-2</v>
      </c>
      <c r="N102" s="706">
        <f>7.6%/12*3</f>
        <v>1.9E-2</v>
      </c>
      <c r="O102" s="706"/>
      <c r="P102" s="707">
        <v>6.5000000000000002E-2</v>
      </c>
      <c r="Q102" s="708">
        <v>6.5000000000000002E-2</v>
      </c>
      <c r="R102" s="708">
        <v>0.06</v>
      </c>
      <c r="S102" s="708">
        <v>7.4999999999999997E-2</v>
      </c>
      <c r="T102" s="708">
        <v>0</v>
      </c>
      <c r="U102" s="708">
        <v>0.08</v>
      </c>
      <c r="V102" s="708">
        <v>0.08</v>
      </c>
      <c r="W102" s="708">
        <v>7.0000000000000007E-2</v>
      </c>
      <c r="X102" s="708">
        <v>8.5000000000000006E-2</v>
      </c>
      <c r="Y102" s="708">
        <v>0.08</v>
      </c>
      <c r="Z102" s="707">
        <v>8.2000000000000003E-2</v>
      </c>
      <c r="AA102" s="707">
        <v>7.8969999999999999E-2</v>
      </c>
      <c r="AB102" s="707">
        <v>7.0000000000000007E-2</v>
      </c>
      <c r="AC102" s="707">
        <v>0.08</v>
      </c>
      <c r="AD102" s="707">
        <v>0.08</v>
      </c>
      <c r="AE102" s="707">
        <v>0.08</v>
      </c>
      <c r="AF102" s="707">
        <v>0.08</v>
      </c>
      <c r="AG102" s="707">
        <v>0.08</v>
      </c>
      <c r="AH102" s="707">
        <v>0.08</v>
      </c>
      <c r="AI102" s="707">
        <v>0.08</v>
      </c>
      <c r="AJ102" s="707">
        <v>0.08</v>
      </c>
      <c r="AK102" s="707">
        <v>0.08</v>
      </c>
      <c r="AL102" s="707">
        <v>0.08</v>
      </c>
    </row>
    <row r="103" spans="2:38">
      <c r="B103" s="709"/>
      <c r="C103" s="441" t="s">
        <v>157</v>
      </c>
      <c r="F103" s="697">
        <f t="shared" ref="F103:N103" si="50">+F100*F102</f>
        <v>2045.3879999999999</v>
      </c>
      <c r="G103" s="697">
        <f t="shared" si="50"/>
        <v>2364.48</v>
      </c>
      <c r="H103" s="697">
        <f t="shared" si="50"/>
        <v>2876.56</v>
      </c>
      <c r="I103" s="697">
        <f t="shared" si="50"/>
        <v>2387.8440000000001</v>
      </c>
      <c r="J103" s="697">
        <f t="shared" si="50"/>
        <v>1787.3679999999999</v>
      </c>
      <c r="K103" s="697">
        <f t="shared" si="50"/>
        <v>3187.5160000000001</v>
      </c>
      <c r="L103" s="697">
        <f t="shared" si="50"/>
        <v>3028.752</v>
      </c>
      <c r="M103" s="697">
        <f t="shared" si="50"/>
        <v>3127.4760000000001</v>
      </c>
      <c r="N103" s="697">
        <f t="shared" si="50"/>
        <v>1234.145</v>
      </c>
      <c r="O103" s="697">
        <v>4592</v>
      </c>
      <c r="P103" s="697">
        <v>1965</v>
      </c>
      <c r="Q103" s="697">
        <v>3478</v>
      </c>
      <c r="R103" s="697">
        <f t="shared" ref="R103:AG103" si="51">+R100*R102</f>
        <v>6266.58</v>
      </c>
      <c r="S103" s="697">
        <f t="shared" si="51"/>
        <v>7444.65</v>
      </c>
      <c r="T103" s="697">
        <v>3138</v>
      </c>
      <c r="U103" s="710">
        <f>+U100*U102-2229</f>
        <v>5684.4400000000005</v>
      </c>
      <c r="V103" s="697">
        <f>+V100*V102</f>
        <v>7942.4800000000005</v>
      </c>
      <c r="W103" s="697">
        <f>+W100*W102</f>
        <v>7060.27</v>
      </c>
      <c r="X103" s="697">
        <f t="shared" si="51"/>
        <v>7988.9800000000005</v>
      </c>
      <c r="Y103" s="697">
        <f t="shared" si="51"/>
        <v>7861.6</v>
      </c>
      <c r="Z103" s="697">
        <f t="shared" si="51"/>
        <v>8029.6860000000006</v>
      </c>
      <c r="AA103" s="697">
        <f t="shared" si="51"/>
        <v>7535.5543099999995</v>
      </c>
      <c r="AB103" s="697">
        <f t="shared" si="51"/>
        <v>7528.5700000000006</v>
      </c>
      <c r="AC103" s="697">
        <f t="shared" si="51"/>
        <v>7789.84</v>
      </c>
      <c r="AD103" s="697">
        <f t="shared" si="51"/>
        <v>6975.6</v>
      </c>
      <c r="AE103" s="697">
        <f t="shared" si="51"/>
        <v>5702.4800000000005</v>
      </c>
      <c r="AF103" s="697">
        <f t="shared" si="51"/>
        <v>4429.3599999999997</v>
      </c>
      <c r="AG103" s="697">
        <f t="shared" si="51"/>
        <v>3156.2400000000002</v>
      </c>
      <c r="AH103" s="697">
        <f>+AH100*AH102</f>
        <v>2617.36</v>
      </c>
      <c r="AI103" s="697">
        <f>+AI100*AI102</f>
        <v>2078.48</v>
      </c>
      <c r="AJ103" s="697">
        <f>+AJ100*AJ102</f>
        <v>1539.6000000000001</v>
      </c>
      <c r="AK103" s="697">
        <f>+AK100*AK102</f>
        <v>1000.72</v>
      </c>
      <c r="AL103" s="697">
        <f>+AL100*AL102</f>
        <v>445.44</v>
      </c>
    </row>
    <row r="104" spans="2:38">
      <c r="C104" s="441" t="s">
        <v>340</v>
      </c>
      <c r="F104" s="697">
        <f>2493-2046+1</f>
        <v>448</v>
      </c>
      <c r="G104" s="697">
        <v>171</v>
      </c>
      <c r="H104" s="697">
        <f>-138+139</f>
        <v>1</v>
      </c>
      <c r="I104" s="697">
        <f>2144-2388</f>
        <v>-244</v>
      </c>
      <c r="J104" s="697">
        <f>1849-1787</f>
        <v>62</v>
      </c>
      <c r="K104" s="697">
        <f>2578-3188</f>
        <v>-610</v>
      </c>
      <c r="L104" s="697">
        <v>449</v>
      </c>
      <c r="M104" s="697">
        <f>3587-3127</f>
        <v>460</v>
      </c>
      <c r="N104" s="697">
        <v>-197</v>
      </c>
      <c r="O104" s="697">
        <v>0</v>
      </c>
      <c r="P104" s="698">
        <v>0</v>
      </c>
      <c r="Q104" s="698">
        <v>0</v>
      </c>
      <c r="R104" s="698">
        <v>-647</v>
      </c>
      <c r="S104" s="698">
        <f>-625+128</f>
        <v>-497</v>
      </c>
      <c r="T104" s="698">
        <v>0</v>
      </c>
      <c r="U104" s="698">
        <v>0</v>
      </c>
      <c r="V104" s="698">
        <v>0</v>
      </c>
      <c r="W104" s="698">
        <f>6886-7060</f>
        <v>-174</v>
      </c>
      <c r="X104" s="698">
        <v>-1890</v>
      </c>
      <c r="Y104" s="698">
        <v>1789</v>
      </c>
      <c r="Z104" s="698">
        <v>-31</v>
      </c>
      <c r="AA104" s="698">
        <v>0</v>
      </c>
      <c r="AB104" s="698">
        <f>7117-7529</f>
        <v>-412</v>
      </c>
      <c r="AC104" s="698">
        <v>-50</v>
      </c>
      <c r="AD104" s="698">
        <f>+AC104*1.05</f>
        <v>-52.5</v>
      </c>
      <c r="AE104" s="698">
        <f t="shared" ref="AE104:AL104" si="52">+AD104*1.05</f>
        <v>-55.125</v>
      </c>
      <c r="AF104" s="698">
        <f t="shared" si="52"/>
        <v>-57.881250000000001</v>
      </c>
      <c r="AG104" s="698">
        <f t="shared" si="52"/>
        <v>-60.775312500000005</v>
      </c>
      <c r="AH104" s="698">
        <f t="shared" si="52"/>
        <v>-63.814078125000009</v>
      </c>
      <c r="AI104" s="698">
        <f t="shared" si="52"/>
        <v>-67.004782031250016</v>
      </c>
      <c r="AJ104" s="698">
        <f t="shared" si="52"/>
        <v>-70.355021132812524</v>
      </c>
      <c r="AK104" s="698">
        <f t="shared" si="52"/>
        <v>-73.872772189453158</v>
      </c>
      <c r="AL104" s="698">
        <f t="shared" si="52"/>
        <v>-77.566410798925816</v>
      </c>
    </row>
    <row r="105" spans="2:38" s="477" customFormat="1">
      <c r="C105" s="704" t="s">
        <v>341</v>
      </c>
      <c r="F105" s="700">
        <f t="shared" ref="F105:AG105" si="53">+F103+F104</f>
        <v>2493.3879999999999</v>
      </c>
      <c r="G105" s="700">
        <f t="shared" si="53"/>
        <v>2535.48</v>
      </c>
      <c r="H105" s="700">
        <f t="shared" si="53"/>
        <v>2877.56</v>
      </c>
      <c r="I105" s="700">
        <f t="shared" si="53"/>
        <v>2143.8440000000001</v>
      </c>
      <c r="J105" s="700">
        <f t="shared" si="53"/>
        <v>1849.3679999999999</v>
      </c>
      <c r="K105" s="700">
        <f t="shared" si="53"/>
        <v>2577.5160000000001</v>
      </c>
      <c r="L105" s="700">
        <f t="shared" si="53"/>
        <v>3477.752</v>
      </c>
      <c r="M105" s="700">
        <f t="shared" si="53"/>
        <v>3587.4760000000001</v>
      </c>
      <c r="N105" s="700">
        <f t="shared" si="53"/>
        <v>1037.145</v>
      </c>
      <c r="O105" s="700">
        <f t="shared" si="53"/>
        <v>4592</v>
      </c>
      <c r="P105" s="700">
        <f t="shared" si="53"/>
        <v>1965</v>
      </c>
      <c r="Q105" s="700">
        <f t="shared" si="53"/>
        <v>3478</v>
      </c>
      <c r="R105" s="700">
        <f t="shared" si="53"/>
        <v>5619.58</v>
      </c>
      <c r="S105" s="700">
        <f t="shared" si="53"/>
        <v>6947.65</v>
      </c>
      <c r="T105" s="700">
        <f t="shared" si="53"/>
        <v>3138</v>
      </c>
      <c r="U105" s="700">
        <f t="shared" si="53"/>
        <v>5684.4400000000005</v>
      </c>
      <c r="V105" s="700">
        <f t="shared" si="53"/>
        <v>7942.4800000000005</v>
      </c>
      <c r="W105" s="700">
        <f t="shared" si="53"/>
        <v>6886.27</v>
      </c>
      <c r="X105" s="700">
        <f t="shared" si="53"/>
        <v>6098.9800000000005</v>
      </c>
      <c r="Y105" s="700">
        <f t="shared" si="53"/>
        <v>9650.6</v>
      </c>
      <c r="Z105" s="700">
        <f t="shared" si="53"/>
        <v>7998.6860000000006</v>
      </c>
      <c r="AA105" s="700">
        <f t="shared" si="53"/>
        <v>7535.5543099999995</v>
      </c>
      <c r="AB105" s="700">
        <f t="shared" si="53"/>
        <v>7116.5700000000006</v>
      </c>
      <c r="AC105" s="700">
        <f t="shared" si="53"/>
        <v>7739.84</v>
      </c>
      <c r="AD105" s="700">
        <f t="shared" si="53"/>
        <v>6923.1</v>
      </c>
      <c r="AE105" s="700">
        <f t="shared" si="53"/>
        <v>5647.3550000000005</v>
      </c>
      <c r="AF105" s="700">
        <f t="shared" si="53"/>
        <v>4371.4787499999993</v>
      </c>
      <c r="AG105" s="700">
        <f t="shared" si="53"/>
        <v>3095.4646875000003</v>
      </c>
      <c r="AH105" s="700">
        <f>+AH103+AH104</f>
        <v>2553.5459218750002</v>
      </c>
      <c r="AI105" s="700">
        <f>+AI103+AI104</f>
        <v>2011.47521796875</v>
      </c>
      <c r="AJ105" s="700">
        <f>+AJ103+AJ104</f>
        <v>1469.2449788671877</v>
      </c>
      <c r="AK105" s="700">
        <f>+AK103+AK104</f>
        <v>926.84722781054688</v>
      </c>
      <c r="AL105" s="700">
        <f>+AL103+AL104</f>
        <v>367.8735892010742</v>
      </c>
    </row>
    <row r="106" spans="2:38">
      <c r="F106" s="701">
        <f>+'Inc St'!F12-BS!F105</f>
        <v>-0.38799999999991996</v>
      </c>
      <c r="G106" s="701">
        <f>+'Inc St'!G12-BS!G105</f>
        <v>-0.14195904367988987</v>
      </c>
      <c r="H106" s="701">
        <f>+'Inc St'!H12-BS!H105</f>
        <v>0.29232865073890935</v>
      </c>
      <c r="I106" s="701">
        <f>+'Inc St'!I12-BS!I105</f>
        <v>0</v>
      </c>
      <c r="J106" s="701">
        <f>+'Inc St'!J12-BS!J105</f>
        <v>0</v>
      </c>
      <c r="K106" s="701">
        <f>+'Inc St'!K12-BS!K105</f>
        <v>0</v>
      </c>
      <c r="L106" s="701">
        <f>+'Inc St'!L12-BS!L105</f>
        <v>0.24800000000004729</v>
      </c>
      <c r="M106" s="701">
        <f>+'Inc St'!M12-BS!M105</f>
        <v>0</v>
      </c>
      <c r="N106" s="701">
        <f>+'Inc St'!N12-BS!N105</f>
        <v>-9.8553117907385968E-2</v>
      </c>
      <c r="O106" s="701">
        <f>+'Inc St'!O12-BS!O105</f>
        <v>0</v>
      </c>
      <c r="P106" s="701">
        <f>+'Inc St'!P12-BS!P105</f>
        <v>0</v>
      </c>
      <c r="Q106" s="701">
        <f>+'Inc St'!Q12-BS!Q105</f>
        <v>0</v>
      </c>
      <c r="R106" s="701">
        <f>+'Inc St'!R12-BS!R105</f>
        <v>479.40000000000055</v>
      </c>
      <c r="S106" s="701">
        <f>+'Inc St'!S12-BS!S105</f>
        <v>-1944.4182107302595</v>
      </c>
      <c r="T106" s="701">
        <f>+'Inc St'!T12-BS!T105</f>
        <v>0</v>
      </c>
      <c r="U106" s="701">
        <f>+'Inc St'!U12-BS!U105</f>
        <v>-0.44000000000050932</v>
      </c>
      <c r="V106" s="701">
        <f>+'Inc St'!V12-BS!V105</f>
        <v>0</v>
      </c>
      <c r="W106" s="701">
        <f>+'Inc St'!W12-BS!W105</f>
        <v>0</v>
      </c>
      <c r="X106" s="701">
        <f>+'Inc St'!X12-BS!X105</f>
        <v>1.9999999999527063E-2</v>
      </c>
      <c r="Y106" s="701">
        <f>+'Inc St'!Y12-BS!Y105</f>
        <v>0.3999999999996362</v>
      </c>
      <c r="Z106" s="701">
        <f>+'Inc St'!Z12-BS!Z105</f>
        <v>0</v>
      </c>
      <c r="AA106" s="701">
        <f>+'Inc St'!AA12-BS!AA105</f>
        <v>0</v>
      </c>
      <c r="AB106" s="701">
        <f>+'Inc St'!AB12-BS!AB105</f>
        <v>0</v>
      </c>
      <c r="AC106" s="701">
        <f>+'Inc St'!AC12-BS!AC105</f>
        <v>0</v>
      </c>
      <c r="AD106" s="701">
        <f>+'Inc St'!AD12-BS!AD105</f>
        <v>0</v>
      </c>
      <c r="AE106" s="701">
        <f>+'Inc St'!AE12-BS!AE105</f>
        <v>0</v>
      </c>
      <c r="AF106" s="701">
        <f>+'Inc St'!AF12-BS!AF105</f>
        <v>0</v>
      </c>
      <c r="AG106" s="701">
        <f>+'Inc St'!AG12-BS!AG105</f>
        <v>0</v>
      </c>
      <c r="AH106" s="701">
        <f>+'Inc St'!AH12-BS!AH105</f>
        <v>0</v>
      </c>
      <c r="AI106" s="701">
        <f>+'Inc St'!AI12-BS!AI105</f>
        <v>0</v>
      </c>
      <c r="AJ106" s="701">
        <f>+'Inc St'!AJ12-BS!AJ105</f>
        <v>0</v>
      </c>
      <c r="AK106" s="701">
        <f>+'Inc St'!AK12-BS!AK105</f>
        <v>0</v>
      </c>
      <c r="AL106" s="701">
        <f>+'Inc St'!AL12-BS!AL105</f>
        <v>0</v>
      </c>
    </row>
    <row r="107" spans="2:38" ht="14" thickBot="1">
      <c r="T107" s="441"/>
      <c r="U107" s="441"/>
      <c r="V107" s="441"/>
      <c r="W107" s="441"/>
    </row>
    <row r="108" spans="2:38" ht="19" thickBot="1">
      <c r="C108" s="684" t="s">
        <v>342</v>
      </c>
      <c r="D108" s="694"/>
      <c r="T108" s="711"/>
      <c r="U108" s="711"/>
      <c r="V108" s="711"/>
      <c r="W108" s="711"/>
      <c r="X108" s="711"/>
    </row>
    <row r="109" spans="2:38">
      <c r="T109" s="441"/>
      <c r="U109" s="441"/>
      <c r="V109" s="441"/>
      <c r="W109" s="441"/>
    </row>
    <row r="110" spans="2:38">
      <c r="C110" s="696" t="s">
        <v>327</v>
      </c>
      <c r="F110" s="697">
        <f>+E45</f>
        <v>39654</v>
      </c>
      <c r="G110" s="697">
        <f>+F113</f>
        <v>40471</v>
      </c>
      <c r="H110" s="697">
        <f>+BS!G45</f>
        <v>40471</v>
      </c>
      <c r="I110" s="697">
        <f>+H113</f>
        <v>40471</v>
      </c>
      <c r="J110" s="697">
        <f>+I113</f>
        <v>40471</v>
      </c>
      <c r="K110" s="697">
        <f>+J113</f>
        <v>40471</v>
      </c>
      <c r="L110" s="697">
        <f>+K113</f>
        <v>40471</v>
      </c>
      <c r="M110" s="697">
        <f>+K113</f>
        <v>40471</v>
      </c>
      <c r="N110" s="697">
        <f>+L113</f>
        <v>40471</v>
      </c>
      <c r="O110" s="697">
        <f>+J113</f>
        <v>40471</v>
      </c>
      <c r="P110" s="697">
        <f>+M113</f>
        <v>40471</v>
      </c>
      <c r="Q110" s="697">
        <f>+O113</f>
        <v>40471</v>
      </c>
      <c r="R110" s="697">
        <f>+O113</f>
        <v>40471</v>
      </c>
      <c r="S110" s="697">
        <f>+O113</f>
        <v>40471</v>
      </c>
      <c r="T110" s="697">
        <f>+S113</f>
        <v>52717</v>
      </c>
      <c r="U110" s="697">
        <f>+S113</f>
        <v>52717</v>
      </c>
      <c r="V110" s="697">
        <f>+S113</f>
        <v>52717</v>
      </c>
      <c r="W110" s="697">
        <f>+T113</f>
        <v>52717</v>
      </c>
      <c r="X110" s="697">
        <f>+U113</f>
        <v>52717</v>
      </c>
      <c r="Y110" s="697">
        <f t="shared" ref="Y110:AG110" si="54">+X113</f>
        <v>52717</v>
      </c>
      <c r="Z110" s="697">
        <f t="shared" si="54"/>
        <v>52717</v>
      </c>
      <c r="AA110" s="697">
        <f t="shared" si="54"/>
        <v>52717</v>
      </c>
      <c r="AB110" s="697">
        <f>+AA113</f>
        <v>52717</v>
      </c>
      <c r="AC110" s="697">
        <f t="shared" si="54"/>
        <v>52717</v>
      </c>
      <c r="AD110" s="697">
        <f t="shared" si="54"/>
        <v>52717</v>
      </c>
      <c r="AE110" s="697">
        <f t="shared" si="54"/>
        <v>52717</v>
      </c>
      <c r="AF110" s="697">
        <f t="shared" si="54"/>
        <v>52717</v>
      </c>
      <c r="AG110" s="697">
        <f t="shared" si="54"/>
        <v>52717</v>
      </c>
      <c r="AH110" s="697">
        <f>+AG113</f>
        <v>52717</v>
      </c>
      <c r="AI110" s="697">
        <f>+AH113</f>
        <v>52717</v>
      </c>
      <c r="AJ110" s="697">
        <f>+AI113</f>
        <v>52717</v>
      </c>
      <c r="AK110" s="697">
        <f>+AJ113</f>
        <v>52717</v>
      </c>
      <c r="AL110" s="697">
        <f>+AK113</f>
        <v>52717</v>
      </c>
    </row>
    <row r="111" spans="2:38">
      <c r="C111" s="696" t="s">
        <v>343</v>
      </c>
      <c r="F111" s="697">
        <f>40471-39654</f>
        <v>817</v>
      </c>
      <c r="G111" s="697">
        <v>0</v>
      </c>
      <c r="H111" s="697">
        <v>0</v>
      </c>
      <c r="I111" s="697">
        <v>0</v>
      </c>
      <c r="J111" s="697">
        <v>0</v>
      </c>
      <c r="K111" s="697">
        <v>0</v>
      </c>
      <c r="L111" s="697">
        <v>0</v>
      </c>
      <c r="M111" s="697">
        <v>0</v>
      </c>
      <c r="N111" s="697">
        <v>0</v>
      </c>
      <c r="O111" s="697">
        <v>0</v>
      </c>
      <c r="P111" s="697">
        <v>0</v>
      </c>
      <c r="Q111" s="697">
        <v>0</v>
      </c>
      <c r="R111" s="697">
        <v>0</v>
      </c>
      <c r="S111" s="697">
        <v>0</v>
      </c>
      <c r="T111" s="697">
        <v>0</v>
      </c>
      <c r="U111" s="697">
        <v>0</v>
      </c>
      <c r="V111" s="697">
        <v>0</v>
      </c>
      <c r="W111" s="697">
        <v>0</v>
      </c>
      <c r="X111" s="697">
        <v>0</v>
      </c>
      <c r="Y111" s="697">
        <v>0</v>
      </c>
      <c r="Z111" s="697">
        <v>0</v>
      </c>
      <c r="AA111" s="697">
        <v>0</v>
      </c>
      <c r="AB111" s="697">
        <v>0</v>
      </c>
      <c r="AC111" s="697">
        <v>0</v>
      </c>
      <c r="AD111" s="697">
        <v>0</v>
      </c>
      <c r="AE111" s="697">
        <v>0</v>
      </c>
      <c r="AF111" s="697">
        <v>0</v>
      </c>
      <c r="AG111" s="697">
        <v>0</v>
      </c>
      <c r="AH111" s="697">
        <v>0</v>
      </c>
      <c r="AI111" s="697">
        <v>0</v>
      </c>
      <c r="AJ111" s="697">
        <v>0</v>
      </c>
      <c r="AK111" s="697">
        <v>0</v>
      </c>
      <c r="AL111" s="697">
        <v>0</v>
      </c>
    </row>
    <row r="112" spans="2:38">
      <c r="C112" s="665" t="s">
        <v>344</v>
      </c>
      <c r="F112" s="697">
        <v>0</v>
      </c>
      <c r="G112" s="697">
        <v>0</v>
      </c>
      <c r="H112" s="697">
        <v>0</v>
      </c>
      <c r="I112" s="697">
        <v>0</v>
      </c>
      <c r="J112" s="697">
        <v>0</v>
      </c>
      <c r="K112" s="697">
        <v>0</v>
      </c>
      <c r="L112" s="697">
        <v>0</v>
      </c>
      <c r="M112" s="697">
        <v>0</v>
      </c>
      <c r="N112" s="697">
        <v>0</v>
      </c>
      <c r="O112" s="697">
        <v>0</v>
      </c>
      <c r="P112" s="698">
        <f>47457-40471</f>
        <v>6986</v>
      </c>
      <c r="Q112" s="698">
        <f>47457-40471</f>
        <v>6986</v>
      </c>
      <c r="R112" s="698">
        <f>47457-40471</f>
        <v>6986</v>
      </c>
      <c r="S112" s="698">
        <v>12246</v>
      </c>
      <c r="T112" s="698">
        <v>0</v>
      </c>
      <c r="U112" s="698">
        <v>0</v>
      </c>
      <c r="V112" s="698">
        <v>0</v>
      </c>
      <c r="W112" s="698">
        <v>0</v>
      </c>
      <c r="X112" s="698">
        <v>0</v>
      </c>
      <c r="Y112" s="698">
        <v>0</v>
      </c>
      <c r="Z112" s="698">
        <v>0</v>
      </c>
      <c r="AA112" s="698">
        <v>0</v>
      </c>
      <c r="AB112" s="698">
        <v>0</v>
      </c>
      <c r="AC112" s="698">
        <v>0</v>
      </c>
      <c r="AD112" s="698">
        <v>0</v>
      </c>
      <c r="AE112" s="698">
        <v>0</v>
      </c>
      <c r="AF112" s="698">
        <v>0</v>
      </c>
      <c r="AG112" s="698">
        <v>0</v>
      </c>
      <c r="AH112" s="698">
        <v>0</v>
      </c>
      <c r="AI112" s="698">
        <v>0</v>
      </c>
      <c r="AJ112" s="698">
        <v>0</v>
      </c>
      <c r="AK112" s="698">
        <v>0</v>
      </c>
      <c r="AL112" s="698">
        <v>0</v>
      </c>
    </row>
    <row r="113" spans="2:38" s="477" customFormat="1">
      <c r="C113" s="699" t="s">
        <v>342</v>
      </c>
      <c r="D113" s="699"/>
      <c r="F113" s="700">
        <f t="shared" ref="F113:AG113" si="55">SUM(F110:F112)</f>
        <v>40471</v>
      </c>
      <c r="G113" s="700">
        <f t="shared" si="55"/>
        <v>40471</v>
      </c>
      <c r="H113" s="700">
        <f t="shared" si="55"/>
        <v>40471</v>
      </c>
      <c r="I113" s="700">
        <f t="shared" si="55"/>
        <v>40471</v>
      </c>
      <c r="J113" s="700">
        <f t="shared" si="55"/>
        <v>40471</v>
      </c>
      <c r="K113" s="700">
        <f t="shared" si="55"/>
        <v>40471</v>
      </c>
      <c r="L113" s="700">
        <f t="shared" si="55"/>
        <v>40471</v>
      </c>
      <c r="M113" s="700">
        <f t="shared" si="55"/>
        <v>40471</v>
      </c>
      <c r="N113" s="700">
        <f t="shared" si="55"/>
        <v>40471</v>
      </c>
      <c r="O113" s="700">
        <f t="shared" si="55"/>
        <v>40471</v>
      </c>
      <c r="P113" s="700">
        <f t="shared" si="55"/>
        <v>47457</v>
      </c>
      <c r="Q113" s="700">
        <f t="shared" si="55"/>
        <v>47457</v>
      </c>
      <c r="R113" s="700">
        <f t="shared" si="55"/>
        <v>47457</v>
      </c>
      <c r="S113" s="700">
        <f t="shared" si="55"/>
        <v>52717</v>
      </c>
      <c r="T113" s="700">
        <f t="shared" si="55"/>
        <v>52717</v>
      </c>
      <c r="U113" s="700">
        <f t="shared" si="55"/>
        <v>52717</v>
      </c>
      <c r="V113" s="700">
        <f t="shared" si="55"/>
        <v>52717</v>
      </c>
      <c r="W113" s="700">
        <f t="shared" si="55"/>
        <v>52717</v>
      </c>
      <c r="X113" s="700">
        <f t="shared" si="55"/>
        <v>52717</v>
      </c>
      <c r="Y113" s="700">
        <f t="shared" si="55"/>
        <v>52717</v>
      </c>
      <c r="Z113" s="700">
        <f t="shared" si="55"/>
        <v>52717</v>
      </c>
      <c r="AA113" s="700">
        <f t="shared" si="55"/>
        <v>52717</v>
      </c>
      <c r="AB113" s="700">
        <f t="shared" si="55"/>
        <v>52717</v>
      </c>
      <c r="AC113" s="700">
        <f t="shared" si="55"/>
        <v>52717</v>
      </c>
      <c r="AD113" s="700">
        <f t="shared" si="55"/>
        <v>52717</v>
      </c>
      <c r="AE113" s="700">
        <f t="shared" si="55"/>
        <v>52717</v>
      </c>
      <c r="AF113" s="700">
        <f t="shared" si="55"/>
        <v>52717</v>
      </c>
      <c r="AG113" s="700">
        <f t="shared" si="55"/>
        <v>52717</v>
      </c>
      <c r="AH113" s="700">
        <f>SUM(AH110:AH112)</f>
        <v>52717</v>
      </c>
      <c r="AI113" s="700">
        <f>SUM(AI110:AI112)</f>
        <v>52717</v>
      </c>
      <c r="AJ113" s="700">
        <f>SUM(AJ110:AJ112)</f>
        <v>52717</v>
      </c>
      <c r="AK113" s="700">
        <f>SUM(AK110:AK112)</f>
        <v>52717</v>
      </c>
      <c r="AL113" s="700">
        <f>SUM(AL110:AL112)</f>
        <v>52717</v>
      </c>
    </row>
    <row r="114" spans="2:38">
      <c r="F114" s="701">
        <f t="shared" ref="F114:AG114" si="56">+F45-F113</f>
        <v>0</v>
      </c>
      <c r="G114" s="701">
        <f t="shared" si="56"/>
        <v>0</v>
      </c>
      <c r="H114" s="701">
        <f t="shared" si="56"/>
        <v>0</v>
      </c>
      <c r="I114" s="701">
        <f t="shared" si="56"/>
        <v>0</v>
      </c>
      <c r="J114" s="701">
        <f t="shared" si="56"/>
        <v>0</v>
      </c>
      <c r="K114" s="701">
        <f t="shared" si="56"/>
        <v>0</v>
      </c>
      <c r="L114" s="701">
        <f t="shared" si="56"/>
        <v>0</v>
      </c>
      <c r="M114" s="701">
        <f t="shared" si="56"/>
        <v>0</v>
      </c>
      <c r="N114" s="701">
        <f t="shared" si="56"/>
        <v>0</v>
      </c>
      <c r="O114" s="701">
        <f t="shared" si="56"/>
        <v>0</v>
      </c>
      <c r="P114" s="701">
        <f t="shared" si="56"/>
        <v>0</v>
      </c>
      <c r="Q114" s="701">
        <f t="shared" si="56"/>
        <v>0</v>
      </c>
      <c r="R114" s="701">
        <f t="shared" si="56"/>
        <v>0</v>
      </c>
      <c r="S114" s="701">
        <f t="shared" si="56"/>
        <v>0.27254079539852683</v>
      </c>
      <c r="T114" s="701">
        <f t="shared" si="56"/>
        <v>0</v>
      </c>
      <c r="U114" s="701">
        <f t="shared" si="56"/>
        <v>0</v>
      </c>
      <c r="V114" s="701">
        <f t="shared" si="56"/>
        <v>0</v>
      </c>
      <c r="W114" s="701">
        <f t="shared" si="56"/>
        <v>0</v>
      </c>
      <c r="X114" s="701">
        <f t="shared" si="56"/>
        <v>0</v>
      </c>
      <c r="Y114" s="701">
        <f t="shared" si="56"/>
        <v>0</v>
      </c>
      <c r="Z114" s="701">
        <f t="shared" si="56"/>
        <v>0</v>
      </c>
      <c r="AA114" s="701">
        <f t="shared" si="56"/>
        <v>0</v>
      </c>
      <c r="AB114" s="701">
        <f t="shared" si="56"/>
        <v>0</v>
      </c>
      <c r="AC114" s="701">
        <f t="shared" si="56"/>
        <v>0</v>
      </c>
      <c r="AD114" s="701">
        <f t="shared" si="56"/>
        <v>0</v>
      </c>
      <c r="AE114" s="701">
        <f t="shared" si="56"/>
        <v>0</v>
      </c>
      <c r="AF114" s="701">
        <f t="shared" si="56"/>
        <v>0</v>
      </c>
      <c r="AG114" s="701">
        <f t="shared" si="56"/>
        <v>0</v>
      </c>
      <c r="AH114" s="701">
        <f>+AH45-AH113</f>
        <v>0</v>
      </c>
      <c r="AI114" s="701">
        <f>+AI45-AI113</f>
        <v>0</v>
      </c>
      <c r="AJ114" s="701">
        <f>+AJ45-AJ113</f>
        <v>0</v>
      </c>
      <c r="AK114" s="701">
        <f>+AK45-AK113</f>
        <v>0</v>
      </c>
      <c r="AL114" s="701">
        <f>+AL45-AL113</f>
        <v>0</v>
      </c>
    </row>
    <row r="115" spans="2:38">
      <c r="E115" s="477"/>
      <c r="F115" s="477"/>
      <c r="G115" s="642"/>
      <c r="H115" s="642"/>
    </row>
    <row r="116" spans="2:38">
      <c r="E116" s="477"/>
      <c r="F116" s="477"/>
      <c r="G116" s="642"/>
      <c r="H116" s="642"/>
    </row>
    <row r="117" spans="2:38">
      <c r="E117" s="477"/>
      <c r="F117" s="477"/>
      <c r="G117" s="642"/>
      <c r="H117" s="642"/>
    </row>
    <row r="118" spans="2:38" ht="31.5" customHeight="1" thickBot="1">
      <c r="C118" s="811" t="s">
        <v>345</v>
      </c>
      <c r="D118" s="812"/>
      <c r="E118" s="812"/>
      <c r="F118" s="812"/>
      <c r="G118" s="812"/>
      <c r="H118" s="812"/>
      <c r="I118" s="812"/>
      <c r="J118" s="812"/>
      <c r="K118" s="812"/>
      <c r="L118" s="812"/>
      <c r="M118" s="812"/>
      <c r="N118" s="812"/>
      <c r="O118" s="812"/>
      <c r="P118" s="812"/>
      <c r="Q118" s="812"/>
      <c r="R118" s="812"/>
      <c r="S118" s="812"/>
      <c r="T118" s="812"/>
      <c r="U118" s="812"/>
      <c r="V118" s="812"/>
      <c r="W118" s="812"/>
      <c r="X118" s="812"/>
      <c r="Y118" s="812"/>
      <c r="Z118" s="812"/>
      <c r="AA118" s="812"/>
      <c r="AB118" s="812"/>
      <c r="AC118" s="812"/>
      <c r="AD118" s="812"/>
      <c r="AE118" s="812"/>
      <c r="AF118" s="812"/>
      <c r="AG118" s="812"/>
      <c r="AH118" s="812"/>
      <c r="AI118" s="812"/>
      <c r="AJ118" s="812"/>
      <c r="AK118" s="812"/>
      <c r="AL118" s="812"/>
    </row>
    <row r="119" spans="2:38" ht="10.5" hidden="1" customHeight="1" thickBot="1">
      <c r="C119" s="712"/>
      <c r="D119" s="702"/>
      <c r="E119" s="713"/>
      <c r="F119" s="713"/>
      <c r="G119" s="714"/>
      <c r="H119" s="714"/>
      <c r="I119" s="702"/>
      <c r="J119" s="702"/>
      <c r="K119" s="713"/>
      <c r="L119" s="713"/>
      <c r="M119" s="702"/>
      <c r="N119" s="702"/>
      <c r="O119" s="713"/>
      <c r="P119" s="713"/>
      <c r="Q119" s="713"/>
      <c r="R119" s="713"/>
      <c r="S119" s="713"/>
      <c r="T119" s="713"/>
      <c r="U119" s="713"/>
      <c r="V119" s="713"/>
      <c r="W119" s="713"/>
      <c r="X119" s="702"/>
      <c r="Y119" s="702"/>
      <c r="Z119" s="702"/>
      <c r="AA119" s="702"/>
      <c r="AB119" s="702"/>
      <c r="AC119" s="715"/>
      <c r="AD119" s="715"/>
      <c r="AE119" s="715"/>
      <c r="AF119" s="715"/>
      <c r="AG119" s="715"/>
      <c r="AH119" s="715"/>
      <c r="AI119" s="715"/>
      <c r="AJ119" s="715"/>
      <c r="AK119" s="715"/>
      <c r="AL119" s="715"/>
    </row>
    <row r="120" spans="2:38" ht="27.75" customHeight="1">
      <c r="B120" s="651"/>
      <c r="C120" s="716" t="s">
        <v>346</v>
      </c>
      <c r="D120" s="639"/>
      <c r="E120" s="717"/>
      <c r="F120" s="717"/>
      <c r="G120" s="718"/>
      <c r="H120" s="718"/>
      <c r="I120" s="719"/>
      <c r="J120" s="719"/>
      <c r="K120" s="717"/>
      <c r="L120" s="639"/>
      <c r="M120" s="719"/>
      <c r="N120" s="719"/>
      <c r="O120" s="639"/>
      <c r="P120" s="717"/>
      <c r="Q120" s="717"/>
      <c r="R120" s="717"/>
      <c r="S120" s="639"/>
      <c r="T120" s="717"/>
      <c r="U120" s="720" t="s">
        <v>186</v>
      </c>
      <c r="V120" s="721" t="s">
        <v>187</v>
      </c>
      <c r="W120" s="639"/>
      <c r="X120" s="639"/>
      <c r="Y120" s="639" t="s">
        <v>190</v>
      </c>
      <c r="Z120" s="639"/>
      <c r="AA120" s="639"/>
      <c r="AB120" s="639"/>
      <c r="AC120" s="639" t="s">
        <v>194</v>
      </c>
      <c r="AD120" s="639" t="s">
        <v>195</v>
      </c>
      <c r="AE120" s="639" t="s">
        <v>196</v>
      </c>
      <c r="AF120" s="639" t="s">
        <v>197</v>
      </c>
      <c r="AG120" s="639" t="s">
        <v>198</v>
      </c>
      <c r="AH120" s="639" t="s">
        <v>199</v>
      </c>
      <c r="AI120" s="639" t="s">
        <v>200</v>
      </c>
      <c r="AJ120" s="639" t="s">
        <v>201</v>
      </c>
      <c r="AK120" s="639" t="s">
        <v>202</v>
      </c>
      <c r="AL120" s="639" t="s">
        <v>203</v>
      </c>
    </row>
    <row r="121" spans="2:38">
      <c r="B121" s="651">
        <v>1</v>
      </c>
      <c r="C121" s="722" t="s">
        <v>237</v>
      </c>
      <c r="D121" s="723"/>
      <c r="E121" s="724"/>
      <c r="F121" s="724"/>
      <c r="G121" s="725"/>
      <c r="H121" s="725"/>
      <c r="I121" s="724"/>
      <c r="J121" s="724"/>
      <c r="K121" s="724"/>
      <c r="L121" s="724"/>
      <c r="M121" s="724"/>
      <c r="N121" s="724"/>
      <c r="O121" s="724"/>
      <c r="P121" s="724"/>
      <c r="Q121" s="724"/>
      <c r="R121" s="724"/>
      <c r="S121" s="724"/>
      <c r="T121" s="724"/>
      <c r="U121" s="726">
        <v>1500</v>
      </c>
      <c r="V121" s="726">
        <v>1500</v>
      </c>
      <c r="W121" s="726"/>
      <c r="X121" s="726"/>
      <c r="Y121" s="726">
        <v>463</v>
      </c>
      <c r="Z121" s="726"/>
      <c r="AA121" s="726"/>
      <c r="AB121" s="726"/>
      <c r="AC121" s="726">
        <v>500</v>
      </c>
      <c r="AD121" s="726">
        <v>500</v>
      </c>
      <c r="AE121" s="726">
        <v>500</v>
      </c>
      <c r="AF121" s="726">
        <v>500</v>
      </c>
      <c r="AG121" s="726">
        <v>500</v>
      </c>
      <c r="AH121" s="726">
        <v>500</v>
      </c>
      <c r="AI121" s="726">
        <v>1000</v>
      </c>
      <c r="AJ121" s="726">
        <v>1000</v>
      </c>
      <c r="AK121" s="726">
        <v>1000</v>
      </c>
      <c r="AL121" s="726">
        <v>1000</v>
      </c>
    </row>
    <row r="122" spans="2:38">
      <c r="B122" s="651">
        <v>2</v>
      </c>
      <c r="C122" s="722" t="s">
        <v>238</v>
      </c>
      <c r="D122" s="723"/>
      <c r="E122" s="724"/>
      <c r="F122" s="724"/>
      <c r="G122" s="725"/>
      <c r="H122" s="725"/>
      <c r="I122" s="724"/>
      <c r="J122" s="724"/>
      <c r="K122" s="724"/>
      <c r="L122" s="724"/>
      <c r="M122" s="724"/>
      <c r="N122" s="724"/>
      <c r="O122" s="724"/>
      <c r="P122" s="724"/>
      <c r="Q122" s="724"/>
      <c r="R122" s="724"/>
      <c r="S122" s="724"/>
      <c r="T122" s="724"/>
      <c r="U122" s="726">
        <v>400</v>
      </c>
      <c r="V122" s="726">
        <v>400</v>
      </c>
      <c r="W122" s="726"/>
      <c r="X122" s="726"/>
      <c r="Y122" s="726">
        <v>225</v>
      </c>
      <c r="Z122" s="726"/>
      <c r="AA122" s="726"/>
      <c r="AB122" s="726"/>
      <c r="AC122" s="726">
        <v>500</v>
      </c>
      <c r="AD122" s="726">
        <v>500</v>
      </c>
      <c r="AE122" s="726">
        <v>500</v>
      </c>
      <c r="AF122" s="726">
        <v>500</v>
      </c>
      <c r="AG122" s="726">
        <v>500</v>
      </c>
      <c r="AH122" s="726">
        <v>500</v>
      </c>
      <c r="AI122" s="726">
        <v>500</v>
      </c>
      <c r="AJ122" s="726">
        <v>500</v>
      </c>
      <c r="AK122" s="726">
        <v>500</v>
      </c>
      <c r="AL122" s="726">
        <v>500</v>
      </c>
    </row>
    <row r="123" spans="2:38">
      <c r="B123" s="651">
        <v>3</v>
      </c>
      <c r="C123" s="722" t="s">
        <v>239</v>
      </c>
      <c r="D123" s="723"/>
      <c r="E123" s="724"/>
      <c r="F123" s="724"/>
      <c r="G123" s="725"/>
      <c r="H123" s="725"/>
      <c r="I123" s="724"/>
      <c r="J123" s="724"/>
      <c r="K123" s="724"/>
      <c r="L123" s="724"/>
      <c r="M123" s="724"/>
      <c r="N123" s="724"/>
      <c r="O123" s="724"/>
      <c r="P123" s="724"/>
      <c r="Q123" s="724"/>
      <c r="R123" s="724"/>
      <c r="S123" s="724"/>
      <c r="T123" s="724"/>
      <c r="U123" s="726">
        <v>1000</v>
      </c>
      <c r="V123" s="726">
        <v>1000</v>
      </c>
      <c r="W123" s="726"/>
      <c r="X123" s="726"/>
      <c r="Y123" s="726">
        <v>300</v>
      </c>
      <c r="Z123" s="726"/>
      <c r="AA123" s="726"/>
      <c r="AB123" s="726"/>
      <c r="AC123" s="726">
        <v>500</v>
      </c>
      <c r="AD123" s="726">
        <v>500</v>
      </c>
      <c r="AE123" s="726">
        <v>500</v>
      </c>
      <c r="AF123" s="726">
        <v>500</v>
      </c>
      <c r="AG123" s="726">
        <v>500</v>
      </c>
      <c r="AH123" s="726">
        <v>500</v>
      </c>
      <c r="AI123" s="726">
        <v>500</v>
      </c>
      <c r="AJ123" s="726">
        <v>500</v>
      </c>
      <c r="AK123" s="726">
        <v>500</v>
      </c>
      <c r="AL123" s="726">
        <v>500</v>
      </c>
    </row>
    <row r="124" spans="2:38">
      <c r="B124" s="719">
        <v>4</v>
      </c>
      <c r="C124" s="722" t="s">
        <v>240</v>
      </c>
      <c r="D124" s="723"/>
      <c r="E124" s="724"/>
      <c r="F124" s="724"/>
      <c r="G124" s="725"/>
      <c r="H124" s="725"/>
      <c r="I124" s="724"/>
      <c r="J124" s="724"/>
      <c r="K124" s="724"/>
      <c r="L124" s="724"/>
      <c r="M124" s="724"/>
      <c r="N124" s="724"/>
      <c r="O124" s="724"/>
      <c r="P124" s="724"/>
      <c r="Q124" s="724"/>
      <c r="R124" s="724"/>
      <c r="S124" s="724"/>
      <c r="T124" s="724"/>
      <c r="U124" s="726">
        <v>50</v>
      </c>
      <c r="V124" s="726">
        <v>50</v>
      </c>
      <c r="W124" s="726"/>
      <c r="X124" s="726"/>
      <c r="Y124" s="726"/>
      <c r="Z124" s="726"/>
      <c r="AA124" s="726"/>
      <c r="AB124" s="726"/>
      <c r="AC124" s="726">
        <v>100</v>
      </c>
      <c r="AD124" s="726">
        <v>100</v>
      </c>
      <c r="AE124" s="726">
        <v>100</v>
      </c>
      <c r="AF124" s="726">
        <v>100</v>
      </c>
      <c r="AG124" s="726">
        <v>100</v>
      </c>
      <c r="AH124" s="726">
        <v>100</v>
      </c>
      <c r="AI124" s="726">
        <v>100</v>
      </c>
      <c r="AJ124" s="726">
        <v>100</v>
      </c>
      <c r="AK124" s="726">
        <v>100</v>
      </c>
      <c r="AL124" s="726">
        <v>100</v>
      </c>
    </row>
    <row r="125" spans="2:38">
      <c r="B125" s="717">
        <v>5</v>
      </c>
      <c r="C125" s="722" t="s">
        <v>223</v>
      </c>
      <c r="D125" s="723"/>
      <c r="E125" s="724"/>
      <c r="F125" s="724"/>
      <c r="G125" s="725"/>
      <c r="H125" s="725"/>
      <c r="I125" s="724"/>
      <c r="J125" s="724"/>
      <c r="K125" s="724"/>
      <c r="L125" s="724"/>
      <c r="M125" s="724"/>
      <c r="N125" s="724"/>
      <c r="O125" s="724"/>
      <c r="P125" s="724"/>
      <c r="Q125" s="724"/>
      <c r="R125" s="724"/>
      <c r="S125" s="724"/>
      <c r="T125" s="724"/>
      <c r="U125" s="726">
        <v>3500</v>
      </c>
      <c r="V125" s="726">
        <v>3500</v>
      </c>
      <c r="W125" s="726"/>
      <c r="X125" s="726"/>
      <c r="Y125" s="726">
        <v>3100</v>
      </c>
      <c r="Z125" s="726"/>
      <c r="AA125" s="726"/>
      <c r="AB125" s="726"/>
      <c r="AC125" s="726">
        <v>750</v>
      </c>
      <c r="AD125" s="726">
        <v>750</v>
      </c>
      <c r="AE125" s="726">
        <v>750</v>
      </c>
      <c r="AF125" s="726">
        <v>750</v>
      </c>
      <c r="AG125" s="726">
        <v>750</v>
      </c>
      <c r="AH125" s="726">
        <v>750</v>
      </c>
      <c r="AI125" s="726">
        <v>750</v>
      </c>
      <c r="AJ125" s="726">
        <v>750</v>
      </c>
      <c r="AK125" s="726">
        <v>750</v>
      </c>
      <c r="AL125" s="726">
        <v>750</v>
      </c>
    </row>
    <row r="126" spans="2:38">
      <c r="B126" s="717">
        <v>6</v>
      </c>
      <c r="C126" s="722" t="s">
        <v>224</v>
      </c>
      <c r="D126" s="723"/>
      <c r="E126" s="724"/>
      <c r="F126" s="724"/>
      <c r="G126" s="725"/>
      <c r="H126" s="725"/>
      <c r="I126" s="724"/>
      <c r="J126" s="724"/>
      <c r="K126" s="724"/>
      <c r="L126" s="724"/>
      <c r="M126" s="724"/>
      <c r="N126" s="724"/>
      <c r="O126" s="724"/>
      <c r="P126" s="724"/>
      <c r="Q126" s="724"/>
      <c r="R126" s="724"/>
      <c r="S126" s="724"/>
      <c r="T126" s="724"/>
      <c r="U126" s="726">
        <v>500</v>
      </c>
      <c r="V126" s="726">
        <v>500</v>
      </c>
      <c r="W126" s="726"/>
      <c r="X126" s="726"/>
      <c r="Y126" s="726"/>
      <c r="Z126" s="726"/>
      <c r="AA126" s="726"/>
      <c r="AB126" s="726"/>
      <c r="AC126" s="726">
        <v>200</v>
      </c>
      <c r="AD126" s="726">
        <v>200</v>
      </c>
      <c r="AE126" s="726">
        <v>200</v>
      </c>
      <c r="AF126" s="726">
        <v>200</v>
      </c>
      <c r="AG126" s="726">
        <v>200</v>
      </c>
      <c r="AH126" s="726">
        <v>200</v>
      </c>
      <c r="AI126" s="726">
        <v>200</v>
      </c>
      <c r="AJ126" s="726">
        <v>200</v>
      </c>
      <c r="AK126" s="726">
        <v>200</v>
      </c>
      <c r="AL126" s="726">
        <v>200</v>
      </c>
    </row>
    <row r="127" spans="2:38">
      <c r="B127" s="717">
        <v>7</v>
      </c>
      <c r="C127" s="722" t="s">
        <v>241</v>
      </c>
      <c r="D127" s="723"/>
      <c r="E127" s="724"/>
      <c r="F127" s="724"/>
      <c r="G127" s="725"/>
      <c r="H127" s="725"/>
      <c r="I127" s="724"/>
      <c r="J127" s="724"/>
      <c r="K127" s="724"/>
      <c r="L127" s="724"/>
      <c r="M127" s="724"/>
      <c r="N127" s="724"/>
      <c r="O127" s="724"/>
      <c r="P127" s="724"/>
      <c r="Q127" s="724"/>
      <c r="R127" s="724"/>
      <c r="S127" s="724"/>
      <c r="T127" s="724"/>
      <c r="U127" s="726">
        <v>750</v>
      </c>
      <c r="V127" s="726">
        <v>750</v>
      </c>
      <c r="W127" s="726"/>
      <c r="X127" s="726"/>
      <c r="Y127" s="726">
        <v>362</v>
      </c>
      <c r="Z127" s="726"/>
      <c r="AA127" s="726"/>
      <c r="AB127" s="726"/>
      <c r="AC127" s="726">
        <v>200</v>
      </c>
      <c r="AD127" s="726">
        <v>200</v>
      </c>
      <c r="AE127" s="726">
        <v>200</v>
      </c>
      <c r="AF127" s="726">
        <v>200</v>
      </c>
      <c r="AG127" s="726">
        <v>200</v>
      </c>
      <c r="AH127" s="726">
        <v>200</v>
      </c>
      <c r="AI127" s="726">
        <v>200</v>
      </c>
      <c r="AJ127" s="726">
        <v>200</v>
      </c>
      <c r="AK127" s="726">
        <v>200</v>
      </c>
      <c r="AL127" s="726">
        <v>200</v>
      </c>
    </row>
    <row r="128" spans="2:38">
      <c r="B128" s="717">
        <v>8</v>
      </c>
      <c r="C128" s="722" t="s">
        <v>347</v>
      </c>
      <c r="D128" s="723"/>
      <c r="E128" s="724"/>
      <c r="F128" s="724"/>
      <c r="G128" s="725"/>
      <c r="H128" s="725"/>
      <c r="I128" s="724"/>
      <c r="J128" s="724"/>
      <c r="K128" s="724"/>
      <c r="L128" s="724"/>
      <c r="M128" s="724"/>
      <c r="N128" s="724"/>
      <c r="O128" s="724"/>
      <c r="P128" s="724"/>
      <c r="Q128" s="724"/>
      <c r="R128" s="724"/>
      <c r="S128" s="724"/>
      <c r="T128" s="724"/>
      <c r="U128" s="726">
        <v>4500</v>
      </c>
      <c r="V128" s="726">
        <v>4500</v>
      </c>
      <c r="W128" s="726"/>
      <c r="X128" s="726"/>
      <c r="Y128" s="726">
        <v>100</v>
      </c>
      <c r="Z128" s="726"/>
      <c r="AA128" s="726"/>
      <c r="AB128" s="726"/>
      <c r="AC128" s="726">
        <v>500</v>
      </c>
      <c r="AD128" s="726">
        <v>500</v>
      </c>
      <c r="AE128" s="726">
        <v>500</v>
      </c>
      <c r="AF128" s="726">
        <v>500</v>
      </c>
      <c r="AG128" s="726">
        <v>500</v>
      </c>
      <c r="AH128" s="726">
        <v>500</v>
      </c>
      <c r="AI128" s="726">
        <v>1500</v>
      </c>
      <c r="AJ128" s="726">
        <v>1500</v>
      </c>
      <c r="AK128" s="726">
        <v>1500</v>
      </c>
      <c r="AL128" s="726">
        <v>1500</v>
      </c>
    </row>
    <row r="129" spans="2:38">
      <c r="B129" s="717">
        <v>9</v>
      </c>
      <c r="C129" s="722" t="s">
        <v>348</v>
      </c>
      <c r="D129" s="723"/>
      <c r="E129" s="724"/>
      <c r="F129" s="724"/>
      <c r="G129" s="725"/>
      <c r="H129" s="725"/>
      <c r="I129" s="724"/>
      <c r="J129" s="724"/>
      <c r="K129" s="724"/>
      <c r="L129" s="724"/>
      <c r="M129" s="724"/>
      <c r="N129" s="724"/>
      <c r="O129" s="724"/>
      <c r="P129" s="724"/>
      <c r="Q129" s="724"/>
      <c r="R129" s="724"/>
      <c r="S129" s="724"/>
      <c r="T129" s="724"/>
      <c r="U129" s="726">
        <v>200</v>
      </c>
      <c r="V129" s="726">
        <v>200</v>
      </c>
      <c r="W129" s="726"/>
      <c r="X129" s="726"/>
      <c r="Y129" s="726">
        <v>200</v>
      </c>
      <c r="Z129" s="726"/>
      <c r="AA129" s="726"/>
      <c r="AB129" s="726"/>
      <c r="AC129" s="726">
        <v>0</v>
      </c>
      <c r="AD129" s="726">
        <v>0</v>
      </c>
      <c r="AE129" s="726">
        <v>0</v>
      </c>
      <c r="AF129" s="726">
        <v>0</v>
      </c>
      <c r="AG129" s="726">
        <v>0</v>
      </c>
      <c r="AH129" s="726">
        <v>0</v>
      </c>
      <c r="AI129" s="726">
        <v>0</v>
      </c>
      <c r="AJ129" s="726">
        <v>0</v>
      </c>
      <c r="AK129" s="726">
        <v>0</v>
      </c>
      <c r="AL129" s="726">
        <v>0</v>
      </c>
    </row>
    <row r="130" spans="2:38">
      <c r="B130" s="717">
        <v>10</v>
      </c>
      <c r="C130" s="722" t="s">
        <v>349</v>
      </c>
      <c r="D130" s="723"/>
      <c r="E130" s="724"/>
      <c r="F130" s="724"/>
      <c r="G130" s="725"/>
      <c r="H130" s="725"/>
      <c r="I130" s="724"/>
      <c r="J130" s="724"/>
      <c r="K130" s="724"/>
      <c r="L130" s="724"/>
      <c r="M130" s="724"/>
      <c r="N130" s="724"/>
      <c r="O130" s="724"/>
      <c r="P130" s="724"/>
      <c r="Q130" s="724"/>
      <c r="R130" s="724"/>
      <c r="S130" s="724"/>
      <c r="T130" s="724"/>
      <c r="U130" s="726">
        <v>0</v>
      </c>
      <c r="V130" s="726">
        <v>0</v>
      </c>
      <c r="W130" s="726"/>
      <c r="X130" s="726"/>
      <c r="Y130" s="726"/>
      <c r="Z130" s="726"/>
      <c r="AA130" s="726"/>
      <c r="AB130" s="726"/>
      <c r="AC130" s="727">
        <v>0</v>
      </c>
      <c r="AD130" s="727">
        <v>0</v>
      </c>
      <c r="AE130" s="727">
        <v>0</v>
      </c>
      <c r="AF130" s="727">
        <v>0</v>
      </c>
      <c r="AG130" s="727">
        <v>0</v>
      </c>
      <c r="AH130" s="727">
        <v>0</v>
      </c>
      <c r="AI130" s="727">
        <v>0</v>
      </c>
      <c r="AJ130" s="727">
        <v>0</v>
      </c>
      <c r="AK130" s="727">
        <v>0</v>
      </c>
      <c r="AL130" s="727">
        <v>0</v>
      </c>
    </row>
    <row r="131" spans="2:38">
      <c r="B131" s="717"/>
      <c r="C131" s="722" t="s">
        <v>227</v>
      </c>
      <c r="D131" s="723"/>
      <c r="E131" s="724"/>
      <c r="F131" s="724"/>
      <c r="G131" s="725"/>
      <c r="H131" s="725"/>
      <c r="I131" s="724"/>
      <c r="J131" s="724"/>
      <c r="K131" s="724"/>
      <c r="L131" s="724"/>
      <c r="M131" s="724"/>
      <c r="N131" s="724"/>
      <c r="O131" s="724"/>
      <c r="P131" s="724"/>
      <c r="Q131" s="724"/>
      <c r="R131" s="724"/>
      <c r="S131" s="724"/>
      <c r="T131" s="724"/>
      <c r="U131" s="726">
        <v>100</v>
      </c>
      <c r="V131" s="726">
        <v>100</v>
      </c>
      <c r="W131" s="726"/>
      <c r="X131" s="726"/>
      <c r="Y131" s="726">
        <v>350</v>
      </c>
      <c r="Z131" s="726"/>
      <c r="AA131" s="726"/>
      <c r="AB131" s="726"/>
      <c r="AC131" s="726">
        <v>350</v>
      </c>
      <c r="AD131" s="726">
        <v>350</v>
      </c>
      <c r="AE131" s="726">
        <v>350</v>
      </c>
      <c r="AF131" s="726">
        <v>350</v>
      </c>
      <c r="AG131" s="726">
        <v>350</v>
      </c>
      <c r="AH131" s="726">
        <v>350</v>
      </c>
      <c r="AI131" s="726">
        <v>350</v>
      </c>
      <c r="AJ131" s="726">
        <v>350</v>
      </c>
      <c r="AK131" s="726">
        <v>350</v>
      </c>
      <c r="AL131" s="726">
        <v>350</v>
      </c>
    </row>
    <row r="132" spans="2:38">
      <c r="B132" s="717"/>
      <c r="C132" s="722" t="s">
        <v>228</v>
      </c>
      <c r="D132" s="723"/>
      <c r="E132" s="724"/>
      <c r="F132" s="724"/>
      <c r="G132" s="725"/>
      <c r="H132" s="725"/>
      <c r="I132" s="724"/>
      <c r="J132" s="724"/>
      <c r="K132" s="724"/>
      <c r="L132" s="724"/>
      <c r="M132" s="724"/>
      <c r="N132" s="724"/>
      <c r="O132" s="724"/>
      <c r="P132" s="724"/>
      <c r="Q132" s="724"/>
      <c r="R132" s="724"/>
      <c r="S132" s="724"/>
      <c r="T132" s="724"/>
      <c r="U132" s="726">
        <v>750</v>
      </c>
      <c r="V132" s="726">
        <v>750</v>
      </c>
      <c r="W132" s="726"/>
      <c r="X132" s="726"/>
      <c r="Y132" s="726"/>
      <c r="Z132" s="726"/>
      <c r="AA132" s="726"/>
      <c r="AB132" s="726"/>
      <c r="AC132" s="726">
        <v>350</v>
      </c>
      <c r="AD132" s="726">
        <v>350</v>
      </c>
      <c r="AE132" s="726">
        <v>350</v>
      </c>
      <c r="AF132" s="726">
        <v>350</v>
      </c>
      <c r="AG132" s="726">
        <v>350</v>
      </c>
      <c r="AH132" s="726">
        <v>350</v>
      </c>
      <c r="AI132" s="726">
        <v>350</v>
      </c>
      <c r="AJ132" s="726">
        <v>350</v>
      </c>
      <c r="AK132" s="726">
        <v>350</v>
      </c>
      <c r="AL132" s="726">
        <v>350</v>
      </c>
    </row>
    <row r="133" spans="2:38">
      <c r="B133" s="717">
        <v>11</v>
      </c>
      <c r="C133" s="722" t="s">
        <v>350</v>
      </c>
      <c r="D133" s="723"/>
      <c r="E133" s="724"/>
      <c r="F133" s="724"/>
      <c r="G133" s="725"/>
      <c r="H133" s="725"/>
      <c r="I133" s="724"/>
      <c r="J133" s="724"/>
      <c r="K133" s="724"/>
      <c r="L133" s="724"/>
      <c r="M133" s="724"/>
      <c r="N133" s="724"/>
      <c r="O133" s="724"/>
      <c r="P133" s="724"/>
      <c r="Q133" s="724"/>
      <c r="R133" s="724"/>
      <c r="S133" s="724"/>
      <c r="T133" s="724"/>
      <c r="U133" s="726">
        <v>100</v>
      </c>
      <c r="V133" s="726">
        <v>100</v>
      </c>
      <c r="W133" s="726"/>
      <c r="X133" s="726"/>
      <c r="Y133" s="726"/>
      <c r="Z133" s="726"/>
      <c r="AA133" s="726"/>
      <c r="AB133" s="726"/>
      <c r="AC133" s="727">
        <v>0</v>
      </c>
      <c r="AD133" s="727">
        <v>0</v>
      </c>
      <c r="AE133" s="727">
        <v>0</v>
      </c>
      <c r="AF133" s="727">
        <v>0</v>
      </c>
      <c r="AG133" s="727">
        <v>0</v>
      </c>
      <c r="AH133" s="727">
        <v>0</v>
      </c>
      <c r="AI133" s="727">
        <v>0</v>
      </c>
      <c r="AJ133" s="727">
        <v>0</v>
      </c>
      <c r="AK133" s="727">
        <v>0</v>
      </c>
      <c r="AL133" s="727">
        <v>0</v>
      </c>
    </row>
    <row r="134" spans="2:38">
      <c r="B134" s="717"/>
      <c r="C134" s="722" t="s">
        <v>262</v>
      </c>
      <c r="D134" s="723"/>
      <c r="E134" s="724"/>
      <c r="F134" s="724"/>
      <c r="G134" s="725"/>
      <c r="H134" s="725"/>
      <c r="I134" s="724"/>
      <c r="J134" s="724"/>
      <c r="K134" s="724"/>
      <c r="L134" s="724"/>
      <c r="M134" s="724"/>
      <c r="N134" s="724"/>
      <c r="O134" s="724"/>
      <c r="P134" s="724"/>
      <c r="Q134" s="724"/>
      <c r="R134" s="724"/>
      <c r="S134" s="724"/>
      <c r="T134" s="724"/>
      <c r="U134" s="726"/>
      <c r="V134" s="726"/>
      <c r="W134" s="726"/>
      <c r="X134" s="726"/>
      <c r="Y134" s="726"/>
      <c r="Z134" s="726"/>
      <c r="AA134" s="726"/>
      <c r="AB134" s="726"/>
      <c r="AC134" s="726">
        <v>200</v>
      </c>
      <c r="AD134" s="726">
        <v>200</v>
      </c>
      <c r="AE134" s="726">
        <v>200</v>
      </c>
      <c r="AF134" s="726">
        <v>200</v>
      </c>
      <c r="AG134" s="726">
        <v>200</v>
      </c>
      <c r="AH134" s="726">
        <v>200</v>
      </c>
      <c r="AI134" s="726">
        <v>200</v>
      </c>
      <c r="AJ134" s="726">
        <v>200</v>
      </c>
      <c r="AK134" s="726">
        <v>200</v>
      </c>
      <c r="AL134" s="726">
        <v>200</v>
      </c>
    </row>
    <row r="135" spans="2:38">
      <c r="B135" s="717">
        <v>12</v>
      </c>
      <c r="C135" s="722" t="s">
        <v>351</v>
      </c>
      <c r="D135" s="723"/>
      <c r="E135" s="724"/>
      <c r="F135" s="724"/>
      <c r="G135" s="725"/>
      <c r="H135" s="725"/>
      <c r="I135" s="724"/>
      <c r="J135" s="724"/>
      <c r="K135" s="724"/>
      <c r="L135" s="724"/>
      <c r="M135" s="724"/>
      <c r="N135" s="724"/>
      <c r="O135" s="724"/>
      <c r="P135" s="724"/>
      <c r="Q135" s="724"/>
      <c r="R135" s="724"/>
      <c r="S135" s="724"/>
      <c r="T135" s="724"/>
      <c r="U135" s="726">
        <v>300</v>
      </c>
      <c r="V135" s="726">
        <v>300</v>
      </c>
      <c r="W135" s="726"/>
      <c r="X135" s="726"/>
      <c r="Y135" s="726"/>
      <c r="Z135" s="726"/>
      <c r="AA135" s="726"/>
      <c r="AB135" s="726"/>
      <c r="AC135" s="726">
        <v>500</v>
      </c>
      <c r="AD135" s="726">
        <v>500</v>
      </c>
      <c r="AE135" s="726">
        <v>500</v>
      </c>
      <c r="AF135" s="726">
        <v>500</v>
      </c>
      <c r="AG135" s="726">
        <v>500</v>
      </c>
      <c r="AH135" s="726">
        <v>500</v>
      </c>
      <c r="AI135" s="726">
        <v>500</v>
      </c>
      <c r="AJ135" s="726">
        <v>500</v>
      </c>
      <c r="AK135" s="726">
        <v>500</v>
      </c>
      <c r="AL135" s="726">
        <v>500</v>
      </c>
    </row>
    <row r="136" spans="2:38">
      <c r="B136" s="717">
        <v>13</v>
      </c>
      <c r="C136" s="722" t="s">
        <v>246</v>
      </c>
      <c r="D136" s="723"/>
      <c r="E136" s="724"/>
      <c r="F136" s="724"/>
      <c r="G136" s="725"/>
      <c r="H136" s="725"/>
      <c r="I136" s="724"/>
      <c r="J136" s="724"/>
      <c r="K136" s="724"/>
      <c r="L136" s="724"/>
      <c r="M136" s="724"/>
      <c r="N136" s="724"/>
      <c r="O136" s="724"/>
      <c r="P136" s="724"/>
      <c r="Q136" s="724"/>
      <c r="R136" s="724"/>
      <c r="S136" s="724"/>
      <c r="T136" s="724"/>
      <c r="U136" s="726">
        <v>750</v>
      </c>
      <c r="V136" s="726">
        <v>750</v>
      </c>
      <c r="W136" s="726"/>
      <c r="X136" s="726"/>
      <c r="Y136" s="726"/>
      <c r="Z136" s="726"/>
      <c r="AA136" s="726"/>
      <c r="AB136" s="726"/>
      <c r="AC136" s="727">
        <v>500</v>
      </c>
      <c r="AD136" s="727">
        <v>500</v>
      </c>
      <c r="AE136" s="727">
        <v>500</v>
      </c>
      <c r="AF136" s="727">
        <v>500</v>
      </c>
      <c r="AG136" s="727">
        <v>500</v>
      </c>
      <c r="AH136" s="727">
        <v>500</v>
      </c>
      <c r="AI136" s="727">
        <v>500</v>
      </c>
      <c r="AJ136" s="727">
        <v>500</v>
      </c>
      <c r="AK136" s="727">
        <v>500</v>
      </c>
      <c r="AL136" s="727">
        <v>500</v>
      </c>
    </row>
    <row r="137" spans="2:38">
      <c r="B137" s="717">
        <v>14</v>
      </c>
      <c r="C137" s="722" t="s">
        <v>352</v>
      </c>
      <c r="D137" s="723"/>
      <c r="E137" s="724"/>
      <c r="F137" s="724"/>
      <c r="G137" s="725"/>
      <c r="H137" s="725"/>
      <c r="I137" s="724"/>
      <c r="J137" s="724"/>
      <c r="K137" s="724"/>
      <c r="L137" s="724"/>
      <c r="M137" s="724"/>
      <c r="N137" s="724"/>
      <c r="O137" s="724"/>
      <c r="P137" s="724"/>
      <c r="Q137" s="724"/>
      <c r="R137" s="724"/>
      <c r="S137" s="724"/>
      <c r="T137" s="724"/>
      <c r="U137" s="726">
        <v>500</v>
      </c>
      <c r="V137" s="726">
        <v>500</v>
      </c>
      <c r="W137" s="726"/>
      <c r="X137" s="726"/>
      <c r="Y137" s="726">
        <v>750</v>
      </c>
      <c r="Z137" s="726"/>
      <c r="AA137" s="726"/>
      <c r="AB137" s="726"/>
      <c r="AC137" s="726">
        <v>100</v>
      </c>
      <c r="AD137" s="726">
        <v>100</v>
      </c>
      <c r="AE137" s="726">
        <v>100</v>
      </c>
      <c r="AF137" s="726">
        <v>100</v>
      </c>
      <c r="AG137" s="726">
        <v>100</v>
      </c>
      <c r="AH137" s="726">
        <v>100</v>
      </c>
      <c r="AI137" s="726">
        <v>100</v>
      </c>
      <c r="AJ137" s="726">
        <v>100</v>
      </c>
      <c r="AK137" s="726">
        <v>100</v>
      </c>
      <c r="AL137" s="726">
        <v>100</v>
      </c>
    </row>
    <row r="138" spans="2:38" s="477" customFormat="1">
      <c r="B138" s="717">
        <v>15</v>
      </c>
      <c r="C138" s="722" t="s">
        <v>248</v>
      </c>
      <c r="D138" s="723"/>
      <c r="E138" s="724"/>
      <c r="F138" s="724"/>
      <c r="G138" s="725"/>
      <c r="H138" s="725"/>
      <c r="I138" s="724"/>
      <c r="J138" s="724"/>
      <c r="K138" s="724"/>
      <c r="L138" s="724"/>
      <c r="M138" s="724"/>
      <c r="N138" s="724"/>
      <c r="O138" s="724"/>
      <c r="P138" s="724"/>
      <c r="Q138" s="724"/>
      <c r="R138" s="724"/>
      <c r="S138" s="724"/>
      <c r="T138" s="724"/>
      <c r="U138" s="726">
        <v>150</v>
      </c>
      <c r="V138" s="726">
        <v>150</v>
      </c>
      <c r="W138" s="726"/>
      <c r="X138" s="726"/>
      <c r="Y138" s="726"/>
      <c r="Z138" s="726"/>
      <c r="AA138" s="726"/>
      <c r="AB138" s="726"/>
      <c r="AC138" s="726">
        <v>300</v>
      </c>
      <c r="AD138" s="726">
        <v>300</v>
      </c>
      <c r="AE138" s="726">
        <v>300</v>
      </c>
      <c r="AF138" s="726">
        <v>300</v>
      </c>
      <c r="AG138" s="726">
        <v>300</v>
      </c>
      <c r="AH138" s="726">
        <v>300</v>
      </c>
      <c r="AI138" s="726">
        <v>300</v>
      </c>
      <c r="AJ138" s="726">
        <v>300</v>
      </c>
      <c r="AK138" s="726">
        <v>300</v>
      </c>
      <c r="AL138" s="726">
        <v>300</v>
      </c>
    </row>
    <row r="139" spans="2:38">
      <c r="B139" s="717">
        <v>16</v>
      </c>
      <c r="C139" s="722" t="s">
        <v>230</v>
      </c>
      <c r="D139" s="723"/>
      <c r="E139" s="724"/>
      <c r="F139" s="724"/>
      <c r="G139" s="725"/>
      <c r="H139" s="725"/>
      <c r="I139" s="724"/>
      <c r="J139" s="724"/>
      <c r="K139" s="724"/>
      <c r="L139" s="724"/>
      <c r="M139" s="724"/>
      <c r="N139" s="724"/>
      <c r="O139" s="724"/>
      <c r="P139" s="724"/>
      <c r="Q139" s="724"/>
      <c r="R139" s="724"/>
      <c r="S139" s="724"/>
      <c r="T139" s="724"/>
      <c r="U139" s="726">
        <v>200</v>
      </c>
      <c r="V139" s="726">
        <v>200</v>
      </c>
      <c r="W139" s="726"/>
      <c r="X139" s="726"/>
      <c r="Y139" s="726">
        <v>150</v>
      </c>
      <c r="Z139" s="726"/>
      <c r="AA139" s="726"/>
      <c r="AB139" s="726"/>
      <c r="AC139" s="726">
        <v>250</v>
      </c>
      <c r="AD139" s="726">
        <v>250</v>
      </c>
      <c r="AE139" s="726">
        <v>250</v>
      </c>
      <c r="AF139" s="726">
        <v>250</v>
      </c>
      <c r="AG139" s="726">
        <v>250</v>
      </c>
      <c r="AH139" s="726">
        <v>250</v>
      </c>
      <c r="AI139" s="726">
        <v>250</v>
      </c>
      <c r="AJ139" s="726">
        <v>250</v>
      </c>
      <c r="AK139" s="726">
        <v>250</v>
      </c>
      <c r="AL139" s="726">
        <v>250</v>
      </c>
    </row>
    <row r="140" spans="2:38">
      <c r="B140" s="717">
        <v>17</v>
      </c>
      <c r="C140" s="722" t="s">
        <v>353</v>
      </c>
      <c r="D140" s="723"/>
      <c r="E140" s="724"/>
      <c r="F140" s="724"/>
      <c r="G140" s="725"/>
      <c r="H140" s="725"/>
      <c r="I140" s="724"/>
      <c r="J140" s="724"/>
      <c r="K140" s="724"/>
      <c r="L140" s="724"/>
      <c r="M140" s="724"/>
      <c r="N140" s="724"/>
      <c r="O140" s="724"/>
      <c r="P140" s="724"/>
      <c r="Q140" s="724"/>
      <c r="R140" s="724"/>
      <c r="S140" s="724"/>
      <c r="T140" s="724"/>
      <c r="U140" s="726">
        <v>0</v>
      </c>
      <c r="V140" s="726">
        <v>0</v>
      </c>
      <c r="W140" s="726"/>
      <c r="X140" s="726"/>
      <c r="Y140" s="726"/>
      <c r="Z140" s="726"/>
      <c r="AA140" s="726"/>
      <c r="AB140" s="726"/>
      <c r="AC140" s="726"/>
      <c r="AD140" s="726"/>
      <c r="AE140" s="726"/>
      <c r="AF140" s="726"/>
      <c r="AG140" s="726"/>
      <c r="AH140" s="726"/>
      <c r="AI140" s="726"/>
      <c r="AJ140" s="726"/>
      <c r="AK140" s="726"/>
      <c r="AL140" s="726"/>
    </row>
    <row r="141" spans="2:38">
      <c r="B141" s="717">
        <v>18</v>
      </c>
      <c r="C141" s="728" t="s">
        <v>354</v>
      </c>
      <c r="D141" s="729"/>
      <c r="E141" s="730"/>
      <c r="F141" s="730"/>
      <c r="G141" s="731"/>
      <c r="H141" s="731"/>
      <c r="I141" s="730"/>
      <c r="J141" s="730"/>
      <c r="K141" s="730"/>
      <c r="L141" s="730"/>
      <c r="M141" s="730"/>
      <c r="N141" s="730"/>
      <c r="O141" s="730"/>
      <c r="P141" s="730"/>
      <c r="Q141" s="730"/>
      <c r="R141" s="730"/>
      <c r="S141" s="730"/>
      <c r="T141" s="730"/>
      <c r="U141" s="732">
        <v>200</v>
      </c>
      <c r="V141" s="732">
        <v>200</v>
      </c>
      <c r="W141" s="732"/>
      <c r="X141" s="732"/>
      <c r="Y141" s="732">
        <v>920</v>
      </c>
      <c r="Z141" s="732"/>
      <c r="AA141" s="732"/>
      <c r="AB141" s="732"/>
      <c r="AC141" s="732">
        <v>300</v>
      </c>
      <c r="AD141" s="732">
        <v>300</v>
      </c>
      <c r="AE141" s="732">
        <v>300</v>
      </c>
      <c r="AF141" s="732">
        <v>300</v>
      </c>
      <c r="AG141" s="732">
        <v>300</v>
      </c>
      <c r="AH141" s="732">
        <v>300</v>
      </c>
      <c r="AI141" s="732">
        <v>300</v>
      </c>
      <c r="AJ141" s="732">
        <v>300</v>
      </c>
      <c r="AK141" s="732">
        <v>300</v>
      </c>
      <c r="AL141" s="732">
        <v>300</v>
      </c>
    </row>
    <row r="142" spans="2:38">
      <c r="B142" s="717"/>
      <c r="C142" s="516" t="s">
        <v>65</v>
      </c>
      <c r="D142" s="516"/>
      <c r="E142" s="633"/>
      <c r="F142" s="633"/>
      <c r="G142" s="733"/>
      <c r="H142" s="733"/>
      <c r="I142" s="633"/>
      <c r="J142" s="633"/>
      <c r="K142" s="633"/>
      <c r="L142" s="633"/>
      <c r="M142" s="633"/>
      <c r="N142" s="633"/>
      <c r="O142" s="633"/>
      <c r="P142" s="633"/>
      <c r="Q142" s="633"/>
      <c r="R142" s="633"/>
      <c r="S142" s="633"/>
      <c r="T142" s="633"/>
      <c r="U142" s="734"/>
      <c r="V142" s="734"/>
      <c r="W142" s="734"/>
      <c r="X142" s="734"/>
      <c r="Y142" s="734"/>
      <c r="Z142" s="734"/>
      <c r="AA142" s="734"/>
      <c r="AB142" s="734"/>
      <c r="AC142" s="734"/>
      <c r="AD142" s="734"/>
      <c r="AE142" s="734"/>
      <c r="AF142" s="734"/>
      <c r="AG142" s="734"/>
      <c r="AH142" s="734"/>
      <c r="AI142" s="734"/>
      <c r="AJ142" s="734"/>
      <c r="AK142" s="734"/>
      <c r="AL142" s="734"/>
    </row>
    <row r="143" spans="2:38" ht="14" thickBot="1">
      <c r="C143" s="735" t="s">
        <v>355</v>
      </c>
      <c r="D143" s="450"/>
      <c r="E143" s="477"/>
      <c r="F143" s="477"/>
      <c r="G143" s="642"/>
      <c r="H143" s="642"/>
      <c r="U143" s="736">
        <f t="shared" ref="U143:AG143" si="57">SUM(U121:U142)</f>
        <v>15450</v>
      </c>
      <c r="V143" s="736">
        <f t="shared" si="57"/>
        <v>15450</v>
      </c>
      <c r="X143" s="736">
        <f t="shared" si="57"/>
        <v>0</v>
      </c>
      <c r="Y143" s="736">
        <f t="shared" si="57"/>
        <v>6920</v>
      </c>
      <c r="Z143" s="736">
        <f t="shared" si="57"/>
        <v>0</v>
      </c>
      <c r="AA143" s="736">
        <f t="shared" si="57"/>
        <v>0</v>
      </c>
      <c r="AB143" s="736">
        <f t="shared" si="57"/>
        <v>0</v>
      </c>
      <c r="AC143" s="736">
        <f t="shared" si="57"/>
        <v>6100</v>
      </c>
      <c r="AD143" s="736">
        <f t="shared" si="57"/>
        <v>6100</v>
      </c>
      <c r="AE143" s="736">
        <f t="shared" si="57"/>
        <v>6100</v>
      </c>
      <c r="AF143" s="736">
        <f t="shared" si="57"/>
        <v>6100</v>
      </c>
      <c r="AG143" s="736">
        <f t="shared" si="57"/>
        <v>6100</v>
      </c>
      <c r="AH143" s="736">
        <f>SUM(AH121:AH142)</f>
        <v>6100</v>
      </c>
      <c r="AI143" s="736">
        <f>SUM(AI121:AI142)</f>
        <v>7600</v>
      </c>
      <c r="AJ143" s="736">
        <f>SUM(AJ121:AJ142)</f>
        <v>7600</v>
      </c>
      <c r="AK143" s="736">
        <f>SUM(AK121:AK142)</f>
        <v>7600</v>
      </c>
      <c r="AL143" s="736">
        <f>SUM(AL121:AL142)</f>
        <v>7600</v>
      </c>
    </row>
    <row r="144" spans="2:38" ht="14" thickTop="1">
      <c r="C144" s="561"/>
      <c r="D144" s="561"/>
      <c r="E144" s="477"/>
      <c r="F144" s="477"/>
      <c r="G144" s="642"/>
      <c r="H144" s="642"/>
      <c r="M144" s="737"/>
      <c r="N144" s="737"/>
      <c r="X144" s="737"/>
    </row>
    <row r="145" spans="3:38">
      <c r="C145" s="561"/>
      <c r="D145" s="561"/>
      <c r="E145" s="477"/>
      <c r="F145" s="477"/>
      <c r="G145" s="642"/>
      <c r="H145" s="642"/>
      <c r="AD145" s="738"/>
    </row>
    <row r="146" spans="3:38">
      <c r="E146" s="477"/>
      <c r="F146" s="477"/>
      <c r="G146" s="642"/>
      <c r="H146" s="642"/>
    </row>
    <row r="147" spans="3:38">
      <c r="C147" s="441" t="s">
        <v>356</v>
      </c>
      <c r="D147" s="441" t="s">
        <v>357</v>
      </c>
      <c r="E147" s="477"/>
      <c r="F147" s="477"/>
      <c r="G147" s="642"/>
      <c r="H147" s="642"/>
    </row>
    <row r="148" spans="3:38">
      <c r="E148" s="477"/>
      <c r="F148" s="477"/>
      <c r="G148" s="642"/>
      <c r="H148" s="642"/>
    </row>
    <row r="149" spans="3:38">
      <c r="E149" s="477"/>
      <c r="F149" s="477"/>
      <c r="G149" s="642"/>
      <c r="H149" s="642"/>
    </row>
    <row r="150" spans="3:38">
      <c r="C150" s="657"/>
      <c r="E150" s="477"/>
      <c r="F150" s="477"/>
      <c r="G150" s="642"/>
      <c r="H150" s="642"/>
      <c r="AB150" s="441">
        <f>788.849+1333.005</f>
        <v>2121.8540000000003</v>
      </c>
    </row>
    <row r="151" spans="3:38" ht="14">
      <c r="E151" s="477"/>
      <c r="F151" s="477"/>
      <c r="G151" s="642"/>
      <c r="H151" s="642"/>
      <c r="AB151" s="441">
        <v>328.88200000000001</v>
      </c>
      <c r="AC151" s="739">
        <v>156.648</v>
      </c>
      <c r="AD151" s="441">
        <f>+AB151+AC151</f>
        <v>485.53</v>
      </c>
      <c r="AE151" s="441">
        <v>804.98</v>
      </c>
      <c r="AF151" s="441">
        <f>+AB150-AE151</f>
        <v>1316.8740000000003</v>
      </c>
    </row>
    <row r="152" spans="3:38">
      <c r="C152" s="697"/>
      <c r="D152" s="697"/>
      <c r="E152" s="477"/>
      <c r="F152" s="477"/>
      <c r="G152" s="642"/>
      <c r="H152" s="642"/>
      <c r="X152" s="738"/>
      <c r="Y152" s="738"/>
      <c r="Z152" s="738"/>
      <c r="AA152" s="738"/>
      <c r="AB152" s="738" t="s">
        <v>166</v>
      </c>
      <c r="AC152" s="738"/>
      <c r="AD152" s="740">
        <f>+AB150/AD151</f>
        <v>4.3701810392766678</v>
      </c>
      <c r="AE152" s="741"/>
      <c r="AF152" s="740">
        <f>+AF151/AD151</f>
        <v>2.7122402323234409</v>
      </c>
      <c r="AG152" s="738"/>
      <c r="AH152" s="738"/>
      <c r="AI152" s="738"/>
      <c r="AJ152" s="738"/>
      <c r="AK152" s="738"/>
      <c r="AL152" s="738"/>
    </row>
    <row r="153" spans="3:38">
      <c r="C153" s="697"/>
      <c r="D153" s="697"/>
      <c r="E153" s="477"/>
      <c r="F153" s="477"/>
      <c r="G153" s="642"/>
      <c r="H153" s="642"/>
    </row>
    <row r="154" spans="3:38">
      <c r="C154" s="697"/>
      <c r="E154" s="477"/>
      <c r="F154" s="477"/>
      <c r="G154" s="642"/>
      <c r="H154" s="642"/>
    </row>
    <row r="155" spans="3:38">
      <c r="C155" s="697"/>
      <c r="E155" s="477"/>
      <c r="F155" s="477"/>
      <c r="G155" s="642"/>
      <c r="H155" s="642"/>
    </row>
    <row r="156" spans="3:38">
      <c r="E156" s="477"/>
      <c r="F156" s="477"/>
      <c r="G156" s="642"/>
      <c r="H156" s="642"/>
    </row>
    <row r="157" spans="3:38">
      <c r="E157" s="477"/>
      <c r="F157" s="477"/>
      <c r="G157" s="642"/>
      <c r="H157" s="642"/>
    </row>
    <row r="158" spans="3:38">
      <c r="E158" s="477"/>
      <c r="F158" s="477"/>
      <c r="G158" s="642"/>
      <c r="H158" s="642"/>
    </row>
    <row r="159" spans="3:38">
      <c r="E159" s="477"/>
      <c r="F159" s="477"/>
      <c r="G159" s="642"/>
      <c r="H159" s="642"/>
    </row>
    <row r="160" spans="3:38">
      <c r="E160" s="477"/>
      <c r="F160" s="477"/>
      <c r="G160" s="642"/>
      <c r="H160" s="642"/>
    </row>
    <row r="161" spans="5:8">
      <c r="E161" s="477"/>
      <c r="F161" s="477"/>
      <c r="G161" s="642"/>
      <c r="H161" s="642"/>
    </row>
    <row r="162" spans="5:8">
      <c r="E162" s="477"/>
      <c r="F162" s="477"/>
      <c r="G162" s="642"/>
      <c r="H162" s="642"/>
    </row>
    <row r="163" spans="5:8">
      <c r="E163" s="477"/>
      <c r="F163" s="477"/>
      <c r="G163" s="642"/>
      <c r="H163" s="642"/>
    </row>
    <row r="164" spans="5:8">
      <c r="E164" s="477"/>
      <c r="F164" s="477"/>
      <c r="G164" s="642"/>
      <c r="H164" s="642"/>
    </row>
    <row r="165" spans="5:8">
      <c r="E165" s="477"/>
      <c r="F165" s="477"/>
      <c r="G165" s="642"/>
      <c r="H165" s="642"/>
    </row>
    <row r="166" spans="5:8">
      <c r="E166" s="477"/>
      <c r="F166" s="477"/>
      <c r="G166" s="642"/>
      <c r="H166" s="642"/>
    </row>
    <row r="167" spans="5:8">
      <c r="E167" s="477"/>
      <c r="F167" s="477"/>
      <c r="G167" s="642"/>
      <c r="H167" s="642"/>
    </row>
    <row r="168" spans="5:8">
      <c r="E168" s="477"/>
      <c r="F168" s="477"/>
      <c r="G168" s="642"/>
      <c r="H168" s="642"/>
    </row>
    <row r="169" spans="5:8">
      <c r="E169" s="477"/>
      <c r="F169" s="477"/>
      <c r="G169" s="642"/>
      <c r="H169" s="642"/>
    </row>
    <row r="170" spans="5:8">
      <c r="E170" s="477"/>
      <c r="F170" s="477"/>
      <c r="G170" s="642"/>
      <c r="H170" s="642"/>
    </row>
    <row r="171" spans="5:8">
      <c r="E171" s="477"/>
      <c r="F171" s="477"/>
      <c r="G171" s="642"/>
      <c r="H171" s="642"/>
    </row>
    <row r="172" spans="5:8">
      <c r="E172" s="477"/>
      <c r="F172" s="477"/>
      <c r="G172" s="642"/>
      <c r="H172" s="642"/>
    </row>
    <row r="173" spans="5:8">
      <c r="E173" s="477"/>
      <c r="F173" s="477"/>
      <c r="G173" s="642"/>
      <c r="H173" s="642"/>
    </row>
    <row r="174" spans="5:8">
      <c r="E174" s="477"/>
      <c r="F174" s="477"/>
      <c r="G174" s="642"/>
      <c r="H174" s="642"/>
    </row>
    <row r="175" spans="5:8">
      <c r="E175" s="477"/>
      <c r="F175" s="477"/>
      <c r="G175" s="642"/>
      <c r="H175" s="642"/>
    </row>
    <row r="176" spans="5:8">
      <c r="E176" s="477"/>
      <c r="F176" s="477"/>
      <c r="G176" s="642"/>
      <c r="H176" s="642"/>
    </row>
    <row r="177" spans="5:8">
      <c r="E177" s="477"/>
      <c r="F177" s="477"/>
      <c r="G177" s="642"/>
      <c r="H177" s="642"/>
    </row>
    <row r="178" spans="5:8">
      <c r="E178" s="477"/>
      <c r="F178" s="477"/>
      <c r="G178" s="642"/>
      <c r="H178" s="642"/>
    </row>
    <row r="179" spans="5:8">
      <c r="E179" s="477"/>
      <c r="F179" s="477"/>
      <c r="G179" s="642"/>
      <c r="H179" s="642"/>
    </row>
    <row r="180" spans="5:8">
      <c r="E180" s="477"/>
      <c r="F180" s="477"/>
      <c r="G180" s="642"/>
      <c r="H180" s="642"/>
    </row>
    <row r="181" spans="5:8">
      <c r="E181" s="477"/>
      <c r="F181" s="477"/>
      <c r="G181" s="642"/>
      <c r="H181" s="642"/>
    </row>
    <row r="182" spans="5:8">
      <c r="E182" s="477"/>
      <c r="F182" s="477"/>
      <c r="G182" s="642"/>
      <c r="H182" s="642"/>
    </row>
    <row r="183" spans="5:8">
      <c r="E183" s="477"/>
      <c r="F183" s="477"/>
      <c r="G183" s="642"/>
      <c r="H183" s="642"/>
    </row>
    <row r="184" spans="5:8">
      <c r="E184" s="477"/>
      <c r="F184" s="477"/>
      <c r="G184" s="642"/>
      <c r="H184" s="642"/>
    </row>
    <row r="185" spans="5:8">
      <c r="E185" s="477"/>
      <c r="F185" s="477"/>
      <c r="G185" s="642"/>
      <c r="H185" s="642"/>
    </row>
    <row r="186" spans="5:8">
      <c r="E186" s="477"/>
      <c r="F186" s="477"/>
      <c r="G186" s="642"/>
      <c r="H186" s="642"/>
    </row>
    <row r="187" spans="5:8">
      <c r="E187" s="477"/>
      <c r="F187" s="477"/>
      <c r="G187" s="642"/>
      <c r="H187" s="642"/>
    </row>
    <row r="188" spans="5:8">
      <c r="E188" s="477"/>
      <c r="F188" s="477"/>
      <c r="G188" s="642"/>
      <c r="H188" s="642"/>
    </row>
    <row r="189" spans="5:8">
      <c r="E189" s="477"/>
      <c r="F189" s="477"/>
      <c r="G189" s="642"/>
      <c r="H189" s="642"/>
    </row>
    <row r="190" spans="5:8">
      <c r="E190" s="477"/>
      <c r="F190" s="477"/>
      <c r="G190" s="642"/>
      <c r="H190" s="642"/>
    </row>
    <row r="191" spans="5:8">
      <c r="E191" s="477"/>
      <c r="F191" s="477"/>
      <c r="G191" s="642"/>
      <c r="H191" s="642"/>
    </row>
    <row r="192" spans="5:8">
      <c r="E192" s="477"/>
      <c r="F192" s="477"/>
      <c r="G192" s="642"/>
      <c r="H192" s="642"/>
    </row>
    <row r="193" spans="5:8">
      <c r="E193" s="477"/>
      <c r="F193" s="477"/>
      <c r="G193" s="642"/>
      <c r="H193" s="642"/>
    </row>
    <row r="194" spans="5:8">
      <c r="E194" s="477"/>
      <c r="F194" s="477"/>
      <c r="G194" s="642"/>
      <c r="H194" s="642"/>
    </row>
    <row r="195" spans="5:8">
      <c r="E195" s="477"/>
      <c r="F195" s="477"/>
      <c r="G195" s="642"/>
      <c r="H195" s="642"/>
    </row>
    <row r="196" spans="5:8">
      <c r="E196" s="477"/>
      <c r="F196" s="477"/>
      <c r="G196" s="642"/>
      <c r="H196" s="642"/>
    </row>
    <row r="197" spans="5:8">
      <c r="E197" s="477"/>
      <c r="F197" s="477"/>
      <c r="G197" s="642"/>
      <c r="H197" s="642"/>
    </row>
    <row r="198" spans="5:8">
      <c r="E198" s="477"/>
      <c r="F198" s="477"/>
      <c r="G198" s="642"/>
      <c r="H198" s="642"/>
    </row>
    <row r="199" spans="5:8">
      <c r="E199" s="477"/>
      <c r="F199" s="477"/>
      <c r="G199" s="642"/>
      <c r="H199" s="642"/>
    </row>
    <row r="200" spans="5:8">
      <c r="E200" s="477"/>
      <c r="F200" s="477"/>
      <c r="G200" s="642"/>
      <c r="H200" s="642"/>
    </row>
    <row r="201" spans="5:8">
      <c r="E201" s="477"/>
      <c r="F201" s="477"/>
      <c r="G201" s="642"/>
      <c r="H201" s="642"/>
    </row>
    <row r="202" spans="5:8">
      <c r="E202" s="477"/>
      <c r="F202" s="477"/>
      <c r="G202" s="642"/>
      <c r="H202" s="642"/>
    </row>
    <row r="203" spans="5:8">
      <c r="E203" s="477"/>
      <c r="F203" s="477"/>
      <c r="G203" s="642"/>
      <c r="H203" s="642"/>
    </row>
    <row r="204" spans="5:8">
      <c r="E204" s="477"/>
      <c r="F204" s="477"/>
      <c r="G204" s="642"/>
      <c r="H204" s="642"/>
    </row>
    <row r="205" spans="5:8">
      <c r="E205" s="477"/>
      <c r="F205" s="477"/>
      <c r="G205" s="642"/>
      <c r="H205" s="642"/>
    </row>
    <row r="206" spans="5:8">
      <c r="E206" s="477"/>
      <c r="F206" s="477"/>
      <c r="G206" s="642"/>
      <c r="H206" s="642"/>
    </row>
    <row r="207" spans="5:8">
      <c r="E207" s="477"/>
      <c r="F207" s="477"/>
      <c r="G207" s="642"/>
      <c r="H207" s="642"/>
    </row>
    <row r="208" spans="5:8">
      <c r="E208" s="477"/>
      <c r="F208" s="477"/>
      <c r="G208" s="642"/>
      <c r="H208" s="642"/>
    </row>
    <row r="209" spans="5:8">
      <c r="E209" s="477"/>
      <c r="F209" s="477"/>
      <c r="G209" s="642"/>
      <c r="H209" s="642"/>
    </row>
    <row r="210" spans="5:8">
      <c r="E210" s="477"/>
      <c r="F210" s="477"/>
      <c r="G210" s="642"/>
      <c r="H210" s="642"/>
    </row>
    <row r="211" spans="5:8">
      <c r="E211" s="477"/>
      <c r="F211" s="477"/>
      <c r="G211" s="642"/>
      <c r="H211" s="642"/>
    </row>
    <row r="212" spans="5:8">
      <c r="E212" s="477"/>
      <c r="F212" s="477"/>
      <c r="G212" s="642"/>
      <c r="H212" s="642"/>
    </row>
    <row r="213" spans="5:8">
      <c r="E213" s="477"/>
      <c r="F213" s="477"/>
      <c r="G213" s="642"/>
      <c r="H213" s="642"/>
    </row>
    <row r="214" spans="5:8">
      <c r="E214" s="477"/>
      <c r="F214" s="477"/>
      <c r="G214" s="642"/>
      <c r="H214" s="642"/>
    </row>
    <row r="215" spans="5:8">
      <c r="E215" s="477"/>
      <c r="F215" s="477"/>
      <c r="G215" s="642"/>
      <c r="H215" s="642"/>
    </row>
    <row r="216" spans="5:8">
      <c r="E216" s="477"/>
      <c r="F216" s="477"/>
      <c r="G216" s="642"/>
      <c r="H216" s="642"/>
    </row>
    <row r="217" spans="5:8">
      <c r="E217" s="477"/>
      <c r="F217" s="477"/>
      <c r="G217" s="642"/>
      <c r="H217" s="642"/>
    </row>
    <row r="218" spans="5:8">
      <c r="E218" s="477"/>
      <c r="F218" s="477"/>
      <c r="G218" s="642"/>
      <c r="H218" s="642"/>
    </row>
    <row r="219" spans="5:8">
      <c r="E219" s="477"/>
      <c r="F219" s="477"/>
      <c r="G219" s="642"/>
      <c r="H219" s="642"/>
    </row>
    <row r="220" spans="5:8">
      <c r="E220" s="477"/>
      <c r="F220" s="477"/>
      <c r="G220" s="642"/>
      <c r="H220" s="642"/>
    </row>
    <row r="221" spans="5:8">
      <c r="E221" s="477"/>
      <c r="F221" s="477"/>
      <c r="G221" s="642"/>
      <c r="H221" s="642"/>
    </row>
    <row r="222" spans="5:8">
      <c r="E222" s="477"/>
      <c r="F222" s="477"/>
      <c r="G222" s="642"/>
      <c r="H222" s="642"/>
    </row>
    <row r="223" spans="5:8">
      <c r="E223" s="477"/>
      <c r="F223" s="477"/>
      <c r="G223" s="642"/>
      <c r="H223" s="642"/>
    </row>
    <row r="224" spans="5:8">
      <c r="E224" s="477"/>
      <c r="F224" s="477"/>
      <c r="G224" s="642"/>
      <c r="H224" s="642"/>
    </row>
    <row r="225" spans="5:8">
      <c r="E225" s="477"/>
      <c r="F225" s="477"/>
      <c r="G225" s="642"/>
      <c r="H225" s="642"/>
    </row>
    <row r="226" spans="5:8">
      <c r="E226" s="477"/>
      <c r="F226" s="477"/>
      <c r="G226" s="642"/>
      <c r="H226" s="642"/>
    </row>
    <row r="227" spans="5:8">
      <c r="E227" s="477"/>
      <c r="F227" s="477"/>
      <c r="G227" s="642"/>
      <c r="H227" s="642"/>
    </row>
    <row r="228" spans="5:8">
      <c r="E228" s="477"/>
      <c r="F228" s="477"/>
      <c r="G228" s="642"/>
      <c r="H228" s="642"/>
    </row>
    <row r="229" spans="5:8">
      <c r="E229" s="477"/>
      <c r="F229" s="477"/>
      <c r="G229" s="642"/>
      <c r="H229" s="642"/>
    </row>
    <row r="230" spans="5:8">
      <c r="E230" s="477"/>
      <c r="F230" s="477"/>
      <c r="G230" s="642"/>
      <c r="H230" s="642"/>
    </row>
    <row r="231" spans="5:8">
      <c r="E231" s="477"/>
      <c r="F231" s="477"/>
      <c r="G231" s="642"/>
      <c r="H231" s="642"/>
    </row>
    <row r="232" spans="5:8">
      <c r="E232" s="477"/>
      <c r="F232" s="477"/>
      <c r="G232" s="642"/>
      <c r="H232" s="642"/>
    </row>
    <row r="233" spans="5:8">
      <c r="E233" s="477"/>
      <c r="F233" s="477"/>
      <c r="G233" s="642"/>
      <c r="H233" s="642"/>
    </row>
    <row r="234" spans="5:8">
      <c r="E234" s="477"/>
      <c r="F234" s="477"/>
      <c r="G234" s="642"/>
      <c r="H234" s="642"/>
    </row>
    <row r="235" spans="5:8">
      <c r="E235" s="477"/>
      <c r="F235" s="477"/>
      <c r="G235" s="642"/>
      <c r="H235" s="642"/>
    </row>
    <row r="236" spans="5:8">
      <c r="E236" s="477"/>
      <c r="F236" s="477"/>
      <c r="G236" s="642"/>
      <c r="H236" s="642"/>
    </row>
    <row r="237" spans="5:8">
      <c r="E237" s="477"/>
      <c r="F237" s="477"/>
      <c r="G237" s="642"/>
      <c r="H237" s="642"/>
    </row>
    <row r="238" spans="5:8">
      <c r="E238" s="477"/>
      <c r="F238" s="477"/>
      <c r="G238" s="642"/>
      <c r="H238" s="642"/>
    </row>
    <row r="239" spans="5:8">
      <c r="E239" s="477"/>
      <c r="F239" s="477"/>
      <c r="G239" s="642"/>
      <c r="H239" s="642"/>
    </row>
    <row r="240" spans="5:8">
      <c r="E240" s="477"/>
      <c r="F240" s="477"/>
      <c r="G240" s="642"/>
      <c r="H240" s="642"/>
    </row>
    <row r="241" spans="5:8">
      <c r="E241" s="477"/>
      <c r="F241" s="477"/>
      <c r="G241" s="642"/>
      <c r="H241" s="642"/>
    </row>
    <row r="242" spans="5:8">
      <c r="E242" s="477"/>
      <c r="F242" s="477"/>
      <c r="G242" s="642"/>
      <c r="H242" s="642"/>
    </row>
    <row r="243" spans="5:8">
      <c r="E243" s="477"/>
      <c r="F243" s="477"/>
      <c r="G243" s="642"/>
      <c r="H243" s="642"/>
    </row>
    <row r="244" spans="5:8">
      <c r="E244" s="477"/>
      <c r="F244" s="477"/>
      <c r="G244" s="642"/>
      <c r="H244" s="642"/>
    </row>
    <row r="245" spans="5:8">
      <c r="E245" s="477"/>
      <c r="F245" s="477"/>
      <c r="G245" s="642"/>
      <c r="H245" s="642"/>
    </row>
    <row r="246" spans="5:8">
      <c r="E246" s="477"/>
      <c r="F246" s="477"/>
      <c r="G246" s="642"/>
      <c r="H246" s="642"/>
    </row>
    <row r="247" spans="5:8">
      <c r="E247" s="477"/>
      <c r="F247" s="477"/>
      <c r="G247" s="642"/>
      <c r="H247" s="642"/>
    </row>
    <row r="248" spans="5:8">
      <c r="E248" s="477"/>
      <c r="F248" s="477"/>
      <c r="G248" s="642"/>
      <c r="H248" s="642"/>
    </row>
    <row r="249" spans="5:8">
      <c r="E249" s="477"/>
      <c r="F249" s="477"/>
      <c r="G249" s="642"/>
      <c r="H249" s="642"/>
    </row>
    <row r="250" spans="5:8">
      <c r="E250" s="477"/>
      <c r="F250" s="477"/>
      <c r="G250" s="642"/>
      <c r="H250" s="642"/>
    </row>
    <row r="251" spans="5:8">
      <c r="E251" s="477"/>
      <c r="F251" s="477"/>
      <c r="G251" s="642"/>
      <c r="H251" s="642"/>
    </row>
    <row r="252" spans="5:8">
      <c r="E252" s="477"/>
      <c r="F252" s="477"/>
      <c r="G252" s="642"/>
      <c r="H252" s="642"/>
    </row>
    <row r="253" spans="5:8">
      <c r="E253" s="477"/>
      <c r="F253" s="477"/>
      <c r="G253" s="642"/>
      <c r="H253" s="642"/>
    </row>
    <row r="254" spans="5:8">
      <c r="E254" s="477"/>
      <c r="F254" s="477"/>
      <c r="G254" s="642"/>
      <c r="H254" s="642"/>
    </row>
    <row r="255" spans="5:8">
      <c r="E255" s="477"/>
      <c r="F255" s="477"/>
      <c r="G255" s="642"/>
      <c r="H255" s="642"/>
    </row>
    <row r="256" spans="5:8">
      <c r="E256" s="477"/>
      <c r="F256" s="477"/>
      <c r="G256" s="642"/>
      <c r="H256" s="642"/>
    </row>
    <row r="257" spans="5:8">
      <c r="E257" s="477"/>
      <c r="F257" s="477"/>
      <c r="G257" s="642"/>
      <c r="H257" s="642"/>
    </row>
    <row r="258" spans="5:8">
      <c r="E258" s="477"/>
      <c r="F258" s="477"/>
      <c r="G258" s="642"/>
      <c r="H258" s="642"/>
    </row>
    <row r="259" spans="5:8">
      <c r="E259" s="477"/>
      <c r="F259" s="477"/>
      <c r="G259" s="642"/>
      <c r="H259" s="642"/>
    </row>
    <row r="260" spans="5:8">
      <c r="E260" s="477"/>
      <c r="F260" s="477"/>
      <c r="G260" s="642"/>
      <c r="H260" s="642"/>
    </row>
    <row r="261" spans="5:8">
      <c r="E261" s="477"/>
      <c r="F261" s="477"/>
      <c r="G261" s="642"/>
      <c r="H261" s="642"/>
    </row>
    <row r="262" spans="5:8">
      <c r="E262" s="477"/>
      <c r="F262" s="477"/>
      <c r="G262" s="642"/>
      <c r="H262" s="642"/>
    </row>
    <row r="263" spans="5:8">
      <c r="E263" s="477"/>
      <c r="F263" s="477"/>
      <c r="G263" s="642"/>
      <c r="H263" s="642"/>
    </row>
    <row r="264" spans="5:8">
      <c r="E264" s="477"/>
      <c r="F264" s="477"/>
      <c r="G264" s="642"/>
      <c r="H264" s="642"/>
    </row>
    <row r="265" spans="5:8">
      <c r="E265" s="477"/>
      <c r="F265" s="477"/>
      <c r="G265" s="642"/>
      <c r="H265" s="642"/>
    </row>
    <row r="266" spans="5:8">
      <c r="E266" s="477"/>
      <c r="F266" s="477"/>
      <c r="G266" s="642"/>
      <c r="H266" s="642"/>
    </row>
    <row r="267" spans="5:8">
      <c r="E267" s="477"/>
      <c r="F267" s="477"/>
      <c r="G267" s="642"/>
      <c r="H267" s="642"/>
    </row>
    <row r="268" spans="5:8">
      <c r="E268" s="477"/>
      <c r="F268" s="477"/>
      <c r="G268" s="642"/>
      <c r="H268" s="642"/>
    </row>
    <row r="269" spans="5:8">
      <c r="E269" s="477"/>
      <c r="F269" s="477"/>
      <c r="G269" s="642"/>
      <c r="H269" s="642"/>
    </row>
    <row r="270" spans="5:8">
      <c r="E270" s="477"/>
      <c r="F270" s="477"/>
      <c r="G270" s="642"/>
      <c r="H270" s="642"/>
    </row>
    <row r="271" spans="5:8">
      <c r="E271" s="477"/>
      <c r="F271" s="477"/>
      <c r="G271" s="642"/>
      <c r="H271" s="642"/>
    </row>
    <row r="272" spans="5:8">
      <c r="E272" s="477"/>
      <c r="F272" s="477"/>
      <c r="G272" s="642"/>
      <c r="H272" s="642"/>
    </row>
    <row r="273" spans="5:8">
      <c r="E273" s="477"/>
      <c r="F273" s="477"/>
      <c r="G273" s="642"/>
      <c r="H273" s="642"/>
    </row>
    <row r="274" spans="5:8">
      <c r="E274" s="477"/>
      <c r="F274" s="477"/>
      <c r="G274" s="642"/>
      <c r="H274" s="642"/>
    </row>
    <row r="275" spans="5:8">
      <c r="E275" s="477"/>
      <c r="F275" s="477"/>
      <c r="G275" s="642"/>
      <c r="H275" s="642"/>
    </row>
    <row r="276" spans="5:8">
      <c r="E276" s="477"/>
      <c r="F276" s="477"/>
      <c r="G276" s="642"/>
      <c r="H276" s="642"/>
    </row>
    <row r="277" spans="5:8">
      <c r="E277" s="477"/>
      <c r="F277" s="477"/>
      <c r="G277" s="642"/>
      <c r="H277" s="642"/>
    </row>
    <row r="278" spans="5:8">
      <c r="E278" s="477"/>
      <c r="F278" s="477"/>
      <c r="G278" s="642"/>
      <c r="H278" s="642"/>
    </row>
    <row r="279" spans="5:8">
      <c r="E279" s="477"/>
      <c r="F279" s="477"/>
      <c r="G279" s="642"/>
      <c r="H279" s="642"/>
    </row>
    <row r="280" spans="5:8">
      <c r="E280" s="477"/>
      <c r="F280" s="477"/>
      <c r="G280" s="642"/>
      <c r="H280" s="642"/>
    </row>
    <row r="281" spans="5:8">
      <c r="E281" s="477"/>
      <c r="F281" s="477"/>
      <c r="G281" s="642"/>
      <c r="H281" s="642"/>
    </row>
    <row r="282" spans="5:8">
      <c r="E282" s="477"/>
      <c r="F282" s="477"/>
      <c r="G282" s="642"/>
      <c r="H282" s="642"/>
    </row>
    <row r="283" spans="5:8">
      <c r="E283" s="477"/>
      <c r="F283" s="477"/>
      <c r="G283" s="642"/>
      <c r="H283" s="642"/>
    </row>
    <row r="284" spans="5:8">
      <c r="E284" s="477"/>
      <c r="F284" s="477"/>
      <c r="G284" s="642"/>
      <c r="H284" s="642"/>
    </row>
    <row r="285" spans="5:8">
      <c r="E285" s="477"/>
      <c r="F285" s="477"/>
      <c r="G285" s="642"/>
      <c r="H285" s="642"/>
    </row>
    <row r="286" spans="5:8">
      <c r="E286" s="477"/>
      <c r="F286" s="477"/>
      <c r="G286" s="642"/>
      <c r="H286" s="642"/>
    </row>
    <row r="287" spans="5:8">
      <c r="E287" s="477"/>
      <c r="F287" s="477"/>
      <c r="G287" s="642"/>
      <c r="H287" s="642"/>
    </row>
    <row r="288" spans="5:8">
      <c r="E288" s="477"/>
      <c r="F288" s="477"/>
      <c r="G288" s="642"/>
      <c r="H288" s="642"/>
    </row>
    <row r="289" spans="5:8">
      <c r="E289" s="477"/>
      <c r="F289" s="477"/>
      <c r="G289" s="642"/>
      <c r="H289" s="642"/>
    </row>
    <row r="290" spans="5:8">
      <c r="E290" s="477"/>
      <c r="F290" s="477"/>
      <c r="G290" s="642"/>
      <c r="H290" s="642"/>
    </row>
    <row r="291" spans="5:8">
      <c r="E291" s="477"/>
      <c r="F291" s="477"/>
      <c r="G291" s="642"/>
      <c r="H291" s="642"/>
    </row>
    <row r="292" spans="5:8">
      <c r="E292" s="477"/>
      <c r="F292" s="477"/>
      <c r="G292" s="642"/>
      <c r="H292" s="642"/>
    </row>
    <row r="293" spans="5:8">
      <c r="E293" s="477"/>
      <c r="F293" s="477"/>
      <c r="G293" s="642"/>
      <c r="H293" s="642"/>
    </row>
    <row r="294" spans="5:8">
      <c r="E294" s="477"/>
      <c r="F294" s="477"/>
      <c r="G294" s="642"/>
      <c r="H294" s="642"/>
    </row>
    <row r="295" spans="5:8">
      <c r="E295" s="477"/>
      <c r="F295" s="477"/>
      <c r="G295" s="642"/>
      <c r="H295" s="642"/>
    </row>
    <row r="296" spans="5:8">
      <c r="E296" s="477"/>
      <c r="F296" s="477"/>
      <c r="G296" s="642"/>
      <c r="H296" s="642"/>
    </row>
    <row r="297" spans="5:8">
      <c r="E297" s="477"/>
      <c r="F297" s="477"/>
      <c r="G297" s="642"/>
      <c r="H297" s="642"/>
    </row>
    <row r="298" spans="5:8">
      <c r="E298" s="477"/>
      <c r="F298" s="477"/>
      <c r="G298" s="642"/>
      <c r="H298" s="642"/>
    </row>
    <row r="299" spans="5:8">
      <c r="E299" s="477"/>
      <c r="F299" s="477"/>
      <c r="G299" s="642"/>
      <c r="H299" s="642"/>
    </row>
    <row r="300" spans="5:8">
      <c r="E300" s="477"/>
      <c r="F300" s="477"/>
      <c r="G300" s="642"/>
      <c r="H300" s="642"/>
    </row>
    <row r="301" spans="5:8">
      <c r="E301" s="477"/>
      <c r="F301" s="477"/>
      <c r="G301" s="642"/>
      <c r="H301" s="642"/>
    </row>
    <row r="302" spans="5:8">
      <c r="E302" s="477"/>
      <c r="F302" s="477"/>
      <c r="G302" s="642"/>
      <c r="H302" s="642"/>
    </row>
    <row r="303" spans="5:8">
      <c r="E303" s="477"/>
      <c r="F303" s="477"/>
      <c r="G303" s="642"/>
      <c r="H303" s="642"/>
    </row>
    <row r="304" spans="5:8">
      <c r="E304" s="477"/>
      <c r="F304" s="477"/>
      <c r="G304" s="642"/>
      <c r="H304" s="642"/>
    </row>
    <row r="305" spans="5:8">
      <c r="E305" s="477"/>
      <c r="F305" s="477"/>
      <c r="G305" s="642"/>
      <c r="H305" s="642"/>
    </row>
    <row r="306" spans="5:8">
      <c r="E306" s="477"/>
      <c r="F306" s="477"/>
      <c r="G306" s="642"/>
      <c r="H306" s="642"/>
    </row>
    <row r="307" spans="5:8">
      <c r="E307" s="477"/>
      <c r="F307" s="477"/>
      <c r="G307" s="642"/>
      <c r="H307" s="642"/>
    </row>
    <row r="308" spans="5:8">
      <c r="E308" s="477"/>
      <c r="F308" s="477"/>
      <c r="G308" s="642"/>
      <c r="H308" s="642"/>
    </row>
    <row r="309" spans="5:8">
      <c r="E309" s="477"/>
      <c r="F309" s="477"/>
      <c r="G309" s="642"/>
      <c r="H309" s="642"/>
    </row>
    <row r="310" spans="5:8">
      <c r="E310" s="477"/>
      <c r="F310" s="477"/>
      <c r="G310" s="642"/>
      <c r="H310" s="642"/>
    </row>
    <row r="311" spans="5:8">
      <c r="E311" s="477"/>
      <c r="F311" s="477"/>
      <c r="G311" s="642"/>
      <c r="H311" s="642"/>
    </row>
    <row r="312" spans="5:8">
      <c r="E312" s="477"/>
      <c r="F312" s="477"/>
      <c r="G312" s="642"/>
      <c r="H312" s="642"/>
    </row>
    <row r="313" spans="5:8">
      <c r="E313" s="477"/>
      <c r="F313" s="477"/>
      <c r="G313" s="642"/>
      <c r="H313" s="642"/>
    </row>
    <row r="314" spans="5:8">
      <c r="E314" s="477"/>
      <c r="F314" s="477"/>
      <c r="G314" s="642"/>
      <c r="H314" s="642"/>
    </row>
    <row r="315" spans="5:8">
      <c r="E315" s="477"/>
      <c r="F315" s="477"/>
      <c r="G315" s="642"/>
      <c r="H315" s="642"/>
    </row>
    <row r="316" spans="5:8">
      <c r="E316" s="477"/>
      <c r="F316" s="477"/>
      <c r="G316" s="642"/>
      <c r="H316" s="642"/>
    </row>
    <row r="317" spans="5:8">
      <c r="E317" s="477"/>
      <c r="F317" s="477"/>
      <c r="G317" s="642"/>
      <c r="H317" s="642"/>
    </row>
    <row r="318" spans="5:8">
      <c r="E318" s="477"/>
      <c r="F318" s="477"/>
      <c r="G318" s="642"/>
      <c r="H318" s="642"/>
    </row>
    <row r="319" spans="5:8">
      <c r="E319" s="477"/>
      <c r="F319" s="477"/>
      <c r="G319" s="642"/>
      <c r="H319" s="642"/>
    </row>
    <row r="320" spans="5:8">
      <c r="E320" s="477"/>
      <c r="F320" s="477"/>
      <c r="G320" s="642"/>
      <c r="H320" s="642"/>
    </row>
    <row r="321" spans="5:8">
      <c r="E321" s="477"/>
      <c r="F321" s="477"/>
      <c r="G321" s="642"/>
      <c r="H321" s="642"/>
    </row>
    <row r="322" spans="5:8">
      <c r="E322" s="477"/>
      <c r="F322" s="477"/>
      <c r="G322" s="642"/>
      <c r="H322" s="642"/>
    </row>
    <row r="323" spans="5:8">
      <c r="E323" s="477"/>
      <c r="F323" s="477"/>
      <c r="G323" s="642"/>
      <c r="H323" s="642"/>
    </row>
    <row r="324" spans="5:8">
      <c r="E324" s="477"/>
      <c r="F324" s="477"/>
      <c r="G324" s="642"/>
      <c r="H324" s="642"/>
    </row>
    <row r="325" spans="5:8">
      <c r="E325" s="477"/>
      <c r="F325" s="477"/>
      <c r="G325" s="642"/>
      <c r="H325" s="642"/>
    </row>
    <row r="326" spans="5:8">
      <c r="E326" s="477"/>
      <c r="F326" s="477"/>
      <c r="G326" s="642"/>
      <c r="H326" s="642"/>
    </row>
    <row r="327" spans="5:8">
      <c r="E327" s="477"/>
      <c r="F327" s="477"/>
      <c r="G327" s="642"/>
      <c r="H327" s="642"/>
    </row>
    <row r="328" spans="5:8">
      <c r="E328" s="477"/>
      <c r="F328" s="477"/>
      <c r="G328" s="642"/>
      <c r="H328" s="642"/>
    </row>
    <row r="329" spans="5:8">
      <c r="E329" s="477"/>
      <c r="F329" s="477"/>
      <c r="G329" s="642"/>
      <c r="H329" s="642"/>
    </row>
    <row r="330" spans="5:8">
      <c r="E330" s="477"/>
      <c r="F330" s="477"/>
      <c r="G330" s="642"/>
      <c r="H330" s="642"/>
    </row>
    <row r="331" spans="5:8">
      <c r="E331" s="477"/>
      <c r="F331" s="477"/>
      <c r="G331" s="642"/>
      <c r="H331" s="642"/>
    </row>
    <row r="332" spans="5:8">
      <c r="E332" s="477"/>
      <c r="F332" s="477"/>
      <c r="G332" s="642"/>
      <c r="H332" s="642"/>
    </row>
    <row r="333" spans="5:8">
      <c r="E333" s="477"/>
      <c r="F333" s="477"/>
      <c r="G333" s="642"/>
      <c r="H333" s="642"/>
    </row>
    <row r="334" spans="5:8">
      <c r="E334" s="477"/>
      <c r="F334" s="477"/>
      <c r="G334" s="642"/>
      <c r="H334" s="642"/>
    </row>
    <row r="335" spans="5:8">
      <c r="E335" s="477"/>
      <c r="F335" s="477"/>
      <c r="G335" s="642"/>
      <c r="H335" s="642"/>
    </row>
    <row r="336" spans="5:8">
      <c r="E336" s="477"/>
      <c r="F336" s="477"/>
      <c r="G336" s="642"/>
      <c r="H336" s="642"/>
    </row>
    <row r="337" spans="5:8">
      <c r="E337" s="477"/>
      <c r="F337" s="477"/>
      <c r="G337" s="642"/>
      <c r="H337" s="642"/>
    </row>
    <row r="338" spans="5:8">
      <c r="E338" s="477"/>
      <c r="F338" s="477"/>
      <c r="G338" s="642"/>
      <c r="H338" s="642"/>
    </row>
    <row r="339" spans="5:8">
      <c r="E339" s="477"/>
      <c r="F339" s="477"/>
      <c r="G339" s="642"/>
      <c r="H339" s="642"/>
    </row>
    <row r="340" spans="5:8">
      <c r="E340" s="477"/>
      <c r="F340" s="477"/>
      <c r="G340" s="642"/>
      <c r="H340" s="642"/>
    </row>
    <row r="341" spans="5:8">
      <c r="E341" s="477"/>
      <c r="F341" s="477"/>
      <c r="G341" s="642"/>
      <c r="H341" s="642"/>
    </row>
    <row r="342" spans="5:8">
      <c r="E342" s="477"/>
      <c r="F342" s="477"/>
      <c r="G342" s="642"/>
      <c r="H342" s="642"/>
    </row>
    <row r="343" spans="5:8">
      <c r="E343" s="477"/>
      <c r="F343" s="477"/>
      <c r="G343" s="642"/>
      <c r="H343" s="642"/>
    </row>
    <row r="344" spans="5:8">
      <c r="E344" s="477"/>
      <c r="F344" s="477"/>
      <c r="G344" s="642"/>
      <c r="H344" s="642"/>
    </row>
    <row r="345" spans="5:8">
      <c r="E345" s="477"/>
      <c r="F345" s="477"/>
      <c r="G345" s="642"/>
      <c r="H345" s="642"/>
    </row>
    <row r="346" spans="5:8">
      <c r="E346" s="477"/>
      <c r="F346" s="477"/>
      <c r="G346" s="642"/>
      <c r="H346" s="642"/>
    </row>
    <row r="347" spans="5:8">
      <c r="E347" s="477"/>
      <c r="F347" s="477"/>
      <c r="G347" s="642"/>
      <c r="H347" s="642"/>
    </row>
    <row r="348" spans="5:8">
      <c r="E348" s="477"/>
      <c r="F348" s="477"/>
      <c r="G348" s="642"/>
      <c r="H348" s="642"/>
    </row>
    <row r="349" spans="5:8">
      <c r="E349" s="477"/>
      <c r="F349" s="477"/>
      <c r="G349" s="642"/>
      <c r="H349" s="642"/>
    </row>
    <row r="350" spans="5:8">
      <c r="E350" s="477"/>
      <c r="F350" s="477"/>
      <c r="G350" s="642"/>
      <c r="H350" s="642"/>
    </row>
    <row r="351" spans="5:8">
      <c r="E351" s="477"/>
      <c r="F351" s="477"/>
      <c r="G351" s="642"/>
      <c r="H351" s="642"/>
    </row>
    <row r="352" spans="5:8">
      <c r="E352" s="477"/>
      <c r="F352" s="477"/>
      <c r="G352" s="642"/>
      <c r="H352" s="642"/>
    </row>
    <row r="353" spans="5:8">
      <c r="E353" s="477"/>
      <c r="F353" s="477"/>
      <c r="G353" s="642"/>
      <c r="H353" s="642"/>
    </row>
    <row r="354" spans="5:8">
      <c r="E354" s="477"/>
      <c r="F354" s="477"/>
      <c r="G354" s="642"/>
      <c r="H354" s="642"/>
    </row>
    <row r="355" spans="5:8">
      <c r="E355" s="477"/>
      <c r="F355" s="477"/>
      <c r="G355" s="642"/>
      <c r="H355" s="642"/>
    </row>
    <row r="356" spans="5:8">
      <c r="E356" s="477"/>
      <c r="F356" s="477"/>
      <c r="G356" s="642"/>
      <c r="H356" s="642"/>
    </row>
    <row r="357" spans="5:8">
      <c r="E357" s="477"/>
      <c r="F357" s="477"/>
      <c r="G357" s="642"/>
      <c r="H357" s="642"/>
    </row>
    <row r="358" spans="5:8">
      <c r="E358" s="477"/>
      <c r="F358" s="477"/>
      <c r="G358" s="642"/>
      <c r="H358" s="642"/>
    </row>
    <row r="359" spans="5:8">
      <c r="E359" s="477"/>
      <c r="F359" s="477"/>
      <c r="G359" s="642"/>
      <c r="H359" s="642"/>
    </row>
    <row r="360" spans="5:8">
      <c r="E360" s="477"/>
      <c r="F360" s="477"/>
      <c r="G360" s="642"/>
      <c r="H360" s="642"/>
    </row>
    <row r="361" spans="5:8">
      <c r="E361" s="477"/>
      <c r="F361" s="477"/>
      <c r="G361" s="642"/>
      <c r="H361" s="642"/>
    </row>
    <row r="362" spans="5:8">
      <c r="E362" s="477"/>
      <c r="F362" s="477"/>
      <c r="G362" s="642"/>
      <c r="H362" s="642"/>
    </row>
    <row r="363" spans="5:8">
      <c r="E363" s="477"/>
      <c r="F363" s="477"/>
      <c r="G363" s="642"/>
      <c r="H363" s="642"/>
    </row>
    <row r="364" spans="5:8">
      <c r="E364" s="477"/>
      <c r="F364" s="477"/>
      <c r="G364" s="642"/>
      <c r="H364" s="642"/>
    </row>
    <row r="365" spans="5:8">
      <c r="E365" s="477"/>
      <c r="F365" s="477"/>
      <c r="G365" s="642"/>
      <c r="H365" s="642"/>
    </row>
    <row r="366" spans="5:8">
      <c r="E366" s="477"/>
      <c r="F366" s="477"/>
      <c r="G366" s="642"/>
      <c r="H366" s="642"/>
    </row>
    <row r="367" spans="5:8">
      <c r="E367" s="477"/>
      <c r="F367" s="477"/>
      <c r="G367" s="642"/>
      <c r="H367" s="642"/>
    </row>
    <row r="368" spans="5:8">
      <c r="E368" s="477"/>
      <c r="F368" s="477"/>
      <c r="G368" s="642"/>
      <c r="H368" s="642"/>
    </row>
    <row r="369" spans="5:8">
      <c r="E369" s="477"/>
      <c r="F369" s="477"/>
      <c r="G369" s="642"/>
      <c r="H369" s="642"/>
    </row>
    <row r="370" spans="5:8">
      <c r="E370" s="477"/>
      <c r="F370" s="477"/>
      <c r="G370" s="642"/>
      <c r="H370" s="642"/>
    </row>
    <row r="371" spans="5:8">
      <c r="E371" s="477"/>
      <c r="F371" s="477"/>
      <c r="G371" s="642"/>
      <c r="H371" s="642"/>
    </row>
    <row r="372" spans="5:8">
      <c r="E372" s="477"/>
      <c r="F372" s="477"/>
      <c r="G372" s="642"/>
      <c r="H372" s="642"/>
    </row>
    <row r="373" spans="5:8">
      <c r="E373" s="477"/>
      <c r="F373" s="477"/>
      <c r="G373" s="642"/>
      <c r="H373" s="642"/>
    </row>
    <row r="374" spans="5:8">
      <c r="E374" s="477"/>
      <c r="F374" s="477"/>
      <c r="G374" s="642"/>
      <c r="H374" s="642"/>
    </row>
    <row r="375" spans="5:8">
      <c r="E375" s="477"/>
      <c r="F375" s="477"/>
      <c r="G375" s="642"/>
      <c r="H375" s="642"/>
    </row>
    <row r="376" spans="5:8">
      <c r="E376" s="477"/>
      <c r="F376" s="477"/>
      <c r="G376" s="642"/>
      <c r="H376" s="642"/>
    </row>
    <row r="377" spans="5:8">
      <c r="E377" s="477"/>
      <c r="F377" s="477"/>
      <c r="G377" s="642"/>
      <c r="H377" s="642"/>
    </row>
    <row r="378" spans="5:8">
      <c r="E378" s="477"/>
      <c r="F378" s="477"/>
      <c r="G378" s="642"/>
      <c r="H378" s="642"/>
    </row>
    <row r="379" spans="5:8">
      <c r="E379" s="477"/>
      <c r="F379" s="477"/>
      <c r="G379" s="642"/>
      <c r="H379" s="642"/>
    </row>
    <row r="380" spans="5:8">
      <c r="E380" s="477"/>
      <c r="F380" s="477"/>
      <c r="G380" s="642"/>
      <c r="H380" s="642"/>
    </row>
    <row r="381" spans="5:8">
      <c r="E381" s="477"/>
      <c r="F381" s="477"/>
      <c r="G381" s="642"/>
      <c r="H381" s="642"/>
    </row>
    <row r="382" spans="5:8">
      <c r="E382" s="477"/>
      <c r="F382" s="477"/>
      <c r="G382" s="642"/>
      <c r="H382" s="642"/>
    </row>
    <row r="383" spans="5:8">
      <c r="E383" s="477"/>
      <c r="F383" s="477"/>
      <c r="G383" s="642"/>
      <c r="H383" s="642"/>
    </row>
    <row r="384" spans="5:8">
      <c r="E384" s="477"/>
      <c r="F384" s="477"/>
      <c r="G384" s="642"/>
      <c r="H384" s="642"/>
    </row>
    <row r="385" spans="5:8">
      <c r="E385" s="477"/>
      <c r="F385" s="477"/>
      <c r="G385" s="642"/>
      <c r="H385" s="642"/>
    </row>
    <row r="386" spans="5:8">
      <c r="E386" s="477"/>
      <c r="F386" s="477"/>
      <c r="G386" s="642"/>
      <c r="H386" s="642"/>
    </row>
    <row r="387" spans="5:8">
      <c r="E387" s="477"/>
      <c r="F387" s="477"/>
      <c r="G387" s="642"/>
      <c r="H387" s="642"/>
    </row>
    <row r="388" spans="5:8">
      <c r="E388" s="477"/>
      <c r="F388" s="477"/>
      <c r="G388" s="642"/>
      <c r="H388" s="642"/>
    </row>
    <row r="389" spans="5:8">
      <c r="E389" s="477"/>
      <c r="F389" s="477"/>
      <c r="G389" s="642"/>
      <c r="H389" s="642"/>
    </row>
    <row r="390" spans="5:8">
      <c r="E390" s="477"/>
      <c r="F390" s="477"/>
      <c r="G390" s="642"/>
      <c r="H390" s="642"/>
    </row>
    <row r="391" spans="5:8">
      <c r="E391" s="477"/>
      <c r="F391" s="477"/>
      <c r="G391" s="642"/>
      <c r="H391" s="642"/>
    </row>
    <row r="392" spans="5:8">
      <c r="E392" s="477"/>
      <c r="F392" s="477"/>
      <c r="G392" s="642"/>
      <c r="H392" s="642"/>
    </row>
    <row r="393" spans="5:8">
      <c r="E393" s="477"/>
      <c r="F393" s="477"/>
      <c r="G393" s="642"/>
      <c r="H393" s="642"/>
    </row>
    <row r="394" spans="5:8">
      <c r="E394" s="477"/>
      <c r="F394" s="477"/>
      <c r="G394" s="642"/>
      <c r="H394" s="642"/>
    </row>
    <row r="395" spans="5:8">
      <c r="E395" s="477"/>
      <c r="F395" s="477"/>
      <c r="G395" s="642"/>
      <c r="H395" s="642"/>
    </row>
    <row r="396" spans="5:8">
      <c r="E396" s="477"/>
      <c r="F396" s="477"/>
      <c r="G396" s="642"/>
      <c r="H396" s="642"/>
    </row>
    <row r="397" spans="5:8">
      <c r="E397" s="477"/>
      <c r="F397" s="477"/>
      <c r="G397" s="642"/>
      <c r="H397" s="642"/>
    </row>
    <row r="398" spans="5:8">
      <c r="E398" s="477"/>
      <c r="F398" s="477"/>
      <c r="G398" s="642"/>
      <c r="H398" s="642"/>
    </row>
    <row r="399" spans="5:8">
      <c r="E399" s="477"/>
      <c r="F399" s="477"/>
      <c r="G399" s="642"/>
      <c r="H399" s="642"/>
    </row>
    <row r="400" spans="5:8">
      <c r="E400" s="477"/>
      <c r="F400" s="477"/>
      <c r="G400" s="642"/>
      <c r="H400" s="642"/>
    </row>
    <row r="401" spans="5:8">
      <c r="E401" s="477"/>
      <c r="F401" s="477"/>
      <c r="G401" s="642"/>
      <c r="H401" s="642"/>
    </row>
    <row r="402" spans="5:8">
      <c r="E402" s="477"/>
      <c r="F402" s="477"/>
      <c r="G402" s="642"/>
      <c r="H402" s="642"/>
    </row>
    <row r="403" spans="5:8">
      <c r="E403" s="477"/>
      <c r="F403" s="477"/>
      <c r="G403" s="642"/>
      <c r="H403" s="642"/>
    </row>
    <row r="404" spans="5:8">
      <c r="E404" s="477"/>
      <c r="F404" s="477"/>
      <c r="G404" s="642"/>
      <c r="H404" s="642"/>
    </row>
    <row r="405" spans="5:8">
      <c r="E405" s="477"/>
      <c r="F405" s="477"/>
      <c r="G405" s="642"/>
      <c r="H405" s="642"/>
    </row>
    <row r="406" spans="5:8">
      <c r="E406" s="477"/>
      <c r="F406" s="477"/>
      <c r="G406" s="642"/>
      <c r="H406" s="642"/>
    </row>
    <row r="407" spans="5:8">
      <c r="E407" s="477"/>
      <c r="F407" s="477"/>
      <c r="G407" s="642"/>
      <c r="H407" s="642"/>
    </row>
    <row r="408" spans="5:8">
      <c r="E408" s="477"/>
      <c r="F408" s="477"/>
      <c r="G408" s="642"/>
      <c r="H408" s="642"/>
    </row>
    <row r="409" spans="5:8">
      <c r="E409" s="477"/>
      <c r="F409" s="477"/>
      <c r="G409" s="642"/>
      <c r="H409" s="642"/>
    </row>
    <row r="410" spans="5:8">
      <c r="E410" s="477"/>
      <c r="F410" s="477"/>
      <c r="G410" s="642"/>
      <c r="H410" s="642"/>
    </row>
    <row r="411" spans="5:8">
      <c r="E411" s="477"/>
      <c r="F411" s="477"/>
      <c r="G411" s="642"/>
      <c r="H411" s="642"/>
    </row>
    <row r="412" spans="5:8">
      <c r="E412" s="477"/>
      <c r="F412" s="477"/>
      <c r="G412" s="642"/>
      <c r="H412" s="642"/>
    </row>
    <row r="413" spans="5:8">
      <c r="E413" s="477"/>
      <c r="F413" s="477"/>
      <c r="G413" s="642"/>
      <c r="H413" s="642"/>
    </row>
    <row r="414" spans="5:8">
      <c r="E414" s="477"/>
      <c r="F414" s="477"/>
      <c r="G414" s="642"/>
      <c r="H414" s="642"/>
    </row>
    <row r="415" spans="5:8">
      <c r="E415" s="477"/>
      <c r="F415" s="477"/>
      <c r="G415" s="642"/>
      <c r="H415" s="642"/>
    </row>
    <row r="416" spans="5:8">
      <c r="E416" s="477"/>
      <c r="F416" s="477"/>
      <c r="G416" s="642"/>
      <c r="H416" s="642"/>
    </row>
    <row r="417" spans="5:8">
      <c r="E417" s="477"/>
      <c r="F417" s="477"/>
      <c r="G417" s="642"/>
      <c r="H417" s="642"/>
    </row>
    <row r="418" spans="5:8">
      <c r="E418" s="477"/>
      <c r="F418" s="477"/>
      <c r="G418" s="642"/>
      <c r="H418" s="642"/>
    </row>
    <row r="419" spans="5:8">
      <c r="E419" s="477"/>
      <c r="F419" s="477"/>
      <c r="G419" s="642"/>
      <c r="H419" s="642"/>
    </row>
    <row r="420" spans="5:8">
      <c r="E420" s="477"/>
      <c r="F420" s="477"/>
      <c r="G420" s="642"/>
      <c r="H420" s="642"/>
    </row>
    <row r="421" spans="5:8">
      <c r="E421" s="477"/>
      <c r="F421" s="477"/>
      <c r="G421" s="642"/>
      <c r="H421" s="642"/>
    </row>
    <row r="422" spans="5:8">
      <c r="E422" s="477"/>
      <c r="F422" s="477"/>
      <c r="G422" s="642"/>
      <c r="H422" s="642"/>
    </row>
    <row r="423" spans="5:8">
      <c r="E423" s="477"/>
      <c r="F423" s="477"/>
      <c r="G423" s="642"/>
      <c r="H423" s="642"/>
    </row>
    <row r="424" spans="5:8">
      <c r="E424" s="477"/>
      <c r="F424" s="477"/>
      <c r="G424" s="642"/>
      <c r="H424" s="642"/>
    </row>
    <row r="425" spans="5:8">
      <c r="E425" s="477"/>
      <c r="F425" s="477"/>
      <c r="G425" s="642"/>
      <c r="H425" s="642"/>
    </row>
    <row r="426" spans="5:8">
      <c r="E426" s="477"/>
      <c r="F426" s="477"/>
      <c r="G426" s="642"/>
      <c r="H426" s="642"/>
    </row>
    <row r="427" spans="5:8">
      <c r="E427" s="477"/>
      <c r="F427" s="477"/>
      <c r="G427" s="642"/>
      <c r="H427" s="642"/>
    </row>
    <row r="428" spans="5:8">
      <c r="E428" s="477"/>
      <c r="F428" s="477"/>
      <c r="G428" s="642"/>
      <c r="H428" s="642"/>
    </row>
    <row r="429" spans="5:8">
      <c r="E429" s="477"/>
      <c r="F429" s="477"/>
      <c r="G429" s="642"/>
      <c r="H429" s="642"/>
    </row>
    <row r="430" spans="5:8">
      <c r="E430" s="477"/>
      <c r="F430" s="477"/>
      <c r="G430" s="642"/>
      <c r="H430" s="642"/>
    </row>
    <row r="431" spans="5:8">
      <c r="E431" s="477"/>
      <c r="F431" s="477"/>
      <c r="G431" s="642"/>
      <c r="H431" s="642"/>
    </row>
    <row r="432" spans="5:8">
      <c r="E432" s="477"/>
      <c r="F432" s="477"/>
      <c r="G432" s="642"/>
      <c r="H432" s="642"/>
    </row>
    <row r="433" spans="5:8">
      <c r="E433" s="477"/>
      <c r="F433" s="477"/>
      <c r="G433" s="642"/>
      <c r="H433" s="642"/>
    </row>
    <row r="434" spans="5:8">
      <c r="E434" s="477"/>
      <c r="F434" s="477"/>
      <c r="G434" s="642"/>
      <c r="H434" s="642"/>
    </row>
    <row r="435" spans="5:8">
      <c r="E435" s="477"/>
      <c r="F435" s="477"/>
      <c r="G435" s="642"/>
      <c r="H435" s="642"/>
    </row>
    <row r="436" spans="5:8">
      <c r="E436" s="477"/>
      <c r="F436" s="477"/>
      <c r="G436" s="642"/>
      <c r="H436" s="642"/>
    </row>
    <row r="437" spans="5:8">
      <c r="E437" s="477"/>
      <c r="F437" s="477"/>
      <c r="G437" s="642"/>
      <c r="H437" s="642"/>
    </row>
    <row r="438" spans="5:8">
      <c r="E438" s="477"/>
      <c r="F438" s="477"/>
      <c r="G438" s="642"/>
      <c r="H438" s="642"/>
    </row>
    <row r="439" spans="5:8">
      <c r="E439" s="477"/>
      <c r="F439" s="477"/>
      <c r="G439" s="642"/>
      <c r="H439" s="642"/>
    </row>
    <row r="440" spans="5:8">
      <c r="E440" s="477"/>
      <c r="F440" s="477"/>
      <c r="G440" s="642"/>
      <c r="H440" s="642"/>
    </row>
    <row r="441" spans="5:8">
      <c r="E441" s="477"/>
      <c r="F441" s="477"/>
      <c r="G441" s="642"/>
      <c r="H441" s="642"/>
    </row>
    <row r="442" spans="5:8">
      <c r="E442" s="477"/>
      <c r="F442" s="477"/>
      <c r="G442" s="642"/>
      <c r="H442" s="642"/>
    </row>
    <row r="443" spans="5:8">
      <c r="E443" s="477"/>
      <c r="F443" s="477"/>
      <c r="G443" s="642"/>
      <c r="H443" s="642"/>
    </row>
    <row r="444" spans="5:8">
      <c r="E444" s="477"/>
      <c r="F444" s="477"/>
      <c r="G444" s="642"/>
      <c r="H444" s="642"/>
    </row>
    <row r="445" spans="5:8">
      <c r="E445" s="477"/>
      <c r="F445" s="477"/>
      <c r="G445" s="642"/>
      <c r="H445" s="642"/>
    </row>
    <row r="446" spans="5:8">
      <c r="E446" s="477"/>
      <c r="F446" s="477"/>
      <c r="G446" s="642"/>
      <c r="H446" s="642"/>
    </row>
    <row r="447" spans="5:8">
      <c r="E447" s="477"/>
      <c r="F447" s="477"/>
      <c r="G447" s="642"/>
      <c r="H447" s="642"/>
    </row>
    <row r="448" spans="5:8">
      <c r="E448" s="477"/>
      <c r="F448" s="477"/>
      <c r="G448" s="642"/>
      <c r="H448" s="642"/>
    </row>
    <row r="449" spans="5:8">
      <c r="E449" s="477"/>
      <c r="F449" s="477"/>
      <c r="G449" s="642"/>
      <c r="H449" s="642"/>
    </row>
    <row r="450" spans="5:8">
      <c r="E450" s="477"/>
      <c r="F450" s="477"/>
      <c r="G450" s="642"/>
      <c r="H450" s="642"/>
    </row>
    <row r="451" spans="5:8">
      <c r="E451" s="477"/>
      <c r="F451" s="477"/>
      <c r="G451" s="642"/>
      <c r="H451" s="642"/>
    </row>
    <row r="452" spans="5:8">
      <c r="E452" s="477"/>
      <c r="F452" s="477"/>
      <c r="G452" s="642"/>
      <c r="H452" s="642"/>
    </row>
    <row r="453" spans="5:8">
      <c r="E453" s="477"/>
      <c r="F453" s="477"/>
      <c r="G453" s="642"/>
      <c r="H453" s="642"/>
    </row>
    <row r="454" spans="5:8">
      <c r="E454" s="477"/>
      <c r="F454" s="477"/>
      <c r="G454" s="642"/>
      <c r="H454" s="642"/>
    </row>
    <row r="455" spans="5:8">
      <c r="E455" s="477"/>
      <c r="F455" s="477"/>
      <c r="G455" s="642"/>
      <c r="H455" s="642"/>
    </row>
    <row r="456" spans="5:8">
      <c r="E456" s="477"/>
      <c r="F456" s="477"/>
      <c r="G456" s="642"/>
      <c r="H456" s="642"/>
    </row>
    <row r="457" spans="5:8">
      <c r="E457" s="477"/>
      <c r="F457" s="477"/>
      <c r="G457" s="642"/>
      <c r="H457" s="642"/>
    </row>
    <row r="458" spans="5:8">
      <c r="E458" s="477"/>
      <c r="F458" s="477"/>
      <c r="G458" s="642"/>
      <c r="H458" s="642"/>
    </row>
    <row r="459" spans="5:8">
      <c r="E459" s="477"/>
      <c r="F459" s="477"/>
      <c r="G459" s="642"/>
      <c r="H459" s="642"/>
    </row>
    <row r="460" spans="5:8">
      <c r="E460" s="477"/>
      <c r="F460" s="477"/>
      <c r="G460" s="642"/>
      <c r="H460" s="642"/>
    </row>
    <row r="461" spans="5:8">
      <c r="E461" s="477"/>
      <c r="F461" s="477"/>
      <c r="G461" s="642"/>
      <c r="H461" s="642"/>
    </row>
    <row r="462" spans="5:8">
      <c r="E462" s="477"/>
      <c r="F462" s="477"/>
      <c r="G462" s="642"/>
      <c r="H462" s="642"/>
    </row>
    <row r="463" spans="5:8">
      <c r="E463" s="477"/>
      <c r="F463" s="477"/>
      <c r="G463" s="642"/>
      <c r="H463" s="642"/>
    </row>
    <row r="464" spans="5:8">
      <c r="E464" s="477"/>
      <c r="F464" s="477"/>
      <c r="G464" s="642"/>
      <c r="H464" s="642"/>
    </row>
    <row r="465" spans="5:8">
      <c r="E465" s="477"/>
      <c r="F465" s="477"/>
      <c r="G465" s="642"/>
      <c r="H465" s="642"/>
    </row>
    <row r="466" spans="5:8">
      <c r="E466" s="477"/>
      <c r="F466" s="477"/>
      <c r="G466" s="642"/>
      <c r="H466" s="642"/>
    </row>
    <row r="467" spans="5:8">
      <c r="E467" s="477"/>
      <c r="F467" s="477"/>
      <c r="G467" s="642"/>
      <c r="H467" s="642"/>
    </row>
    <row r="468" spans="5:8">
      <c r="E468" s="477"/>
      <c r="F468" s="477"/>
      <c r="G468" s="642"/>
      <c r="H468" s="642"/>
    </row>
    <row r="469" spans="5:8">
      <c r="E469" s="477"/>
      <c r="F469" s="477"/>
      <c r="G469" s="642"/>
      <c r="H469" s="642"/>
    </row>
    <row r="470" spans="5:8">
      <c r="E470" s="477"/>
      <c r="F470" s="477"/>
      <c r="G470" s="642"/>
      <c r="H470" s="642"/>
    </row>
    <row r="471" spans="5:8">
      <c r="E471" s="477"/>
      <c r="F471" s="477"/>
      <c r="G471" s="642"/>
      <c r="H471" s="642"/>
    </row>
    <row r="472" spans="5:8">
      <c r="E472" s="477"/>
      <c r="F472" s="477"/>
      <c r="G472" s="642"/>
      <c r="H472" s="642"/>
    </row>
    <row r="473" spans="5:8">
      <c r="E473" s="477"/>
      <c r="F473" s="477"/>
      <c r="G473" s="642"/>
      <c r="H473" s="642"/>
    </row>
    <row r="474" spans="5:8">
      <c r="E474" s="477"/>
      <c r="F474" s="477"/>
      <c r="G474" s="642"/>
      <c r="H474" s="642"/>
    </row>
    <row r="475" spans="5:8">
      <c r="E475" s="477"/>
      <c r="F475" s="477"/>
      <c r="G475" s="642"/>
      <c r="H475" s="642"/>
    </row>
    <row r="476" spans="5:8">
      <c r="E476" s="477"/>
      <c r="F476" s="477"/>
      <c r="G476" s="642"/>
      <c r="H476" s="642"/>
    </row>
    <row r="477" spans="5:8">
      <c r="E477" s="477"/>
      <c r="F477" s="477"/>
      <c r="G477" s="642"/>
      <c r="H477" s="642"/>
    </row>
    <row r="478" spans="5:8">
      <c r="E478" s="477"/>
      <c r="F478" s="477"/>
      <c r="G478" s="642"/>
      <c r="H478" s="642"/>
    </row>
    <row r="479" spans="5:8">
      <c r="E479" s="477"/>
      <c r="F479" s="477"/>
      <c r="G479" s="642"/>
      <c r="H479" s="642"/>
    </row>
    <row r="480" spans="5:8">
      <c r="E480" s="477"/>
      <c r="F480" s="477"/>
      <c r="G480" s="642"/>
      <c r="H480" s="642"/>
    </row>
    <row r="481" spans="5:8">
      <c r="E481" s="477"/>
      <c r="F481" s="477"/>
      <c r="G481" s="642"/>
      <c r="H481" s="642"/>
    </row>
    <row r="482" spans="5:8">
      <c r="E482" s="477"/>
      <c r="F482" s="477"/>
      <c r="G482" s="642"/>
      <c r="H482" s="642"/>
    </row>
    <row r="483" spans="5:8">
      <c r="E483" s="477"/>
      <c r="F483" s="477"/>
      <c r="G483" s="642"/>
      <c r="H483" s="642"/>
    </row>
    <row r="484" spans="5:8">
      <c r="E484" s="477"/>
      <c r="F484" s="477"/>
      <c r="G484" s="642"/>
      <c r="H484" s="642"/>
    </row>
    <row r="485" spans="5:8">
      <c r="E485" s="477"/>
      <c r="F485" s="477"/>
      <c r="G485" s="642"/>
      <c r="H485" s="642"/>
    </row>
    <row r="486" spans="5:8">
      <c r="E486" s="477"/>
      <c r="F486" s="477"/>
      <c r="G486" s="642"/>
      <c r="H486" s="642"/>
    </row>
    <row r="487" spans="5:8">
      <c r="E487" s="477"/>
      <c r="F487" s="477"/>
      <c r="G487" s="642"/>
      <c r="H487" s="642"/>
    </row>
    <row r="488" spans="5:8">
      <c r="E488" s="477"/>
      <c r="F488" s="477"/>
      <c r="G488" s="642"/>
      <c r="H488" s="642"/>
    </row>
    <row r="489" spans="5:8">
      <c r="E489" s="477"/>
      <c r="F489" s="477"/>
      <c r="G489" s="642"/>
      <c r="H489" s="642"/>
    </row>
    <row r="490" spans="5:8">
      <c r="E490" s="477"/>
      <c r="F490" s="477"/>
      <c r="G490" s="642"/>
      <c r="H490" s="642"/>
    </row>
    <row r="491" spans="5:8">
      <c r="E491" s="477"/>
      <c r="F491" s="477"/>
      <c r="G491" s="642"/>
      <c r="H491" s="642"/>
    </row>
    <row r="492" spans="5:8">
      <c r="E492" s="477"/>
      <c r="F492" s="477"/>
      <c r="G492" s="642"/>
      <c r="H492" s="642"/>
    </row>
    <row r="493" spans="5:8">
      <c r="E493" s="477"/>
      <c r="F493" s="477"/>
      <c r="G493" s="642"/>
      <c r="H493" s="642"/>
    </row>
    <row r="494" spans="5:8">
      <c r="E494" s="477"/>
      <c r="F494" s="477"/>
      <c r="G494" s="642"/>
      <c r="H494" s="642"/>
    </row>
    <row r="495" spans="5:8">
      <c r="E495" s="477"/>
      <c r="F495" s="477"/>
      <c r="G495" s="642"/>
      <c r="H495" s="642"/>
    </row>
    <row r="496" spans="5:8">
      <c r="E496" s="477"/>
      <c r="F496" s="477"/>
      <c r="G496" s="642"/>
      <c r="H496" s="642"/>
    </row>
    <row r="497" spans="5:8">
      <c r="E497" s="477"/>
      <c r="F497" s="477"/>
      <c r="G497" s="642"/>
      <c r="H497" s="642"/>
    </row>
    <row r="498" spans="5:8">
      <c r="E498" s="477"/>
      <c r="F498" s="477"/>
      <c r="G498" s="642"/>
      <c r="H498" s="642"/>
    </row>
    <row r="499" spans="5:8">
      <c r="E499" s="477"/>
      <c r="F499" s="477"/>
      <c r="G499" s="642"/>
      <c r="H499" s="642"/>
    </row>
    <row r="500" spans="5:8">
      <c r="E500" s="477"/>
      <c r="F500" s="477"/>
      <c r="G500" s="642"/>
      <c r="H500" s="642"/>
    </row>
    <row r="501" spans="5:8">
      <c r="E501" s="477"/>
      <c r="F501" s="477"/>
      <c r="G501" s="642"/>
      <c r="H501" s="642"/>
    </row>
    <row r="502" spans="5:8">
      <c r="E502" s="477"/>
      <c r="F502" s="477"/>
      <c r="G502" s="642"/>
      <c r="H502" s="642"/>
    </row>
    <row r="503" spans="5:8">
      <c r="E503" s="477"/>
      <c r="F503" s="477"/>
      <c r="G503" s="642"/>
      <c r="H503" s="642"/>
    </row>
    <row r="504" spans="5:8">
      <c r="E504" s="477"/>
      <c r="F504" s="477"/>
      <c r="G504" s="642"/>
      <c r="H504" s="642"/>
    </row>
    <row r="505" spans="5:8">
      <c r="E505" s="477"/>
      <c r="F505" s="477"/>
      <c r="G505" s="642"/>
      <c r="H505" s="642"/>
    </row>
    <row r="506" spans="5:8">
      <c r="E506" s="477"/>
      <c r="F506" s="477"/>
      <c r="G506" s="642"/>
      <c r="H506" s="642"/>
    </row>
    <row r="507" spans="5:8">
      <c r="E507" s="477"/>
      <c r="F507" s="477"/>
      <c r="G507" s="642"/>
      <c r="H507" s="642"/>
    </row>
    <row r="508" spans="5:8">
      <c r="E508" s="477"/>
      <c r="F508" s="477"/>
      <c r="G508" s="642"/>
      <c r="H508" s="642"/>
    </row>
    <row r="509" spans="5:8">
      <c r="E509" s="477"/>
      <c r="F509" s="477"/>
      <c r="G509" s="642"/>
      <c r="H509" s="642"/>
    </row>
    <row r="510" spans="5:8">
      <c r="E510" s="477"/>
      <c r="F510" s="477"/>
      <c r="G510" s="642"/>
      <c r="H510" s="642"/>
    </row>
    <row r="511" spans="5:8">
      <c r="E511" s="477"/>
      <c r="F511" s="477"/>
      <c r="G511" s="642"/>
      <c r="H511" s="642"/>
    </row>
    <row r="512" spans="5:8">
      <c r="E512" s="477"/>
      <c r="F512" s="477"/>
      <c r="G512" s="642"/>
      <c r="H512" s="642"/>
    </row>
    <row r="513" spans="5:8">
      <c r="E513" s="477"/>
      <c r="F513" s="477"/>
      <c r="G513" s="642"/>
      <c r="H513" s="642"/>
    </row>
    <row r="514" spans="5:8">
      <c r="E514" s="477"/>
      <c r="F514" s="477"/>
      <c r="G514" s="642"/>
      <c r="H514" s="642"/>
    </row>
    <row r="515" spans="5:8">
      <c r="E515" s="477"/>
      <c r="F515" s="477"/>
      <c r="G515" s="642"/>
      <c r="H515" s="642"/>
    </row>
    <row r="516" spans="5:8">
      <c r="E516" s="477"/>
      <c r="F516" s="477"/>
      <c r="G516" s="642"/>
      <c r="H516" s="642"/>
    </row>
    <row r="517" spans="5:8">
      <c r="E517" s="477"/>
      <c r="F517" s="477"/>
      <c r="G517" s="642"/>
      <c r="H517" s="642"/>
    </row>
    <row r="518" spans="5:8">
      <c r="E518" s="477"/>
      <c r="F518" s="477"/>
      <c r="G518" s="642"/>
      <c r="H518" s="642"/>
    </row>
    <row r="519" spans="5:8">
      <c r="E519" s="477"/>
      <c r="F519" s="477"/>
      <c r="G519" s="642"/>
      <c r="H519" s="642"/>
    </row>
    <row r="520" spans="5:8">
      <c r="E520" s="477"/>
      <c r="F520" s="477"/>
      <c r="G520" s="642"/>
      <c r="H520" s="642"/>
    </row>
    <row r="521" spans="5:8">
      <c r="E521" s="477"/>
      <c r="F521" s="477"/>
      <c r="G521" s="642"/>
      <c r="H521" s="642"/>
    </row>
    <row r="522" spans="5:8">
      <c r="E522" s="477"/>
      <c r="F522" s="477"/>
      <c r="G522" s="642"/>
      <c r="H522" s="642"/>
    </row>
    <row r="523" spans="5:8">
      <c r="E523" s="477"/>
      <c r="F523" s="477"/>
      <c r="G523" s="642"/>
      <c r="H523" s="642"/>
    </row>
    <row r="524" spans="5:8">
      <c r="E524" s="477"/>
      <c r="F524" s="477"/>
      <c r="G524" s="642"/>
      <c r="H524" s="642"/>
    </row>
    <row r="525" spans="5:8">
      <c r="E525" s="477"/>
      <c r="F525" s="477"/>
      <c r="G525" s="642"/>
      <c r="H525" s="642"/>
    </row>
    <row r="526" spans="5:8">
      <c r="E526" s="477"/>
      <c r="F526" s="477"/>
      <c r="G526" s="642"/>
      <c r="H526" s="642"/>
    </row>
    <row r="527" spans="5:8">
      <c r="E527" s="477"/>
      <c r="F527" s="477"/>
      <c r="G527" s="642"/>
      <c r="H527" s="642"/>
    </row>
    <row r="528" spans="5:8">
      <c r="E528" s="477"/>
      <c r="F528" s="477"/>
      <c r="G528" s="642"/>
      <c r="H528" s="642"/>
    </row>
    <row r="529" spans="5:8">
      <c r="E529" s="477"/>
      <c r="F529" s="477"/>
      <c r="G529" s="642"/>
      <c r="H529" s="642"/>
    </row>
    <row r="530" spans="5:8">
      <c r="E530" s="477"/>
      <c r="F530" s="477"/>
      <c r="G530" s="642"/>
      <c r="H530" s="642"/>
    </row>
    <row r="531" spans="5:8">
      <c r="E531" s="477"/>
      <c r="F531" s="477"/>
      <c r="G531" s="642"/>
      <c r="H531" s="642"/>
    </row>
    <row r="532" spans="5:8">
      <c r="E532" s="477"/>
      <c r="F532" s="477"/>
      <c r="G532" s="642"/>
      <c r="H532" s="642"/>
    </row>
    <row r="533" spans="5:8">
      <c r="E533" s="477"/>
      <c r="F533" s="477"/>
      <c r="G533" s="642"/>
      <c r="H533" s="642"/>
    </row>
    <row r="534" spans="5:8">
      <c r="E534" s="477"/>
      <c r="F534" s="477"/>
      <c r="G534" s="642"/>
      <c r="H534" s="642"/>
    </row>
    <row r="535" spans="5:8">
      <c r="E535" s="477"/>
      <c r="F535" s="477"/>
      <c r="G535" s="642"/>
      <c r="H535" s="642"/>
    </row>
    <row r="536" spans="5:8">
      <c r="E536" s="477"/>
      <c r="F536" s="477"/>
      <c r="G536" s="642"/>
      <c r="H536" s="642"/>
    </row>
    <row r="537" spans="5:8">
      <c r="E537" s="477"/>
      <c r="F537" s="477"/>
      <c r="G537" s="642"/>
      <c r="H537" s="642"/>
    </row>
    <row r="538" spans="5:8">
      <c r="E538" s="477"/>
      <c r="F538" s="477"/>
      <c r="G538" s="642"/>
      <c r="H538" s="642"/>
    </row>
    <row r="539" spans="5:8">
      <c r="E539" s="477"/>
      <c r="F539" s="477"/>
      <c r="G539" s="642"/>
      <c r="H539" s="642"/>
    </row>
    <row r="540" spans="5:8">
      <c r="E540" s="477"/>
      <c r="F540" s="477"/>
      <c r="G540" s="642"/>
      <c r="H540" s="642"/>
    </row>
    <row r="541" spans="5:8">
      <c r="E541" s="477"/>
      <c r="F541" s="477"/>
      <c r="G541" s="642"/>
      <c r="H541" s="642"/>
    </row>
    <row r="542" spans="5:8">
      <c r="E542" s="477"/>
      <c r="F542" s="477"/>
      <c r="G542" s="642"/>
      <c r="H542" s="642"/>
    </row>
    <row r="543" spans="5:8">
      <c r="E543" s="477"/>
      <c r="F543" s="477"/>
      <c r="G543" s="642"/>
      <c r="H543" s="642"/>
    </row>
    <row r="544" spans="5:8">
      <c r="E544" s="477"/>
      <c r="F544" s="477"/>
      <c r="G544" s="642"/>
      <c r="H544" s="642"/>
    </row>
    <row r="545" spans="5:8">
      <c r="E545" s="477"/>
      <c r="F545" s="477"/>
      <c r="G545" s="642"/>
      <c r="H545" s="642"/>
    </row>
    <row r="546" spans="5:8">
      <c r="E546" s="477"/>
      <c r="F546" s="477"/>
      <c r="G546" s="642"/>
      <c r="H546" s="642"/>
    </row>
    <row r="547" spans="5:8">
      <c r="E547" s="477"/>
      <c r="F547" s="477"/>
      <c r="G547" s="642"/>
      <c r="H547" s="642"/>
    </row>
    <row r="548" spans="5:8">
      <c r="E548" s="477"/>
      <c r="F548" s="477"/>
      <c r="G548" s="642"/>
      <c r="H548" s="642"/>
    </row>
    <row r="549" spans="5:8">
      <c r="E549" s="477"/>
      <c r="F549" s="477"/>
      <c r="G549" s="642"/>
      <c r="H549" s="642"/>
    </row>
    <row r="550" spans="5:8">
      <c r="E550" s="477"/>
      <c r="F550" s="477"/>
      <c r="G550" s="642"/>
      <c r="H550" s="642"/>
    </row>
    <row r="551" spans="5:8">
      <c r="E551" s="477"/>
      <c r="F551" s="477"/>
      <c r="G551" s="642"/>
      <c r="H551" s="642"/>
    </row>
    <row r="552" spans="5:8">
      <c r="E552" s="477"/>
      <c r="F552" s="477"/>
      <c r="G552" s="642"/>
      <c r="H552" s="642"/>
    </row>
    <row r="553" spans="5:8">
      <c r="E553" s="477"/>
      <c r="F553" s="477"/>
      <c r="G553" s="642"/>
      <c r="H553" s="642"/>
    </row>
    <row r="554" spans="5:8">
      <c r="E554" s="477"/>
      <c r="F554" s="477"/>
      <c r="G554" s="642"/>
      <c r="H554" s="642"/>
    </row>
    <row r="555" spans="5:8">
      <c r="E555" s="477"/>
      <c r="F555" s="477"/>
      <c r="G555" s="642"/>
      <c r="H555" s="642"/>
    </row>
    <row r="556" spans="5:8">
      <c r="E556" s="477"/>
      <c r="F556" s="477"/>
      <c r="G556" s="642"/>
      <c r="H556" s="642"/>
    </row>
    <row r="557" spans="5:8">
      <c r="E557" s="477"/>
      <c r="F557" s="477"/>
      <c r="G557" s="642"/>
      <c r="H557" s="642"/>
    </row>
    <row r="558" spans="5:8">
      <c r="E558" s="477"/>
      <c r="F558" s="477"/>
      <c r="G558" s="642"/>
      <c r="H558" s="642"/>
    </row>
    <row r="559" spans="5:8">
      <c r="E559" s="477"/>
      <c r="F559" s="477"/>
      <c r="G559" s="642"/>
      <c r="H559" s="642"/>
    </row>
    <row r="560" spans="5:8">
      <c r="E560" s="477"/>
      <c r="F560" s="477"/>
      <c r="G560" s="642"/>
      <c r="H560" s="642"/>
    </row>
    <row r="561" spans="5:8">
      <c r="E561" s="477"/>
      <c r="F561" s="477"/>
      <c r="G561" s="642"/>
      <c r="H561" s="642"/>
    </row>
    <row r="562" spans="5:8">
      <c r="E562" s="477"/>
      <c r="F562" s="477"/>
      <c r="G562" s="642"/>
      <c r="H562" s="642"/>
    </row>
    <row r="563" spans="5:8">
      <c r="E563" s="477"/>
      <c r="F563" s="477"/>
      <c r="G563" s="642"/>
      <c r="H563" s="642"/>
    </row>
    <row r="564" spans="5:8">
      <c r="E564" s="477"/>
      <c r="F564" s="477"/>
      <c r="G564" s="642"/>
      <c r="H564" s="642"/>
    </row>
    <row r="565" spans="5:8">
      <c r="E565" s="477"/>
      <c r="F565" s="477"/>
      <c r="G565" s="642"/>
      <c r="H565" s="642"/>
    </row>
    <row r="566" spans="5:8">
      <c r="E566" s="477"/>
      <c r="F566" s="477"/>
      <c r="G566" s="642"/>
      <c r="H566" s="642"/>
    </row>
    <row r="567" spans="5:8">
      <c r="E567" s="477"/>
      <c r="F567" s="477"/>
      <c r="G567" s="642"/>
      <c r="H567" s="642"/>
    </row>
    <row r="568" spans="5:8">
      <c r="E568" s="477"/>
      <c r="F568" s="477"/>
      <c r="G568" s="642"/>
      <c r="H568" s="642"/>
    </row>
    <row r="569" spans="5:8">
      <c r="E569" s="477"/>
      <c r="F569" s="477"/>
      <c r="G569" s="642"/>
      <c r="H569" s="642"/>
    </row>
    <row r="570" spans="5:8">
      <c r="E570" s="477"/>
      <c r="F570" s="477"/>
      <c r="G570" s="642"/>
      <c r="H570" s="642"/>
    </row>
    <row r="571" spans="5:8">
      <c r="E571" s="477"/>
      <c r="F571" s="477"/>
      <c r="G571" s="642"/>
      <c r="H571" s="642"/>
    </row>
    <row r="572" spans="5:8">
      <c r="E572" s="477"/>
      <c r="F572" s="477"/>
      <c r="G572" s="642"/>
      <c r="H572" s="642"/>
    </row>
    <row r="573" spans="5:8">
      <c r="E573" s="477"/>
      <c r="F573" s="477"/>
      <c r="G573" s="642"/>
      <c r="H573" s="642"/>
    </row>
    <row r="574" spans="5:8">
      <c r="E574" s="477"/>
      <c r="F574" s="477"/>
      <c r="G574" s="642"/>
      <c r="H574" s="642"/>
    </row>
    <row r="575" spans="5:8">
      <c r="E575" s="477"/>
      <c r="F575" s="477"/>
      <c r="G575" s="642"/>
      <c r="H575" s="642"/>
    </row>
    <row r="576" spans="5:8">
      <c r="E576" s="477"/>
      <c r="F576" s="477"/>
      <c r="G576" s="642"/>
      <c r="H576" s="642"/>
    </row>
    <row r="577" spans="5:8">
      <c r="E577" s="477"/>
      <c r="F577" s="477"/>
      <c r="G577" s="642"/>
      <c r="H577" s="642"/>
    </row>
    <row r="578" spans="5:8">
      <c r="E578" s="477"/>
      <c r="F578" s="477"/>
      <c r="G578" s="642"/>
      <c r="H578" s="642"/>
    </row>
    <row r="579" spans="5:8">
      <c r="E579" s="477"/>
      <c r="F579" s="477"/>
      <c r="G579" s="642"/>
      <c r="H579" s="642"/>
    </row>
    <row r="580" spans="5:8">
      <c r="E580" s="477"/>
      <c r="F580" s="477"/>
      <c r="G580" s="642"/>
      <c r="H580" s="642"/>
    </row>
    <row r="581" spans="5:8">
      <c r="E581" s="477"/>
      <c r="F581" s="477"/>
      <c r="G581" s="642"/>
      <c r="H581" s="642"/>
    </row>
    <row r="582" spans="5:8">
      <c r="E582" s="477"/>
      <c r="F582" s="477"/>
      <c r="G582" s="642"/>
      <c r="H582" s="642"/>
    </row>
    <row r="583" spans="5:8">
      <c r="E583" s="477"/>
      <c r="F583" s="477"/>
      <c r="G583" s="642"/>
      <c r="H583" s="642"/>
    </row>
    <row r="584" spans="5:8">
      <c r="E584" s="477"/>
      <c r="F584" s="477"/>
      <c r="G584" s="642"/>
      <c r="H584" s="642"/>
    </row>
    <row r="585" spans="5:8">
      <c r="E585" s="477"/>
      <c r="F585" s="477"/>
      <c r="G585" s="642"/>
      <c r="H585" s="642"/>
    </row>
    <row r="586" spans="5:8">
      <c r="E586" s="477"/>
      <c r="F586" s="477"/>
      <c r="G586" s="642"/>
      <c r="H586" s="642"/>
    </row>
    <row r="587" spans="5:8">
      <c r="E587" s="477"/>
      <c r="F587" s="477"/>
      <c r="G587" s="642"/>
      <c r="H587" s="642"/>
    </row>
    <row r="588" spans="5:8">
      <c r="E588" s="477"/>
      <c r="F588" s="477"/>
      <c r="G588" s="642"/>
      <c r="H588" s="642"/>
    </row>
    <row r="589" spans="5:8">
      <c r="E589" s="477"/>
      <c r="F589" s="477"/>
      <c r="G589" s="642"/>
      <c r="H589" s="642"/>
    </row>
    <row r="590" spans="5:8">
      <c r="E590" s="477"/>
      <c r="F590" s="477"/>
      <c r="G590" s="642"/>
      <c r="H590" s="642"/>
    </row>
    <row r="591" spans="5:8">
      <c r="E591" s="477"/>
      <c r="F591" s="477"/>
      <c r="G591" s="642"/>
      <c r="H591" s="642"/>
    </row>
    <row r="592" spans="5:8">
      <c r="E592" s="477"/>
      <c r="F592" s="477"/>
      <c r="G592" s="642"/>
      <c r="H592" s="642"/>
    </row>
    <row r="593" spans="5:8">
      <c r="E593" s="477"/>
      <c r="F593" s="477"/>
      <c r="G593" s="642"/>
      <c r="H593" s="642"/>
    </row>
    <row r="594" spans="5:8">
      <c r="E594" s="477"/>
      <c r="F594" s="477"/>
      <c r="G594" s="642"/>
      <c r="H594" s="642"/>
    </row>
    <row r="595" spans="5:8">
      <c r="E595" s="477"/>
      <c r="F595" s="477"/>
      <c r="G595" s="642"/>
      <c r="H595" s="642"/>
    </row>
    <row r="596" spans="5:8">
      <c r="E596" s="477"/>
      <c r="F596" s="477"/>
      <c r="G596" s="642"/>
      <c r="H596" s="642"/>
    </row>
    <row r="597" spans="5:8">
      <c r="E597" s="477"/>
      <c r="F597" s="477"/>
      <c r="G597" s="642"/>
      <c r="H597" s="642"/>
    </row>
    <row r="598" spans="5:8">
      <c r="E598" s="477"/>
      <c r="F598" s="477"/>
      <c r="G598" s="642"/>
      <c r="H598" s="642"/>
    </row>
    <row r="599" spans="5:8">
      <c r="E599" s="477"/>
      <c r="F599" s="477"/>
      <c r="G599" s="642"/>
      <c r="H599" s="642"/>
    </row>
    <row r="600" spans="5:8">
      <c r="E600" s="477"/>
      <c r="F600" s="477"/>
      <c r="G600" s="642"/>
      <c r="H600" s="642"/>
    </row>
    <row r="601" spans="5:8">
      <c r="E601" s="477"/>
      <c r="F601" s="477"/>
      <c r="G601" s="642"/>
      <c r="H601" s="642"/>
    </row>
    <row r="602" spans="5:8">
      <c r="E602" s="477"/>
      <c r="F602" s="477"/>
      <c r="G602" s="642"/>
      <c r="H602" s="642"/>
    </row>
    <row r="603" spans="5:8">
      <c r="E603" s="477"/>
      <c r="F603" s="477"/>
      <c r="G603" s="642"/>
      <c r="H603" s="642"/>
    </row>
    <row r="604" spans="5:8">
      <c r="E604" s="477"/>
      <c r="F604" s="477"/>
      <c r="G604" s="642"/>
      <c r="H604" s="642"/>
    </row>
    <row r="605" spans="5:8">
      <c r="E605" s="477"/>
      <c r="F605" s="477"/>
      <c r="G605" s="642"/>
      <c r="H605" s="642"/>
    </row>
    <row r="606" spans="5:8">
      <c r="E606" s="477"/>
      <c r="F606" s="477"/>
      <c r="G606" s="642"/>
      <c r="H606" s="642"/>
    </row>
    <row r="607" spans="5:8">
      <c r="E607" s="477"/>
      <c r="F607" s="477"/>
      <c r="G607" s="642"/>
      <c r="H607" s="642"/>
    </row>
    <row r="608" spans="5:8">
      <c r="E608" s="477"/>
      <c r="F608" s="477"/>
      <c r="G608" s="642"/>
      <c r="H608" s="642"/>
    </row>
    <row r="609" spans="5:8">
      <c r="E609" s="477"/>
      <c r="F609" s="477"/>
      <c r="G609" s="642"/>
      <c r="H609" s="642"/>
    </row>
    <row r="610" spans="5:8">
      <c r="E610" s="477"/>
      <c r="F610" s="477"/>
      <c r="G610" s="642"/>
      <c r="H610" s="642"/>
    </row>
    <row r="611" spans="5:8">
      <c r="E611" s="477"/>
      <c r="F611" s="477"/>
      <c r="G611" s="642"/>
      <c r="H611" s="642"/>
    </row>
    <row r="612" spans="5:8">
      <c r="E612" s="477"/>
      <c r="F612" s="477"/>
      <c r="G612" s="642"/>
      <c r="H612" s="642"/>
    </row>
    <row r="613" spans="5:8">
      <c r="E613" s="477"/>
      <c r="F613" s="477"/>
      <c r="G613" s="642"/>
      <c r="H613" s="642"/>
    </row>
    <row r="614" spans="5:8">
      <c r="E614" s="477"/>
      <c r="F614" s="477"/>
      <c r="G614" s="642"/>
      <c r="H614" s="642"/>
    </row>
    <row r="615" spans="5:8">
      <c r="E615" s="477"/>
      <c r="F615" s="477"/>
      <c r="G615" s="642"/>
      <c r="H615" s="642"/>
    </row>
    <row r="616" spans="5:8">
      <c r="E616" s="477"/>
      <c r="F616" s="477"/>
      <c r="G616" s="642"/>
      <c r="H616" s="642"/>
    </row>
    <row r="617" spans="5:8">
      <c r="E617" s="477"/>
      <c r="F617" s="477"/>
      <c r="G617" s="642"/>
      <c r="H617" s="642"/>
    </row>
    <row r="618" spans="5:8">
      <c r="E618" s="477"/>
      <c r="F618" s="477"/>
      <c r="G618" s="642"/>
      <c r="H618" s="642"/>
    </row>
    <row r="619" spans="5:8">
      <c r="E619" s="477"/>
      <c r="F619" s="477"/>
      <c r="G619" s="642"/>
      <c r="H619" s="642"/>
    </row>
    <row r="620" spans="5:8">
      <c r="E620" s="477"/>
      <c r="F620" s="477"/>
      <c r="G620" s="642"/>
      <c r="H620" s="642"/>
    </row>
    <row r="621" spans="5:8">
      <c r="E621" s="477"/>
      <c r="F621" s="477"/>
      <c r="G621" s="642"/>
      <c r="H621" s="642"/>
    </row>
    <row r="622" spans="5:8">
      <c r="E622" s="477"/>
      <c r="F622" s="477"/>
      <c r="G622" s="642"/>
      <c r="H622" s="642"/>
    </row>
    <row r="623" spans="5:8">
      <c r="E623" s="477"/>
      <c r="F623" s="477"/>
      <c r="G623" s="642"/>
      <c r="H623" s="642"/>
    </row>
    <row r="624" spans="5:8">
      <c r="E624" s="477"/>
      <c r="F624" s="477"/>
      <c r="G624" s="642"/>
      <c r="H624" s="642"/>
    </row>
    <row r="625" spans="5:8">
      <c r="E625" s="477"/>
      <c r="F625" s="477"/>
      <c r="G625" s="642"/>
      <c r="H625" s="642"/>
    </row>
    <row r="626" spans="5:8">
      <c r="E626" s="477"/>
      <c r="F626" s="477"/>
      <c r="G626" s="642"/>
      <c r="H626" s="642"/>
    </row>
    <row r="627" spans="5:8">
      <c r="E627" s="477"/>
      <c r="F627" s="477"/>
      <c r="G627" s="642"/>
      <c r="H627" s="642"/>
    </row>
    <row r="628" spans="5:8">
      <c r="E628" s="477"/>
      <c r="F628" s="477"/>
      <c r="G628" s="642"/>
      <c r="H628" s="642"/>
    </row>
    <row r="629" spans="5:8">
      <c r="E629" s="477"/>
      <c r="F629" s="477"/>
      <c r="G629" s="642"/>
      <c r="H629" s="642"/>
    </row>
    <row r="630" spans="5:8">
      <c r="E630" s="477"/>
      <c r="F630" s="477"/>
      <c r="G630" s="642"/>
      <c r="H630" s="642"/>
    </row>
    <row r="631" spans="5:8">
      <c r="E631" s="477"/>
      <c r="F631" s="477"/>
      <c r="G631" s="642"/>
      <c r="H631" s="642"/>
    </row>
    <row r="632" spans="5:8">
      <c r="E632" s="477"/>
      <c r="F632" s="477"/>
      <c r="G632" s="642"/>
      <c r="H632" s="642"/>
    </row>
    <row r="633" spans="5:8">
      <c r="E633" s="477"/>
      <c r="F633" s="477"/>
      <c r="G633" s="642"/>
      <c r="H633" s="642"/>
    </row>
    <row r="634" spans="5:8">
      <c r="E634" s="477"/>
      <c r="F634" s="477"/>
      <c r="G634" s="642"/>
      <c r="H634" s="642"/>
    </row>
    <row r="635" spans="5:8">
      <c r="E635" s="477"/>
      <c r="F635" s="477"/>
      <c r="G635" s="642"/>
      <c r="H635" s="642"/>
    </row>
    <row r="636" spans="5:8">
      <c r="E636" s="477"/>
      <c r="F636" s="477"/>
      <c r="G636" s="642"/>
      <c r="H636" s="642"/>
    </row>
    <row r="637" spans="5:8">
      <c r="E637" s="477"/>
      <c r="F637" s="477"/>
      <c r="G637" s="642"/>
      <c r="H637" s="642"/>
    </row>
    <row r="638" spans="5:8">
      <c r="E638" s="477"/>
      <c r="F638" s="477"/>
      <c r="G638" s="642"/>
      <c r="H638" s="642"/>
    </row>
    <row r="639" spans="5:8">
      <c r="E639" s="477"/>
      <c r="F639" s="477"/>
      <c r="G639" s="642"/>
      <c r="H639" s="642"/>
    </row>
    <row r="640" spans="5:8">
      <c r="E640" s="477"/>
      <c r="F640" s="477"/>
      <c r="G640" s="642"/>
      <c r="H640" s="642"/>
    </row>
    <row r="641" spans="5:8">
      <c r="E641" s="477"/>
      <c r="F641" s="477"/>
      <c r="G641" s="642"/>
      <c r="H641" s="642"/>
    </row>
    <row r="642" spans="5:8">
      <c r="E642" s="477"/>
      <c r="F642" s="477"/>
      <c r="G642" s="642"/>
      <c r="H642" s="642"/>
    </row>
    <row r="643" spans="5:8">
      <c r="E643" s="477"/>
      <c r="F643" s="477"/>
      <c r="G643" s="642"/>
      <c r="H643" s="642"/>
    </row>
    <row r="644" spans="5:8">
      <c r="E644" s="477"/>
      <c r="F644" s="477"/>
      <c r="G644" s="642"/>
      <c r="H644" s="642"/>
    </row>
    <row r="645" spans="5:8">
      <c r="E645" s="477"/>
      <c r="F645" s="477"/>
      <c r="G645" s="642"/>
      <c r="H645" s="642"/>
    </row>
    <row r="646" spans="5:8">
      <c r="E646" s="477"/>
      <c r="F646" s="477"/>
      <c r="G646" s="642"/>
      <c r="H646" s="642"/>
    </row>
    <row r="647" spans="5:8">
      <c r="E647" s="477"/>
      <c r="F647" s="477"/>
      <c r="G647" s="642"/>
      <c r="H647" s="642"/>
    </row>
    <row r="648" spans="5:8">
      <c r="E648" s="477"/>
      <c r="F648" s="477"/>
      <c r="G648" s="642"/>
      <c r="H648" s="642"/>
    </row>
    <row r="649" spans="5:8">
      <c r="E649" s="477"/>
      <c r="F649" s="477"/>
      <c r="G649" s="642"/>
      <c r="H649" s="642"/>
    </row>
    <row r="650" spans="5:8">
      <c r="E650" s="477"/>
      <c r="F650" s="477"/>
      <c r="G650" s="642"/>
      <c r="H650" s="642"/>
    </row>
    <row r="651" spans="5:8">
      <c r="E651" s="477"/>
      <c r="F651" s="477"/>
      <c r="G651" s="642"/>
      <c r="H651" s="642"/>
    </row>
    <row r="652" spans="5:8">
      <c r="E652" s="477"/>
      <c r="F652" s="477"/>
      <c r="G652" s="642"/>
      <c r="H652" s="642"/>
    </row>
    <row r="653" spans="5:8">
      <c r="E653" s="477"/>
      <c r="F653" s="477"/>
      <c r="G653" s="642"/>
      <c r="H653" s="642"/>
    </row>
    <row r="654" spans="5:8">
      <c r="E654" s="477"/>
      <c r="F654" s="477"/>
      <c r="G654" s="642"/>
      <c r="H654" s="642"/>
    </row>
    <row r="655" spans="5:8">
      <c r="E655" s="477"/>
      <c r="F655" s="477"/>
      <c r="G655" s="642"/>
      <c r="H655" s="642"/>
    </row>
    <row r="656" spans="5:8">
      <c r="E656" s="477"/>
      <c r="F656" s="477"/>
      <c r="G656" s="642"/>
      <c r="H656" s="642"/>
    </row>
    <row r="657" spans="5:8">
      <c r="E657" s="477"/>
      <c r="F657" s="477"/>
      <c r="G657" s="642"/>
      <c r="H657" s="642"/>
    </row>
    <row r="658" spans="5:8">
      <c r="E658" s="477"/>
      <c r="F658" s="477"/>
      <c r="G658" s="642"/>
      <c r="H658" s="642"/>
    </row>
    <row r="659" spans="5:8">
      <c r="E659" s="477"/>
      <c r="F659" s="477"/>
      <c r="G659" s="642"/>
      <c r="H659" s="642"/>
    </row>
    <row r="660" spans="5:8">
      <c r="E660" s="477"/>
      <c r="F660" s="477"/>
      <c r="G660" s="642"/>
      <c r="H660" s="642"/>
    </row>
    <row r="661" spans="5:8">
      <c r="E661" s="477"/>
      <c r="F661" s="477"/>
      <c r="G661" s="642"/>
      <c r="H661" s="642"/>
    </row>
    <row r="662" spans="5:8">
      <c r="E662" s="477"/>
      <c r="F662" s="477"/>
      <c r="G662" s="642"/>
      <c r="H662" s="642"/>
    </row>
    <row r="663" spans="5:8">
      <c r="E663" s="477"/>
      <c r="F663" s="477"/>
      <c r="G663" s="642"/>
      <c r="H663" s="642"/>
    </row>
    <row r="664" spans="5:8">
      <c r="E664" s="477"/>
      <c r="F664" s="477"/>
      <c r="G664" s="642"/>
      <c r="H664" s="642"/>
    </row>
    <row r="665" spans="5:8">
      <c r="E665" s="477"/>
      <c r="F665" s="477"/>
      <c r="G665" s="642"/>
      <c r="H665" s="642"/>
    </row>
    <row r="666" spans="5:8">
      <c r="E666" s="477"/>
      <c r="F666" s="477"/>
      <c r="G666" s="642"/>
      <c r="H666" s="642"/>
    </row>
    <row r="667" spans="5:8">
      <c r="E667" s="477"/>
      <c r="F667" s="477"/>
      <c r="G667" s="642"/>
      <c r="H667" s="642"/>
    </row>
    <row r="668" spans="5:8">
      <c r="E668" s="477"/>
      <c r="F668" s="477"/>
      <c r="G668" s="642"/>
      <c r="H668" s="642"/>
    </row>
    <row r="669" spans="5:8">
      <c r="E669" s="477"/>
      <c r="F669" s="477"/>
      <c r="G669" s="642"/>
      <c r="H669" s="642"/>
    </row>
    <row r="670" spans="5:8">
      <c r="E670" s="477"/>
      <c r="F670" s="477"/>
      <c r="G670" s="642"/>
      <c r="H670" s="642"/>
    </row>
    <row r="671" spans="5:8">
      <c r="E671" s="477"/>
      <c r="F671" s="477"/>
      <c r="G671" s="642"/>
      <c r="H671" s="642"/>
    </row>
    <row r="672" spans="5:8">
      <c r="E672" s="477"/>
      <c r="F672" s="477"/>
      <c r="G672" s="642"/>
      <c r="H672" s="642"/>
    </row>
    <row r="673" spans="5:8">
      <c r="E673" s="477"/>
      <c r="F673" s="477"/>
      <c r="G673" s="642"/>
      <c r="H673" s="642"/>
    </row>
    <row r="674" spans="5:8">
      <c r="E674" s="477"/>
      <c r="F674" s="477"/>
      <c r="G674" s="642"/>
      <c r="H674" s="642"/>
    </row>
    <row r="675" spans="5:8">
      <c r="E675" s="477"/>
      <c r="F675" s="477"/>
      <c r="G675" s="642"/>
      <c r="H675" s="642"/>
    </row>
    <row r="676" spans="5:8">
      <c r="E676" s="477"/>
      <c r="F676" s="477"/>
      <c r="G676" s="642"/>
      <c r="H676" s="642"/>
    </row>
    <row r="677" spans="5:8">
      <c r="E677" s="477"/>
      <c r="F677" s="477"/>
      <c r="G677" s="642"/>
      <c r="H677" s="642"/>
    </row>
    <row r="678" spans="5:8">
      <c r="E678" s="477"/>
      <c r="F678" s="477"/>
      <c r="G678" s="642"/>
      <c r="H678" s="642"/>
    </row>
    <row r="679" spans="5:8">
      <c r="E679" s="477"/>
      <c r="F679" s="477"/>
      <c r="G679" s="642"/>
      <c r="H679" s="642"/>
    </row>
    <row r="680" spans="5:8">
      <c r="E680" s="477"/>
      <c r="F680" s="477"/>
      <c r="G680" s="642"/>
      <c r="H680" s="642"/>
    </row>
    <row r="681" spans="5:8">
      <c r="E681" s="477"/>
      <c r="F681" s="477"/>
      <c r="G681" s="642"/>
      <c r="H681" s="642"/>
    </row>
    <row r="682" spans="5:8">
      <c r="E682" s="477"/>
      <c r="F682" s="477"/>
      <c r="G682" s="642"/>
      <c r="H682" s="642"/>
    </row>
    <row r="683" spans="5:8">
      <c r="E683" s="477"/>
      <c r="F683" s="477"/>
      <c r="G683" s="642"/>
      <c r="H683" s="642"/>
    </row>
    <row r="684" spans="5:8">
      <c r="E684" s="477"/>
      <c r="F684" s="477"/>
      <c r="G684" s="642"/>
      <c r="H684" s="642"/>
    </row>
    <row r="685" spans="5:8">
      <c r="E685" s="477"/>
      <c r="F685" s="477"/>
      <c r="G685" s="642"/>
      <c r="H685" s="642"/>
    </row>
    <row r="686" spans="5:8">
      <c r="E686" s="477"/>
      <c r="F686" s="477"/>
      <c r="G686" s="642"/>
      <c r="H686" s="642"/>
    </row>
    <row r="687" spans="5:8">
      <c r="E687" s="477"/>
      <c r="F687" s="477"/>
      <c r="G687" s="642"/>
      <c r="H687" s="642"/>
    </row>
    <row r="688" spans="5:8">
      <c r="E688" s="477"/>
      <c r="F688" s="477"/>
      <c r="G688" s="642"/>
      <c r="H688" s="642"/>
    </row>
    <row r="689" spans="5:8">
      <c r="E689" s="477"/>
      <c r="F689" s="477"/>
      <c r="G689" s="642"/>
      <c r="H689" s="642"/>
    </row>
    <row r="690" spans="5:8">
      <c r="E690" s="477"/>
      <c r="F690" s="477"/>
      <c r="G690" s="642"/>
      <c r="H690" s="642"/>
    </row>
    <row r="691" spans="5:8">
      <c r="E691" s="477"/>
      <c r="F691" s="477"/>
      <c r="G691" s="642"/>
      <c r="H691" s="642"/>
    </row>
    <row r="692" spans="5:8">
      <c r="E692" s="477"/>
      <c r="F692" s="477"/>
      <c r="G692" s="642"/>
      <c r="H692" s="642"/>
    </row>
    <row r="693" spans="5:8">
      <c r="E693" s="477"/>
      <c r="F693" s="477"/>
      <c r="G693" s="642"/>
      <c r="H693" s="642"/>
    </row>
    <row r="694" spans="5:8">
      <c r="E694" s="477"/>
      <c r="F694" s="477"/>
      <c r="G694" s="642"/>
      <c r="H694" s="642"/>
    </row>
    <row r="695" spans="5:8">
      <c r="E695" s="477"/>
      <c r="F695" s="477"/>
      <c r="G695" s="642"/>
      <c r="H695" s="642"/>
    </row>
    <row r="696" spans="5:8">
      <c r="E696" s="477"/>
      <c r="F696" s="477"/>
      <c r="G696" s="642"/>
      <c r="H696" s="642"/>
    </row>
    <row r="697" spans="5:8">
      <c r="E697" s="477"/>
      <c r="F697" s="477"/>
      <c r="G697" s="642"/>
      <c r="H697" s="642"/>
    </row>
    <row r="698" spans="5:8">
      <c r="E698" s="477"/>
      <c r="F698" s="477"/>
      <c r="G698" s="642"/>
      <c r="H698" s="642"/>
    </row>
    <row r="699" spans="5:8">
      <c r="E699" s="477"/>
      <c r="F699" s="477"/>
      <c r="G699" s="642"/>
      <c r="H699" s="642"/>
    </row>
    <row r="700" spans="5:8">
      <c r="E700" s="477"/>
      <c r="F700" s="477"/>
      <c r="G700" s="642"/>
      <c r="H700" s="642"/>
    </row>
    <row r="701" spans="5:8">
      <c r="E701" s="477"/>
      <c r="F701" s="477"/>
      <c r="G701" s="642"/>
      <c r="H701" s="642"/>
    </row>
    <row r="702" spans="5:8">
      <c r="E702" s="477"/>
      <c r="F702" s="477"/>
      <c r="G702" s="642"/>
      <c r="H702" s="642"/>
    </row>
    <row r="703" spans="5:8">
      <c r="E703" s="477"/>
      <c r="F703" s="477"/>
      <c r="G703" s="642"/>
      <c r="H703" s="642"/>
    </row>
    <row r="704" spans="5:8">
      <c r="E704" s="477"/>
      <c r="F704" s="477"/>
      <c r="G704" s="642"/>
      <c r="H704" s="642"/>
    </row>
    <row r="705" spans="5:8">
      <c r="E705" s="477"/>
      <c r="F705" s="477"/>
      <c r="G705" s="642"/>
      <c r="H705" s="642"/>
    </row>
    <row r="706" spans="5:8">
      <c r="E706" s="477"/>
      <c r="F706" s="477"/>
      <c r="G706" s="642"/>
      <c r="H706" s="642"/>
    </row>
    <row r="707" spans="5:8">
      <c r="E707" s="477"/>
      <c r="F707" s="477"/>
      <c r="G707" s="642"/>
      <c r="H707" s="642"/>
    </row>
    <row r="708" spans="5:8">
      <c r="E708" s="477"/>
      <c r="F708" s="477"/>
      <c r="G708" s="642"/>
      <c r="H708" s="642"/>
    </row>
    <row r="709" spans="5:8">
      <c r="E709" s="477"/>
      <c r="F709" s="477"/>
      <c r="G709" s="642"/>
      <c r="H709" s="642"/>
    </row>
    <row r="710" spans="5:8">
      <c r="E710" s="477"/>
      <c r="F710" s="477"/>
      <c r="G710" s="642"/>
      <c r="H710" s="642"/>
    </row>
    <row r="711" spans="5:8">
      <c r="E711" s="477"/>
      <c r="F711" s="477"/>
      <c r="G711" s="642"/>
      <c r="H711" s="642"/>
    </row>
    <row r="712" spans="5:8">
      <c r="E712" s="477"/>
      <c r="F712" s="477"/>
      <c r="G712" s="642"/>
      <c r="H712" s="642"/>
    </row>
    <row r="713" spans="5:8">
      <c r="E713" s="477"/>
      <c r="F713" s="477"/>
      <c r="G713" s="642"/>
      <c r="H713" s="642"/>
    </row>
    <row r="714" spans="5:8">
      <c r="E714" s="477"/>
      <c r="F714" s="477"/>
      <c r="G714" s="642"/>
      <c r="H714" s="642"/>
    </row>
    <row r="715" spans="5:8">
      <c r="E715" s="477"/>
      <c r="F715" s="477"/>
      <c r="G715" s="642"/>
      <c r="H715" s="642"/>
    </row>
    <row r="716" spans="5:8">
      <c r="E716" s="477"/>
      <c r="F716" s="477"/>
      <c r="G716" s="642"/>
      <c r="H716" s="642"/>
    </row>
    <row r="717" spans="5:8">
      <c r="E717" s="477"/>
      <c r="F717" s="477"/>
      <c r="G717" s="642"/>
      <c r="H717" s="642"/>
    </row>
    <row r="718" spans="5:8">
      <c r="E718" s="477"/>
      <c r="F718" s="477"/>
      <c r="G718" s="642"/>
      <c r="H718" s="642"/>
    </row>
    <row r="719" spans="5:8">
      <c r="E719" s="477"/>
      <c r="F719" s="477"/>
      <c r="G719" s="642"/>
      <c r="H719" s="642"/>
    </row>
    <row r="720" spans="5:8">
      <c r="E720" s="477"/>
      <c r="F720" s="477"/>
      <c r="G720" s="642"/>
      <c r="H720" s="642"/>
    </row>
    <row r="721" spans="5:8">
      <c r="E721" s="477"/>
      <c r="F721" s="477"/>
      <c r="G721" s="642"/>
      <c r="H721" s="642"/>
    </row>
    <row r="722" spans="5:8">
      <c r="E722" s="477"/>
      <c r="F722" s="477"/>
      <c r="G722" s="642"/>
      <c r="H722" s="642"/>
    </row>
    <row r="723" spans="5:8">
      <c r="E723" s="477"/>
      <c r="F723" s="477"/>
      <c r="G723" s="642"/>
      <c r="H723" s="642"/>
    </row>
    <row r="724" spans="5:8">
      <c r="E724" s="477"/>
      <c r="F724" s="477"/>
      <c r="G724" s="642"/>
      <c r="H724" s="642"/>
    </row>
    <row r="725" spans="5:8">
      <c r="E725" s="477"/>
      <c r="F725" s="477"/>
      <c r="G725" s="642"/>
      <c r="H725" s="642"/>
    </row>
    <row r="726" spans="5:8">
      <c r="E726" s="477"/>
      <c r="F726" s="477"/>
      <c r="G726" s="642"/>
      <c r="H726" s="642"/>
    </row>
    <row r="727" spans="5:8">
      <c r="E727" s="477"/>
      <c r="F727" s="477"/>
      <c r="G727" s="642"/>
      <c r="H727" s="642"/>
    </row>
    <row r="728" spans="5:8">
      <c r="E728" s="477"/>
      <c r="F728" s="477"/>
      <c r="G728" s="642"/>
      <c r="H728" s="642"/>
    </row>
    <row r="729" spans="5:8">
      <c r="E729" s="477"/>
      <c r="F729" s="477"/>
      <c r="G729" s="642"/>
      <c r="H729" s="642"/>
    </row>
    <row r="730" spans="5:8">
      <c r="E730" s="477"/>
      <c r="F730" s="477"/>
      <c r="G730" s="642"/>
      <c r="H730" s="642"/>
    </row>
    <row r="731" spans="5:8">
      <c r="E731" s="477"/>
      <c r="F731" s="477"/>
      <c r="G731" s="642"/>
      <c r="H731" s="642"/>
    </row>
    <row r="732" spans="5:8">
      <c r="E732" s="477"/>
      <c r="F732" s="477"/>
      <c r="G732" s="642"/>
      <c r="H732" s="642"/>
    </row>
    <row r="733" spans="5:8">
      <c r="E733" s="477"/>
      <c r="F733" s="477"/>
      <c r="G733" s="642"/>
      <c r="H733" s="642"/>
    </row>
    <row r="734" spans="5:8">
      <c r="E734" s="477"/>
      <c r="F734" s="477"/>
      <c r="G734" s="642"/>
      <c r="H734" s="642"/>
    </row>
    <row r="735" spans="5:8">
      <c r="E735" s="477"/>
      <c r="F735" s="477"/>
      <c r="G735" s="642"/>
      <c r="H735" s="642"/>
    </row>
    <row r="736" spans="5:8">
      <c r="E736" s="477"/>
      <c r="F736" s="477"/>
      <c r="G736" s="642"/>
      <c r="H736" s="642"/>
    </row>
    <row r="737" spans="5:8">
      <c r="E737" s="477"/>
      <c r="F737" s="477"/>
      <c r="G737" s="642"/>
      <c r="H737" s="642"/>
    </row>
    <row r="738" spans="5:8">
      <c r="E738" s="477"/>
      <c r="F738" s="477"/>
      <c r="G738" s="642"/>
      <c r="H738" s="642"/>
    </row>
    <row r="739" spans="5:8">
      <c r="E739" s="477"/>
      <c r="F739" s="477"/>
      <c r="G739" s="642"/>
      <c r="H739" s="642"/>
    </row>
    <row r="740" spans="5:8">
      <c r="E740" s="477"/>
      <c r="F740" s="477"/>
      <c r="G740" s="642"/>
      <c r="H740" s="642"/>
    </row>
    <row r="741" spans="5:8">
      <c r="E741" s="477"/>
      <c r="F741" s="477"/>
      <c r="G741" s="642"/>
      <c r="H741" s="642"/>
    </row>
    <row r="742" spans="5:8">
      <c r="E742" s="477"/>
      <c r="F742" s="477"/>
      <c r="G742" s="642"/>
      <c r="H742" s="642"/>
    </row>
    <row r="743" spans="5:8">
      <c r="E743" s="477"/>
      <c r="F743" s="477"/>
      <c r="G743" s="642"/>
      <c r="H743" s="642"/>
    </row>
    <row r="744" spans="5:8">
      <c r="E744" s="477"/>
      <c r="F744" s="477"/>
      <c r="G744" s="642"/>
      <c r="H744" s="642"/>
    </row>
    <row r="745" spans="5:8">
      <c r="E745" s="477"/>
      <c r="F745" s="477"/>
      <c r="G745" s="642"/>
      <c r="H745" s="642"/>
    </row>
    <row r="746" spans="5:8">
      <c r="E746" s="477"/>
      <c r="F746" s="477"/>
      <c r="G746" s="642"/>
      <c r="H746" s="642"/>
    </row>
    <row r="747" spans="5:8">
      <c r="E747" s="477"/>
      <c r="F747" s="477"/>
      <c r="G747" s="642"/>
      <c r="H747" s="642"/>
    </row>
    <row r="748" spans="5:8">
      <c r="E748" s="477"/>
      <c r="F748" s="477"/>
      <c r="G748" s="642"/>
      <c r="H748" s="642"/>
    </row>
    <row r="749" spans="5:8">
      <c r="E749" s="477"/>
      <c r="F749" s="477"/>
      <c r="G749" s="642"/>
      <c r="H749" s="642"/>
    </row>
    <row r="750" spans="5:8">
      <c r="E750" s="477"/>
      <c r="F750" s="477"/>
      <c r="G750" s="642"/>
      <c r="H750" s="642"/>
    </row>
    <row r="751" spans="5:8">
      <c r="E751" s="477"/>
      <c r="F751" s="477"/>
      <c r="G751" s="642"/>
      <c r="H751" s="642"/>
    </row>
    <row r="752" spans="5:8">
      <c r="E752" s="477"/>
      <c r="F752" s="477"/>
      <c r="G752" s="642"/>
      <c r="H752" s="642"/>
    </row>
    <row r="753" spans="5:8">
      <c r="E753" s="477"/>
      <c r="F753" s="477"/>
      <c r="G753" s="642"/>
      <c r="H753" s="642"/>
    </row>
    <row r="754" spans="5:8">
      <c r="E754" s="477"/>
      <c r="F754" s="477"/>
      <c r="G754" s="642"/>
      <c r="H754" s="642"/>
    </row>
    <row r="755" spans="5:8">
      <c r="E755" s="477"/>
      <c r="F755" s="477"/>
      <c r="G755" s="642"/>
      <c r="H755" s="642"/>
    </row>
    <row r="756" spans="5:8">
      <c r="E756" s="477"/>
      <c r="F756" s="477"/>
      <c r="G756" s="642"/>
      <c r="H756" s="642"/>
    </row>
    <row r="757" spans="5:8">
      <c r="E757" s="477"/>
      <c r="F757" s="477"/>
      <c r="G757" s="642"/>
      <c r="H757" s="642"/>
    </row>
    <row r="758" spans="5:8">
      <c r="E758" s="477"/>
      <c r="F758" s="477"/>
      <c r="G758" s="642"/>
      <c r="H758" s="642"/>
    </row>
    <row r="759" spans="5:8">
      <c r="E759" s="477"/>
      <c r="F759" s="477"/>
      <c r="G759" s="642"/>
      <c r="H759" s="642"/>
    </row>
    <row r="760" spans="5:8">
      <c r="E760" s="477"/>
      <c r="F760" s="477"/>
      <c r="G760" s="642"/>
      <c r="H760" s="642"/>
    </row>
    <row r="761" spans="5:8">
      <c r="E761" s="477"/>
      <c r="F761" s="477"/>
      <c r="G761" s="642"/>
      <c r="H761" s="642"/>
    </row>
    <row r="762" spans="5:8">
      <c r="E762" s="477"/>
      <c r="F762" s="477"/>
      <c r="G762" s="642"/>
      <c r="H762" s="642"/>
    </row>
    <row r="763" spans="5:8">
      <c r="E763" s="477"/>
      <c r="F763" s="477"/>
      <c r="G763" s="642"/>
      <c r="H763" s="642"/>
    </row>
    <row r="764" spans="5:8">
      <c r="E764" s="477"/>
      <c r="F764" s="477"/>
      <c r="G764" s="642"/>
      <c r="H764" s="642"/>
    </row>
    <row r="765" spans="5:8">
      <c r="E765" s="477"/>
      <c r="F765" s="477"/>
      <c r="G765" s="642"/>
      <c r="H765" s="642"/>
    </row>
    <row r="766" spans="5:8">
      <c r="E766" s="477"/>
      <c r="F766" s="477"/>
      <c r="G766" s="642"/>
      <c r="H766" s="642"/>
    </row>
    <row r="767" spans="5:8">
      <c r="E767" s="477"/>
      <c r="F767" s="477"/>
      <c r="G767" s="642"/>
      <c r="H767" s="642"/>
    </row>
    <row r="768" spans="5:8">
      <c r="E768" s="477"/>
      <c r="F768" s="477"/>
      <c r="G768" s="642"/>
      <c r="H768" s="642"/>
    </row>
    <row r="769" spans="5:8">
      <c r="E769" s="477"/>
      <c r="F769" s="477"/>
      <c r="G769" s="642"/>
      <c r="H769" s="642"/>
    </row>
    <row r="770" spans="5:8">
      <c r="E770" s="477"/>
      <c r="F770" s="477"/>
      <c r="G770" s="642"/>
      <c r="H770" s="642"/>
    </row>
    <row r="771" spans="5:8">
      <c r="E771" s="477"/>
      <c r="F771" s="477"/>
      <c r="G771" s="642"/>
      <c r="H771" s="642"/>
    </row>
    <row r="772" spans="5:8">
      <c r="E772" s="477"/>
      <c r="F772" s="477"/>
      <c r="G772" s="642"/>
      <c r="H772" s="642"/>
    </row>
    <row r="773" spans="5:8">
      <c r="E773" s="477"/>
      <c r="F773" s="477"/>
      <c r="G773" s="642"/>
      <c r="H773" s="642"/>
    </row>
    <row r="774" spans="5:8">
      <c r="E774" s="477"/>
      <c r="F774" s="477"/>
      <c r="G774" s="642"/>
      <c r="H774" s="642"/>
    </row>
    <row r="775" spans="5:8">
      <c r="E775" s="477"/>
      <c r="F775" s="477"/>
      <c r="G775" s="642"/>
      <c r="H775" s="642"/>
    </row>
    <row r="776" spans="5:8">
      <c r="E776" s="477"/>
      <c r="F776" s="477"/>
      <c r="G776" s="642"/>
      <c r="H776" s="642"/>
    </row>
    <row r="777" spans="5:8">
      <c r="E777" s="477"/>
      <c r="F777" s="477"/>
      <c r="G777" s="642"/>
      <c r="H777" s="642"/>
    </row>
    <row r="778" spans="5:8">
      <c r="E778" s="477"/>
      <c r="F778" s="477"/>
      <c r="G778" s="642"/>
      <c r="H778" s="642"/>
    </row>
    <row r="779" spans="5:8">
      <c r="E779" s="477"/>
      <c r="F779" s="477"/>
      <c r="G779" s="642"/>
      <c r="H779" s="642"/>
    </row>
    <row r="780" spans="5:8">
      <c r="E780" s="477"/>
      <c r="F780" s="477"/>
      <c r="G780" s="642"/>
      <c r="H780" s="642"/>
    </row>
    <row r="781" spans="5:8">
      <c r="E781" s="477"/>
      <c r="F781" s="477"/>
      <c r="G781" s="642"/>
      <c r="H781" s="642"/>
    </row>
    <row r="782" spans="5:8">
      <c r="E782" s="477"/>
      <c r="F782" s="477"/>
      <c r="G782" s="642"/>
      <c r="H782" s="642"/>
    </row>
    <row r="783" spans="5:8">
      <c r="E783" s="477"/>
      <c r="F783" s="477"/>
      <c r="G783" s="642"/>
      <c r="H783" s="642"/>
    </row>
    <row r="784" spans="5:8">
      <c r="E784" s="477"/>
      <c r="F784" s="477"/>
      <c r="G784" s="642"/>
      <c r="H784" s="642"/>
    </row>
    <row r="785" spans="5:8">
      <c r="E785" s="477"/>
      <c r="F785" s="477"/>
      <c r="G785" s="642"/>
      <c r="H785" s="642"/>
    </row>
    <row r="786" spans="5:8">
      <c r="E786" s="477"/>
      <c r="F786" s="477"/>
      <c r="G786" s="642"/>
      <c r="H786" s="642"/>
    </row>
    <row r="787" spans="5:8">
      <c r="E787" s="477"/>
      <c r="F787" s="477"/>
      <c r="G787" s="642"/>
      <c r="H787" s="642"/>
    </row>
    <row r="788" spans="5:8">
      <c r="E788" s="477"/>
      <c r="F788" s="477"/>
      <c r="G788" s="642"/>
      <c r="H788" s="642"/>
    </row>
    <row r="789" spans="5:8">
      <c r="E789" s="477"/>
      <c r="F789" s="477"/>
      <c r="G789" s="642"/>
      <c r="H789" s="642"/>
    </row>
    <row r="790" spans="5:8">
      <c r="E790" s="477"/>
      <c r="F790" s="477"/>
      <c r="G790" s="642"/>
      <c r="H790" s="642"/>
    </row>
    <row r="791" spans="5:8">
      <c r="E791" s="477"/>
      <c r="F791" s="477"/>
      <c r="G791" s="642"/>
      <c r="H791" s="642"/>
    </row>
    <row r="792" spans="5:8">
      <c r="E792" s="477"/>
      <c r="F792" s="477"/>
      <c r="G792" s="642"/>
      <c r="H792" s="642"/>
    </row>
    <row r="793" spans="5:8">
      <c r="E793" s="477"/>
      <c r="F793" s="477"/>
      <c r="G793" s="642"/>
      <c r="H793" s="642"/>
    </row>
    <row r="794" spans="5:8">
      <c r="E794" s="477"/>
      <c r="F794" s="477"/>
      <c r="G794" s="642"/>
      <c r="H794" s="642"/>
    </row>
    <row r="795" spans="5:8">
      <c r="E795" s="477"/>
      <c r="F795" s="477"/>
      <c r="G795" s="642"/>
      <c r="H795" s="642"/>
    </row>
    <row r="796" spans="5:8">
      <c r="E796" s="477"/>
      <c r="F796" s="477"/>
      <c r="G796" s="642"/>
      <c r="H796" s="642"/>
    </row>
    <row r="797" spans="5:8">
      <c r="E797" s="477"/>
      <c r="F797" s="477"/>
      <c r="G797" s="642"/>
      <c r="H797" s="642"/>
    </row>
    <row r="798" spans="5:8">
      <c r="E798" s="477"/>
      <c r="F798" s="477"/>
      <c r="G798" s="642"/>
      <c r="H798" s="642"/>
    </row>
    <row r="799" spans="5:8">
      <c r="E799" s="477"/>
      <c r="F799" s="477"/>
      <c r="G799" s="642"/>
      <c r="H799" s="642"/>
    </row>
    <row r="800" spans="5:8">
      <c r="E800" s="477"/>
      <c r="F800" s="477"/>
      <c r="G800" s="642"/>
      <c r="H800" s="642"/>
    </row>
    <row r="801" spans="5:8">
      <c r="E801" s="477"/>
      <c r="F801" s="477"/>
      <c r="G801" s="642"/>
      <c r="H801" s="642"/>
    </row>
    <row r="802" spans="5:8">
      <c r="E802" s="477"/>
      <c r="F802" s="477"/>
      <c r="G802" s="642"/>
      <c r="H802" s="642"/>
    </row>
    <row r="803" spans="5:8">
      <c r="E803" s="477"/>
      <c r="F803" s="477"/>
      <c r="G803" s="642"/>
      <c r="H803" s="642"/>
    </row>
    <row r="804" spans="5:8">
      <c r="E804" s="477"/>
      <c r="F804" s="477"/>
      <c r="G804" s="642"/>
      <c r="H804" s="642"/>
    </row>
    <row r="805" spans="5:8">
      <c r="E805" s="477"/>
      <c r="F805" s="477"/>
      <c r="G805" s="642"/>
      <c r="H805" s="642"/>
    </row>
    <row r="806" spans="5:8">
      <c r="E806" s="477"/>
      <c r="F806" s="477"/>
      <c r="G806" s="642"/>
      <c r="H806" s="642"/>
    </row>
    <row r="807" spans="5:8">
      <c r="E807" s="477"/>
      <c r="F807" s="477"/>
      <c r="G807" s="642"/>
      <c r="H807" s="642"/>
    </row>
    <row r="808" spans="5:8">
      <c r="E808" s="477"/>
      <c r="F808" s="477"/>
      <c r="G808" s="642"/>
      <c r="H808" s="642"/>
    </row>
    <row r="809" spans="5:8">
      <c r="E809" s="477"/>
      <c r="F809" s="477"/>
      <c r="G809" s="642"/>
      <c r="H809" s="642"/>
    </row>
    <row r="810" spans="5:8">
      <c r="E810" s="477"/>
      <c r="F810" s="477"/>
      <c r="G810" s="642"/>
      <c r="H810" s="642"/>
    </row>
    <row r="811" spans="5:8">
      <c r="E811" s="477"/>
      <c r="F811" s="477"/>
      <c r="G811" s="642"/>
      <c r="H811" s="642"/>
    </row>
    <row r="812" spans="5:8">
      <c r="E812" s="477"/>
      <c r="F812" s="477"/>
      <c r="G812" s="642"/>
      <c r="H812" s="642"/>
    </row>
    <row r="813" spans="5:8">
      <c r="E813" s="477"/>
      <c r="F813" s="477"/>
      <c r="G813" s="642"/>
      <c r="H813" s="642"/>
    </row>
    <row r="814" spans="5:8">
      <c r="E814" s="477"/>
      <c r="F814" s="477"/>
      <c r="G814" s="642"/>
      <c r="H814" s="642"/>
    </row>
    <row r="815" spans="5:8">
      <c r="E815" s="477"/>
      <c r="F815" s="477"/>
      <c r="G815" s="642"/>
      <c r="H815" s="642"/>
    </row>
    <row r="816" spans="5:8">
      <c r="E816" s="477"/>
      <c r="F816" s="477"/>
      <c r="G816" s="642"/>
      <c r="H816" s="642"/>
    </row>
    <row r="817" spans="5:8">
      <c r="E817" s="477"/>
      <c r="F817" s="477"/>
      <c r="G817" s="642"/>
      <c r="H817" s="642"/>
    </row>
    <row r="818" spans="5:8">
      <c r="E818" s="477"/>
      <c r="F818" s="477"/>
      <c r="G818" s="642"/>
      <c r="H818" s="642"/>
    </row>
    <row r="819" spans="5:8">
      <c r="E819" s="477"/>
      <c r="F819" s="477"/>
      <c r="G819" s="642"/>
      <c r="H819" s="642"/>
    </row>
    <row r="820" spans="5:8">
      <c r="E820" s="477"/>
      <c r="F820" s="477"/>
      <c r="G820" s="642"/>
      <c r="H820" s="642"/>
    </row>
    <row r="821" spans="5:8">
      <c r="E821" s="477"/>
      <c r="F821" s="477"/>
      <c r="G821" s="642"/>
      <c r="H821" s="642"/>
    </row>
    <row r="822" spans="5:8">
      <c r="E822" s="477"/>
      <c r="F822" s="477"/>
      <c r="G822" s="642"/>
      <c r="H822" s="642"/>
    </row>
    <row r="823" spans="5:8">
      <c r="E823" s="477"/>
      <c r="F823" s="477"/>
      <c r="G823" s="642"/>
      <c r="H823" s="642"/>
    </row>
    <row r="824" spans="5:8">
      <c r="E824" s="477"/>
      <c r="F824" s="477"/>
      <c r="G824" s="642"/>
      <c r="H824" s="642"/>
    </row>
    <row r="825" spans="5:8">
      <c r="E825" s="477"/>
      <c r="F825" s="477"/>
      <c r="G825" s="642"/>
      <c r="H825" s="642"/>
    </row>
    <row r="826" spans="5:8">
      <c r="E826" s="477"/>
      <c r="F826" s="477"/>
      <c r="G826" s="642"/>
      <c r="H826" s="642"/>
    </row>
    <row r="827" spans="5:8">
      <c r="E827" s="477"/>
      <c r="F827" s="477"/>
      <c r="G827" s="642"/>
      <c r="H827" s="642"/>
    </row>
    <row r="828" spans="5:8">
      <c r="E828" s="477"/>
      <c r="F828" s="477"/>
      <c r="G828" s="642"/>
      <c r="H828" s="642"/>
    </row>
    <row r="829" spans="5:8">
      <c r="E829" s="477"/>
      <c r="F829" s="477"/>
      <c r="G829" s="642"/>
      <c r="H829" s="642"/>
    </row>
    <row r="830" spans="5:8">
      <c r="E830" s="477"/>
      <c r="F830" s="477"/>
      <c r="G830" s="642"/>
      <c r="H830" s="642"/>
    </row>
    <row r="831" spans="5:8">
      <c r="E831" s="477"/>
      <c r="F831" s="477"/>
      <c r="G831" s="642"/>
      <c r="H831" s="642"/>
    </row>
    <row r="832" spans="5:8">
      <c r="E832" s="477"/>
      <c r="F832" s="477"/>
      <c r="G832" s="642"/>
      <c r="H832" s="642"/>
    </row>
    <row r="833" spans="5:8">
      <c r="E833" s="477"/>
      <c r="F833" s="477"/>
      <c r="G833" s="642"/>
      <c r="H833" s="642"/>
    </row>
    <row r="834" spans="5:8">
      <c r="E834" s="477"/>
      <c r="F834" s="477"/>
      <c r="G834" s="642"/>
      <c r="H834" s="642"/>
    </row>
    <row r="835" spans="5:8">
      <c r="E835" s="477"/>
      <c r="F835" s="477"/>
      <c r="G835" s="642"/>
      <c r="H835" s="642"/>
    </row>
    <row r="836" spans="5:8">
      <c r="E836" s="477"/>
      <c r="F836" s="477"/>
      <c r="G836" s="642"/>
      <c r="H836" s="642"/>
    </row>
    <row r="837" spans="5:8">
      <c r="E837" s="477"/>
      <c r="F837" s="477"/>
      <c r="G837" s="642"/>
      <c r="H837" s="642"/>
    </row>
    <row r="838" spans="5:8">
      <c r="E838" s="477"/>
      <c r="F838" s="477"/>
      <c r="G838" s="642"/>
      <c r="H838" s="642"/>
    </row>
    <row r="839" spans="5:8">
      <c r="E839" s="477"/>
      <c r="F839" s="477"/>
      <c r="G839" s="642"/>
      <c r="H839" s="642"/>
    </row>
    <row r="840" spans="5:8">
      <c r="E840" s="477"/>
      <c r="F840" s="477"/>
      <c r="G840" s="642"/>
      <c r="H840" s="642"/>
    </row>
    <row r="841" spans="5:8">
      <c r="E841" s="477"/>
      <c r="F841" s="477"/>
      <c r="G841" s="642"/>
      <c r="H841" s="642"/>
    </row>
    <row r="842" spans="5:8">
      <c r="E842" s="477"/>
      <c r="F842" s="477"/>
      <c r="G842" s="642"/>
      <c r="H842" s="642"/>
    </row>
    <row r="843" spans="5:8">
      <c r="E843" s="477"/>
      <c r="F843" s="477"/>
      <c r="G843" s="642"/>
      <c r="H843" s="642"/>
    </row>
    <row r="844" spans="5:8">
      <c r="E844" s="477"/>
      <c r="F844" s="477"/>
      <c r="G844" s="642"/>
      <c r="H844" s="642"/>
    </row>
    <row r="845" spans="5:8">
      <c r="E845" s="477"/>
      <c r="F845" s="477"/>
      <c r="G845" s="642"/>
      <c r="H845" s="642"/>
    </row>
    <row r="846" spans="5:8">
      <c r="E846" s="477"/>
      <c r="F846" s="477"/>
      <c r="G846" s="642"/>
      <c r="H846" s="642"/>
    </row>
    <row r="847" spans="5:8">
      <c r="E847" s="477"/>
      <c r="F847" s="477"/>
      <c r="G847" s="642"/>
      <c r="H847" s="642"/>
    </row>
    <row r="848" spans="5:8">
      <c r="E848" s="477"/>
      <c r="F848" s="477"/>
      <c r="G848" s="642"/>
      <c r="H848" s="642"/>
    </row>
    <row r="849" spans="5:8">
      <c r="E849" s="477"/>
      <c r="F849" s="477"/>
      <c r="G849" s="642"/>
      <c r="H849" s="642"/>
    </row>
    <row r="850" spans="5:8">
      <c r="E850" s="477"/>
      <c r="F850" s="477"/>
      <c r="G850" s="642"/>
      <c r="H850" s="642"/>
    </row>
    <row r="851" spans="5:8">
      <c r="E851" s="477"/>
      <c r="F851" s="477"/>
      <c r="G851" s="642"/>
      <c r="H851" s="642"/>
    </row>
    <row r="852" spans="5:8">
      <c r="E852" s="477"/>
      <c r="F852" s="477"/>
      <c r="G852" s="642"/>
      <c r="H852" s="642"/>
    </row>
    <row r="853" spans="5:8">
      <c r="E853" s="477"/>
      <c r="F853" s="477"/>
      <c r="G853" s="642"/>
      <c r="H853" s="642"/>
    </row>
    <row r="854" spans="5:8">
      <c r="E854" s="477"/>
      <c r="F854" s="477"/>
      <c r="G854" s="642"/>
      <c r="H854" s="642"/>
    </row>
    <row r="855" spans="5:8">
      <c r="E855" s="477"/>
      <c r="F855" s="477"/>
      <c r="G855" s="642"/>
      <c r="H855" s="642"/>
    </row>
    <row r="856" spans="5:8">
      <c r="E856" s="477"/>
      <c r="F856" s="477"/>
      <c r="G856" s="642"/>
      <c r="H856" s="642"/>
    </row>
    <row r="857" spans="5:8">
      <c r="E857" s="477"/>
      <c r="F857" s="477"/>
      <c r="G857" s="642"/>
      <c r="H857" s="642"/>
    </row>
    <row r="858" spans="5:8">
      <c r="E858" s="477"/>
      <c r="F858" s="477"/>
      <c r="G858" s="642"/>
      <c r="H858" s="642"/>
    </row>
    <row r="859" spans="5:8">
      <c r="E859" s="477"/>
      <c r="F859" s="477"/>
      <c r="G859" s="642"/>
      <c r="H859" s="642"/>
    </row>
    <row r="860" spans="5:8">
      <c r="E860" s="477"/>
      <c r="F860" s="477"/>
      <c r="G860" s="642"/>
      <c r="H860" s="642"/>
    </row>
    <row r="861" spans="5:8">
      <c r="E861" s="477"/>
      <c r="F861" s="477"/>
      <c r="G861" s="642"/>
      <c r="H861" s="642"/>
    </row>
    <row r="862" spans="5:8">
      <c r="E862" s="477"/>
      <c r="F862" s="477"/>
      <c r="G862" s="642"/>
      <c r="H862" s="642"/>
    </row>
    <row r="863" spans="5:8">
      <c r="E863" s="477"/>
      <c r="F863" s="477"/>
      <c r="G863" s="642"/>
      <c r="H863" s="642"/>
    </row>
    <row r="864" spans="5:8">
      <c r="E864" s="477"/>
      <c r="F864" s="477"/>
      <c r="G864" s="642"/>
      <c r="H864" s="642"/>
    </row>
    <row r="865" spans="5:8">
      <c r="E865" s="477"/>
      <c r="F865" s="477"/>
      <c r="G865" s="642"/>
      <c r="H865" s="642"/>
    </row>
    <row r="866" spans="5:8">
      <c r="E866" s="477"/>
      <c r="F866" s="477"/>
      <c r="G866" s="642"/>
      <c r="H866" s="642"/>
    </row>
    <row r="867" spans="5:8">
      <c r="E867" s="477"/>
      <c r="F867" s="477"/>
      <c r="G867" s="642"/>
      <c r="H867" s="642"/>
    </row>
    <row r="868" spans="5:8">
      <c r="E868" s="477"/>
      <c r="F868" s="477"/>
      <c r="G868" s="642"/>
      <c r="H868" s="642"/>
    </row>
    <row r="869" spans="5:8">
      <c r="E869" s="477"/>
      <c r="F869" s="477"/>
      <c r="G869" s="642"/>
      <c r="H869" s="642"/>
    </row>
    <row r="870" spans="5:8">
      <c r="E870" s="477"/>
      <c r="F870" s="477"/>
      <c r="G870" s="642"/>
      <c r="H870" s="642"/>
    </row>
    <row r="871" spans="5:8">
      <c r="E871" s="477"/>
      <c r="F871" s="477"/>
      <c r="G871" s="642"/>
      <c r="H871" s="642"/>
    </row>
    <row r="872" spans="5:8">
      <c r="E872" s="477"/>
      <c r="F872" s="477"/>
      <c r="G872" s="642"/>
      <c r="H872" s="642"/>
    </row>
    <row r="873" spans="5:8">
      <c r="E873" s="477"/>
      <c r="F873" s="477"/>
      <c r="G873" s="642"/>
      <c r="H873" s="642"/>
    </row>
    <row r="874" spans="5:8">
      <c r="E874" s="477"/>
      <c r="F874" s="477"/>
      <c r="G874" s="642"/>
      <c r="H874" s="642"/>
    </row>
    <row r="875" spans="5:8">
      <c r="E875" s="477"/>
      <c r="F875" s="477"/>
      <c r="G875" s="642"/>
      <c r="H875" s="642"/>
    </row>
    <row r="876" spans="5:8">
      <c r="E876" s="477"/>
      <c r="F876" s="477"/>
      <c r="G876" s="642"/>
      <c r="H876" s="642"/>
    </row>
    <row r="877" spans="5:8">
      <c r="E877" s="477"/>
      <c r="F877" s="477"/>
      <c r="G877" s="642"/>
      <c r="H877" s="642"/>
    </row>
    <row r="878" spans="5:8">
      <c r="E878" s="477"/>
      <c r="F878" s="477"/>
      <c r="G878" s="642"/>
      <c r="H878" s="642"/>
    </row>
    <row r="879" spans="5:8">
      <c r="E879" s="477"/>
      <c r="F879" s="477"/>
      <c r="G879" s="642"/>
      <c r="H879" s="642"/>
    </row>
    <row r="880" spans="5:8">
      <c r="E880" s="477"/>
      <c r="F880" s="477"/>
      <c r="G880" s="642"/>
      <c r="H880" s="642"/>
    </row>
    <row r="881" spans="5:8">
      <c r="E881" s="477"/>
      <c r="F881" s="477"/>
      <c r="G881" s="642"/>
      <c r="H881" s="642"/>
    </row>
    <row r="882" spans="5:8">
      <c r="E882" s="477"/>
      <c r="F882" s="477"/>
      <c r="G882" s="642"/>
      <c r="H882" s="642"/>
    </row>
    <row r="883" spans="5:8">
      <c r="E883" s="477"/>
      <c r="F883" s="477"/>
      <c r="G883" s="642"/>
      <c r="H883" s="642"/>
    </row>
    <row r="884" spans="5:8">
      <c r="E884" s="477"/>
      <c r="F884" s="477"/>
      <c r="G884" s="642"/>
      <c r="H884" s="642"/>
    </row>
    <row r="885" spans="5:8">
      <c r="E885" s="477"/>
      <c r="F885" s="477"/>
      <c r="G885" s="642"/>
      <c r="H885" s="642"/>
    </row>
    <row r="886" spans="5:8">
      <c r="E886" s="477"/>
      <c r="F886" s="477"/>
      <c r="G886" s="642"/>
      <c r="H886" s="642"/>
    </row>
    <row r="887" spans="5:8">
      <c r="E887" s="477"/>
      <c r="F887" s="477"/>
      <c r="G887" s="642"/>
      <c r="H887" s="642"/>
    </row>
    <row r="888" spans="5:8">
      <c r="E888" s="477"/>
      <c r="F888" s="477"/>
      <c r="G888" s="642"/>
      <c r="H888" s="642"/>
    </row>
    <row r="889" spans="5:8">
      <c r="E889" s="477"/>
      <c r="F889" s="477"/>
      <c r="G889" s="642"/>
      <c r="H889" s="642"/>
    </row>
    <row r="890" spans="5:8">
      <c r="E890" s="477"/>
      <c r="F890" s="477"/>
      <c r="G890" s="642"/>
      <c r="H890" s="642"/>
    </row>
    <row r="891" spans="5:8">
      <c r="E891" s="477"/>
      <c r="F891" s="477"/>
      <c r="G891" s="642"/>
      <c r="H891" s="642"/>
    </row>
    <row r="892" spans="5:8">
      <c r="E892" s="477"/>
      <c r="F892" s="477"/>
      <c r="G892" s="642"/>
      <c r="H892" s="642"/>
    </row>
    <row r="893" spans="5:8">
      <c r="E893" s="477"/>
      <c r="F893" s="477"/>
      <c r="G893" s="642"/>
      <c r="H893" s="642"/>
    </row>
    <row r="894" spans="5:8">
      <c r="E894" s="477"/>
      <c r="F894" s="477"/>
      <c r="G894" s="642"/>
      <c r="H894" s="642"/>
    </row>
    <row r="895" spans="5:8">
      <c r="E895" s="477"/>
      <c r="F895" s="477"/>
      <c r="G895" s="642"/>
      <c r="H895" s="642"/>
    </row>
    <row r="896" spans="5:8">
      <c r="E896" s="477"/>
      <c r="F896" s="477"/>
      <c r="G896" s="642"/>
      <c r="H896" s="642"/>
    </row>
    <row r="897" spans="5:8">
      <c r="E897" s="477"/>
      <c r="F897" s="477"/>
      <c r="G897" s="642"/>
      <c r="H897" s="642"/>
    </row>
    <row r="898" spans="5:8">
      <c r="E898" s="477"/>
      <c r="F898" s="477"/>
      <c r="G898" s="642"/>
      <c r="H898" s="642"/>
    </row>
    <row r="899" spans="5:8">
      <c r="E899" s="477"/>
      <c r="F899" s="477"/>
      <c r="G899" s="642"/>
      <c r="H899" s="642"/>
    </row>
    <row r="900" spans="5:8">
      <c r="E900" s="477"/>
      <c r="F900" s="477"/>
      <c r="G900" s="642"/>
      <c r="H900" s="642"/>
    </row>
    <row r="901" spans="5:8">
      <c r="E901" s="477"/>
      <c r="F901" s="477"/>
      <c r="G901" s="642"/>
      <c r="H901" s="642"/>
    </row>
    <row r="902" spans="5:8">
      <c r="E902" s="477"/>
      <c r="F902" s="477"/>
      <c r="G902" s="642"/>
      <c r="H902" s="642"/>
    </row>
    <row r="903" spans="5:8">
      <c r="E903" s="477"/>
      <c r="F903" s="477"/>
      <c r="G903" s="642"/>
      <c r="H903" s="642"/>
    </row>
    <row r="904" spans="5:8">
      <c r="E904" s="477"/>
      <c r="F904" s="477"/>
      <c r="G904" s="642"/>
      <c r="H904" s="642"/>
    </row>
    <row r="905" spans="5:8">
      <c r="E905" s="477"/>
      <c r="F905" s="477"/>
      <c r="G905" s="642"/>
      <c r="H905" s="642"/>
    </row>
    <row r="906" spans="5:8">
      <c r="E906" s="477"/>
      <c r="F906" s="477"/>
      <c r="G906" s="642"/>
      <c r="H906" s="642"/>
    </row>
    <row r="907" spans="5:8">
      <c r="E907" s="477"/>
      <c r="F907" s="477"/>
      <c r="G907" s="642"/>
      <c r="H907" s="642"/>
    </row>
    <row r="908" spans="5:8">
      <c r="E908" s="477"/>
      <c r="F908" s="477"/>
      <c r="G908" s="642"/>
      <c r="H908" s="642"/>
    </row>
    <row r="909" spans="5:8">
      <c r="E909" s="477"/>
      <c r="F909" s="477"/>
      <c r="G909" s="642"/>
      <c r="H909" s="642"/>
    </row>
    <row r="910" spans="5:8">
      <c r="E910" s="477"/>
      <c r="F910" s="477"/>
      <c r="G910" s="642"/>
      <c r="H910" s="642"/>
    </row>
    <row r="911" spans="5:8">
      <c r="E911" s="477"/>
      <c r="F911" s="477"/>
      <c r="G911" s="642"/>
      <c r="H911" s="642"/>
    </row>
    <row r="912" spans="5:8">
      <c r="E912" s="477"/>
      <c r="F912" s="477"/>
      <c r="G912" s="642"/>
      <c r="H912" s="642"/>
    </row>
    <row r="913" spans="5:8">
      <c r="E913" s="477"/>
      <c r="F913" s="477"/>
      <c r="G913" s="642"/>
      <c r="H913" s="642"/>
    </row>
    <row r="914" spans="5:8">
      <c r="E914" s="477"/>
      <c r="F914" s="477"/>
      <c r="G914" s="642"/>
      <c r="H914" s="642"/>
    </row>
    <row r="915" spans="5:8">
      <c r="E915" s="477"/>
      <c r="F915" s="477"/>
      <c r="G915" s="642"/>
      <c r="H915" s="642"/>
    </row>
    <row r="916" spans="5:8">
      <c r="E916" s="477"/>
      <c r="F916" s="477"/>
      <c r="G916" s="642"/>
      <c r="H916" s="642"/>
    </row>
    <row r="917" spans="5:8">
      <c r="E917" s="477"/>
      <c r="F917" s="477"/>
      <c r="G917" s="642"/>
      <c r="H917" s="642"/>
    </row>
    <row r="918" spans="5:8">
      <c r="E918" s="477"/>
      <c r="F918" s="477"/>
      <c r="G918" s="642"/>
      <c r="H918" s="642"/>
    </row>
    <row r="919" spans="5:8">
      <c r="E919" s="477"/>
      <c r="F919" s="477"/>
      <c r="G919" s="642"/>
      <c r="H919" s="642"/>
    </row>
    <row r="920" spans="5:8">
      <c r="E920" s="477"/>
      <c r="F920" s="477"/>
      <c r="G920" s="642"/>
      <c r="H920" s="642"/>
    </row>
    <row r="921" spans="5:8">
      <c r="E921" s="477"/>
      <c r="F921" s="477"/>
      <c r="G921" s="642"/>
      <c r="H921" s="642"/>
    </row>
    <row r="922" spans="5:8">
      <c r="E922" s="477"/>
      <c r="F922" s="477"/>
      <c r="G922" s="642"/>
      <c r="H922" s="642"/>
    </row>
    <row r="923" spans="5:8">
      <c r="E923" s="477"/>
      <c r="F923" s="477"/>
      <c r="G923" s="642"/>
      <c r="H923" s="642"/>
    </row>
    <row r="924" spans="5:8">
      <c r="E924" s="477"/>
      <c r="F924" s="477"/>
      <c r="G924" s="642"/>
      <c r="H924" s="642"/>
    </row>
    <row r="925" spans="5:8">
      <c r="E925" s="477"/>
      <c r="F925" s="477"/>
      <c r="G925" s="642"/>
      <c r="H925" s="642"/>
    </row>
    <row r="926" spans="5:8">
      <c r="E926" s="477"/>
      <c r="F926" s="477"/>
      <c r="G926" s="642"/>
      <c r="H926" s="642"/>
    </row>
    <row r="927" spans="5:8">
      <c r="E927" s="477"/>
      <c r="F927" s="477"/>
      <c r="G927" s="642"/>
      <c r="H927" s="642"/>
    </row>
    <row r="928" spans="5:8">
      <c r="E928" s="477"/>
      <c r="F928" s="477"/>
      <c r="G928" s="642"/>
      <c r="H928" s="642"/>
    </row>
    <row r="929" spans="5:8">
      <c r="E929" s="477"/>
      <c r="F929" s="477"/>
      <c r="G929" s="642"/>
      <c r="H929" s="642"/>
    </row>
    <row r="930" spans="5:8">
      <c r="E930" s="477"/>
      <c r="F930" s="477"/>
      <c r="G930" s="642"/>
      <c r="H930" s="642"/>
    </row>
    <row r="931" spans="5:8">
      <c r="E931" s="477"/>
      <c r="F931" s="477"/>
      <c r="G931" s="642"/>
      <c r="H931" s="642"/>
    </row>
    <row r="932" spans="5:8">
      <c r="E932" s="477"/>
      <c r="F932" s="477"/>
      <c r="G932" s="642"/>
      <c r="H932" s="642"/>
    </row>
    <row r="933" spans="5:8">
      <c r="E933" s="477"/>
      <c r="F933" s="477"/>
      <c r="G933" s="642"/>
      <c r="H933" s="642"/>
    </row>
    <row r="934" spans="5:8">
      <c r="E934" s="477"/>
      <c r="F934" s="477"/>
      <c r="G934" s="642"/>
      <c r="H934" s="642"/>
    </row>
    <row r="935" spans="5:8">
      <c r="E935" s="477"/>
      <c r="F935" s="477"/>
      <c r="G935" s="642"/>
      <c r="H935" s="642"/>
    </row>
    <row r="936" spans="5:8">
      <c r="E936" s="477"/>
      <c r="F936" s="477"/>
      <c r="G936" s="642"/>
      <c r="H936" s="642"/>
    </row>
    <row r="937" spans="5:8">
      <c r="E937" s="477"/>
      <c r="F937" s="477"/>
      <c r="G937" s="642"/>
      <c r="H937" s="642"/>
    </row>
    <row r="938" spans="5:8">
      <c r="E938" s="477"/>
      <c r="F938" s="477"/>
      <c r="G938" s="642"/>
      <c r="H938" s="642"/>
    </row>
    <row r="939" spans="5:8">
      <c r="E939" s="477"/>
      <c r="F939" s="477"/>
      <c r="G939" s="642"/>
      <c r="H939" s="642"/>
    </row>
    <row r="940" spans="5:8">
      <c r="E940" s="477"/>
      <c r="F940" s="477"/>
      <c r="G940" s="642"/>
      <c r="H940" s="642"/>
    </row>
    <row r="941" spans="5:8">
      <c r="E941" s="477"/>
      <c r="F941" s="477"/>
      <c r="G941" s="642"/>
      <c r="H941" s="642"/>
    </row>
    <row r="942" spans="5:8">
      <c r="E942" s="477"/>
      <c r="F942" s="477"/>
      <c r="G942" s="642"/>
      <c r="H942" s="642"/>
    </row>
    <row r="943" spans="5:8">
      <c r="E943" s="477"/>
      <c r="F943" s="477"/>
      <c r="G943" s="642"/>
      <c r="H943" s="642"/>
    </row>
    <row r="944" spans="5:8">
      <c r="E944" s="477"/>
      <c r="F944" s="477"/>
      <c r="G944" s="642"/>
      <c r="H944" s="642"/>
    </row>
    <row r="945" spans="5:8">
      <c r="E945" s="477"/>
      <c r="F945" s="477"/>
      <c r="G945" s="642"/>
      <c r="H945" s="642"/>
    </row>
    <row r="946" spans="5:8">
      <c r="E946" s="477"/>
      <c r="F946" s="477"/>
      <c r="G946" s="642"/>
      <c r="H946" s="642"/>
    </row>
    <row r="947" spans="5:8">
      <c r="E947" s="477"/>
      <c r="F947" s="477"/>
      <c r="G947" s="642"/>
      <c r="H947" s="642"/>
    </row>
    <row r="948" spans="5:8">
      <c r="E948" s="477"/>
      <c r="F948" s="477"/>
      <c r="G948" s="642"/>
      <c r="H948" s="642"/>
    </row>
    <row r="949" spans="5:8">
      <c r="E949" s="477"/>
      <c r="F949" s="477"/>
      <c r="G949" s="642"/>
      <c r="H949" s="642"/>
    </row>
    <row r="950" spans="5:8">
      <c r="E950" s="477"/>
      <c r="F950" s="477"/>
      <c r="G950" s="642"/>
      <c r="H950" s="642"/>
    </row>
    <row r="951" spans="5:8">
      <c r="E951" s="477"/>
      <c r="F951" s="477"/>
      <c r="G951" s="642"/>
      <c r="H951" s="642"/>
    </row>
    <row r="952" spans="5:8">
      <c r="E952" s="477"/>
      <c r="F952" s="477"/>
      <c r="G952" s="642"/>
      <c r="H952" s="642"/>
    </row>
    <row r="953" spans="5:8">
      <c r="E953" s="477"/>
      <c r="F953" s="477"/>
      <c r="G953" s="642"/>
      <c r="H953" s="642"/>
    </row>
    <row r="954" spans="5:8">
      <c r="E954" s="477"/>
      <c r="F954" s="477"/>
      <c r="G954" s="642"/>
      <c r="H954" s="642"/>
    </row>
    <row r="955" spans="5:8">
      <c r="E955" s="477"/>
      <c r="F955" s="477"/>
      <c r="G955" s="642"/>
      <c r="H955" s="642"/>
    </row>
    <row r="956" spans="5:8">
      <c r="E956" s="477"/>
      <c r="F956" s="477"/>
      <c r="G956" s="642"/>
      <c r="H956" s="642"/>
    </row>
    <row r="957" spans="5:8">
      <c r="E957" s="477"/>
      <c r="F957" s="477"/>
      <c r="G957" s="642"/>
      <c r="H957" s="642"/>
    </row>
    <row r="958" spans="5:8">
      <c r="E958" s="477"/>
      <c r="F958" s="477"/>
      <c r="G958" s="642"/>
      <c r="H958" s="642"/>
    </row>
    <row r="959" spans="5:8">
      <c r="E959" s="477"/>
      <c r="F959" s="477"/>
      <c r="G959" s="642"/>
      <c r="H959" s="642"/>
    </row>
    <row r="960" spans="5:8">
      <c r="E960" s="477"/>
      <c r="F960" s="477"/>
      <c r="G960" s="642"/>
      <c r="H960" s="642"/>
    </row>
    <row r="961" spans="5:8">
      <c r="E961" s="477"/>
      <c r="F961" s="477"/>
      <c r="G961" s="642"/>
      <c r="H961" s="642"/>
    </row>
    <row r="962" spans="5:8">
      <c r="E962" s="477"/>
      <c r="F962" s="477"/>
      <c r="G962" s="642"/>
      <c r="H962" s="642"/>
    </row>
    <row r="963" spans="5:8">
      <c r="E963" s="477"/>
      <c r="F963" s="477"/>
      <c r="G963" s="642"/>
      <c r="H963" s="642"/>
    </row>
    <row r="964" spans="5:8">
      <c r="E964" s="477"/>
      <c r="F964" s="477"/>
      <c r="G964" s="642"/>
      <c r="H964" s="642"/>
    </row>
    <row r="965" spans="5:8">
      <c r="E965" s="477"/>
      <c r="F965" s="477"/>
      <c r="G965" s="642"/>
      <c r="H965" s="642"/>
    </row>
    <row r="966" spans="5:8">
      <c r="E966" s="477"/>
      <c r="F966" s="477"/>
      <c r="G966" s="642"/>
      <c r="H966" s="642"/>
    </row>
    <row r="967" spans="5:8">
      <c r="E967" s="477"/>
      <c r="F967" s="477"/>
      <c r="G967" s="642"/>
      <c r="H967" s="642"/>
    </row>
    <row r="968" spans="5:8">
      <c r="E968" s="477"/>
      <c r="F968" s="477"/>
      <c r="G968" s="642"/>
      <c r="H968" s="642"/>
    </row>
    <row r="969" spans="5:8">
      <c r="E969" s="477"/>
      <c r="F969" s="477"/>
      <c r="G969" s="642"/>
      <c r="H969" s="642"/>
    </row>
    <row r="970" spans="5:8">
      <c r="E970" s="477"/>
      <c r="F970" s="477"/>
      <c r="G970" s="642"/>
      <c r="H970" s="642"/>
    </row>
    <row r="971" spans="5:8">
      <c r="E971" s="477"/>
      <c r="F971" s="477"/>
      <c r="G971" s="642"/>
      <c r="H971" s="642"/>
    </row>
    <row r="972" spans="5:8">
      <c r="E972" s="477"/>
      <c r="F972" s="477"/>
      <c r="G972" s="642"/>
      <c r="H972" s="642"/>
    </row>
    <row r="973" spans="5:8">
      <c r="E973" s="477"/>
      <c r="F973" s="477"/>
      <c r="G973" s="642"/>
      <c r="H973" s="642"/>
    </row>
    <row r="974" spans="5:8">
      <c r="E974" s="477"/>
      <c r="F974" s="477"/>
      <c r="G974" s="642"/>
      <c r="H974" s="642"/>
    </row>
    <row r="975" spans="5:8">
      <c r="E975" s="477"/>
      <c r="F975" s="477"/>
      <c r="G975" s="642"/>
      <c r="H975" s="642"/>
    </row>
    <row r="976" spans="5:8">
      <c r="E976" s="477"/>
      <c r="F976" s="477"/>
      <c r="G976" s="642"/>
      <c r="H976" s="642"/>
    </row>
    <row r="977" spans="5:8">
      <c r="E977" s="477"/>
      <c r="F977" s="477"/>
      <c r="G977" s="642"/>
      <c r="H977" s="642"/>
    </row>
    <row r="978" spans="5:8">
      <c r="E978" s="477"/>
      <c r="F978" s="477"/>
      <c r="G978" s="642"/>
      <c r="H978" s="642"/>
    </row>
    <row r="979" spans="5:8">
      <c r="E979" s="477"/>
      <c r="F979" s="477"/>
      <c r="G979" s="642"/>
      <c r="H979" s="642"/>
    </row>
    <row r="980" spans="5:8">
      <c r="E980" s="477"/>
      <c r="F980" s="477"/>
      <c r="G980" s="642"/>
      <c r="H980" s="642"/>
    </row>
    <row r="981" spans="5:8">
      <c r="E981" s="477"/>
      <c r="F981" s="477"/>
      <c r="G981" s="642"/>
      <c r="H981" s="642"/>
    </row>
    <row r="982" spans="5:8">
      <c r="E982" s="477"/>
      <c r="F982" s="477"/>
      <c r="G982" s="642"/>
      <c r="H982" s="642"/>
    </row>
    <row r="983" spans="5:8">
      <c r="E983" s="477"/>
      <c r="F983" s="477"/>
      <c r="G983" s="642"/>
      <c r="H983" s="642"/>
    </row>
    <row r="984" spans="5:8">
      <c r="E984" s="477"/>
      <c r="F984" s="477"/>
      <c r="G984" s="642"/>
      <c r="H984" s="642"/>
    </row>
    <row r="985" spans="5:8">
      <c r="E985" s="477"/>
      <c r="F985" s="477"/>
      <c r="G985" s="642"/>
      <c r="H985" s="642"/>
    </row>
    <row r="986" spans="5:8">
      <c r="E986" s="477"/>
      <c r="F986" s="477"/>
      <c r="G986" s="642"/>
      <c r="H986" s="642"/>
    </row>
    <row r="987" spans="5:8">
      <c r="E987" s="477"/>
      <c r="F987" s="477"/>
      <c r="G987" s="642"/>
      <c r="H987" s="642"/>
    </row>
    <row r="988" spans="5:8">
      <c r="E988" s="477"/>
      <c r="F988" s="477"/>
      <c r="G988" s="642"/>
      <c r="H988" s="642"/>
    </row>
    <row r="989" spans="5:8">
      <c r="E989" s="477"/>
      <c r="F989" s="477"/>
      <c r="G989" s="642"/>
      <c r="H989" s="642"/>
    </row>
    <row r="990" spans="5:8">
      <c r="E990" s="477"/>
      <c r="F990" s="477"/>
      <c r="G990" s="642"/>
      <c r="H990" s="642"/>
    </row>
    <row r="991" spans="5:8">
      <c r="E991" s="477"/>
      <c r="F991" s="477"/>
      <c r="G991" s="642"/>
      <c r="H991" s="642"/>
    </row>
    <row r="992" spans="5:8">
      <c r="E992" s="477"/>
      <c r="F992" s="477"/>
      <c r="G992" s="642"/>
      <c r="H992" s="642"/>
    </row>
    <row r="993" spans="5:8">
      <c r="E993" s="477"/>
      <c r="F993" s="477"/>
      <c r="G993" s="642"/>
      <c r="H993" s="642"/>
    </row>
    <row r="994" spans="5:8">
      <c r="E994" s="477"/>
      <c r="F994" s="477"/>
      <c r="G994" s="642"/>
      <c r="H994" s="642"/>
    </row>
    <row r="995" spans="5:8">
      <c r="E995" s="477"/>
      <c r="F995" s="477"/>
      <c r="G995" s="642"/>
      <c r="H995" s="642"/>
    </row>
    <row r="996" spans="5:8">
      <c r="E996" s="477"/>
      <c r="F996" s="477"/>
      <c r="G996" s="642"/>
      <c r="H996" s="642"/>
    </row>
    <row r="997" spans="5:8">
      <c r="E997" s="477"/>
      <c r="F997" s="477"/>
      <c r="G997" s="642"/>
      <c r="H997" s="642"/>
    </row>
    <row r="998" spans="5:8">
      <c r="E998" s="477"/>
      <c r="F998" s="477"/>
      <c r="G998" s="642"/>
      <c r="H998" s="642"/>
    </row>
    <row r="999" spans="5:8">
      <c r="E999" s="477"/>
      <c r="F999" s="477"/>
      <c r="G999" s="642"/>
      <c r="H999" s="642"/>
    </row>
    <row r="1000" spans="5:8">
      <c r="E1000" s="477"/>
      <c r="F1000" s="477"/>
      <c r="G1000" s="642"/>
      <c r="H1000" s="642"/>
    </row>
    <row r="1001" spans="5:8">
      <c r="E1001" s="477"/>
      <c r="F1001" s="477"/>
      <c r="G1001" s="642"/>
      <c r="H1001" s="642"/>
    </row>
    <row r="1002" spans="5:8">
      <c r="E1002" s="477"/>
      <c r="F1002" s="477"/>
      <c r="G1002" s="642"/>
      <c r="H1002" s="642"/>
    </row>
    <row r="1003" spans="5:8">
      <c r="E1003" s="477"/>
      <c r="F1003" s="477"/>
      <c r="G1003" s="642"/>
      <c r="H1003" s="642"/>
    </row>
    <row r="1004" spans="5:8">
      <c r="E1004" s="477"/>
      <c r="F1004" s="477"/>
      <c r="G1004" s="642"/>
      <c r="H1004" s="642"/>
    </row>
    <row r="1005" spans="5:8">
      <c r="E1005" s="477"/>
      <c r="F1005" s="477"/>
      <c r="G1005" s="642"/>
      <c r="H1005" s="642"/>
    </row>
    <row r="1006" spans="5:8">
      <c r="E1006" s="477"/>
      <c r="F1006" s="477"/>
      <c r="G1006" s="642"/>
      <c r="H1006" s="642"/>
    </row>
    <row r="1007" spans="5:8">
      <c r="E1007" s="477"/>
      <c r="F1007" s="477"/>
      <c r="G1007" s="642"/>
      <c r="H1007" s="642"/>
    </row>
    <row r="1008" spans="5:8">
      <c r="E1008" s="477"/>
      <c r="F1008" s="477"/>
      <c r="G1008" s="642"/>
      <c r="H1008" s="642"/>
    </row>
    <row r="1009" spans="5:8">
      <c r="E1009" s="477"/>
      <c r="F1009" s="477"/>
      <c r="G1009" s="642"/>
      <c r="H1009" s="642"/>
    </row>
    <row r="1010" spans="5:8">
      <c r="E1010" s="477"/>
      <c r="F1010" s="477"/>
      <c r="G1010" s="642"/>
      <c r="H1010" s="642"/>
    </row>
    <row r="1011" spans="5:8">
      <c r="E1011" s="477"/>
      <c r="F1011" s="477"/>
      <c r="G1011" s="642"/>
      <c r="H1011" s="642"/>
    </row>
    <row r="1012" spans="5:8">
      <c r="E1012" s="477"/>
      <c r="F1012" s="477"/>
      <c r="G1012" s="642"/>
      <c r="H1012" s="642"/>
    </row>
    <row r="1013" spans="5:8">
      <c r="E1013" s="477"/>
      <c r="F1013" s="477"/>
      <c r="G1013" s="642"/>
      <c r="H1013" s="642"/>
    </row>
    <row r="1014" spans="5:8">
      <c r="E1014" s="477"/>
      <c r="F1014" s="477"/>
      <c r="G1014" s="642"/>
      <c r="H1014" s="642"/>
    </row>
    <row r="1015" spans="5:8">
      <c r="E1015" s="477"/>
      <c r="F1015" s="477"/>
      <c r="G1015" s="642"/>
      <c r="H1015" s="642"/>
    </row>
    <row r="1016" spans="5:8">
      <c r="E1016" s="477"/>
      <c r="F1016" s="477"/>
      <c r="G1016" s="642"/>
      <c r="H1016" s="642"/>
    </row>
    <row r="1017" spans="5:8">
      <c r="E1017" s="477"/>
      <c r="F1017" s="477"/>
      <c r="G1017" s="642"/>
      <c r="H1017" s="642"/>
    </row>
    <row r="1018" spans="5:8">
      <c r="E1018" s="477"/>
      <c r="F1018" s="477"/>
      <c r="G1018" s="642"/>
      <c r="H1018" s="642"/>
    </row>
    <row r="1019" spans="5:8">
      <c r="E1019" s="477"/>
      <c r="F1019" s="477"/>
      <c r="G1019" s="642"/>
      <c r="H1019" s="642"/>
    </row>
    <row r="1020" spans="5:8">
      <c r="E1020" s="477"/>
      <c r="F1020" s="477"/>
      <c r="G1020" s="642"/>
      <c r="H1020" s="642"/>
    </row>
    <row r="1021" spans="5:8">
      <c r="E1021" s="477"/>
      <c r="F1021" s="477"/>
      <c r="G1021" s="642"/>
      <c r="H1021" s="642"/>
    </row>
    <row r="1022" spans="5:8">
      <c r="E1022" s="477"/>
      <c r="F1022" s="477"/>
      <c r="G1022" s="642"/>
      <c r="H1022" s="642"/>
    </row>
    <row r="1023" spans="5:8">
      <c r="E1023" s="477"/>
      <c r="F1023" s="477"/>
      <c r="G1023" s="642"/>
      <c r="H1023" s="642"/>
    </row>
    <row r="1024" spans="5:8">
      <c r="E1024" s="477"/>
      <c r="F1024" s="477"/>
      <c r="G1024" s="642"/>
      <c r="H1024" s="642"/>
    </row>
    <row r="1025" spans="5:8">
      <c r="E1025" s="477"/>
      <c r="F1025" s="477"/>
      <c r="G1025" s="642"/>
      <c r="H1025" s="642"/>
    </row>
    <row r="1026" spans="5:8">
      <c r="E1026" s="477"/>
      <c r="F1026" s="477"/>
      <c r="G1026" s="642"/>
      <c r="H1026" s="642"/>
    </row>
    <row r="1027" spans="5:8">
      <c r="E1027" s="477"/>
      <c r="F1027" s="477"/>
      <c r="G1027" s="642"/>
      <c r="H1027" s="642"/>
    </row>
    <row r="1028" spans="5:8">
      <c r="E1028" s="477"/>
      <c r="F1028" s="477"/>
      <c r="G1028" s="642"/>
      <c r="H1028" s="642"/>
    </row>
    <row r="1029" spans="5:8">
      <c r="E1029" s="477"/>
      <c r="F1029" s="477"/>
      <c r="G1029" s="642"/>
      <c r="H1029" s="642"/>
    </row>
    <row r="1030" spans="5:8">
      <c r="E1030" s="477"/>
      <c r="F1030" s="477"/>
      <c r="G1030" s="642"/>
      <c r="H1030" s="642"/>
    </row>
    <row r="1031" spans="5:8">
      <c r="E1031" s="477"/>
      <c r="F1031" s="477"/>
      <c r="G1031" s="642"/>
      <c r="H1031" s="642"/>
    </row>
    <row r="1032" spans="5:8">
      <c r="E1032" s="477"/>
      <c r="F1032" s="477"/>
      <c r="G1032" s="642"/>
      <c r="H1032" s="642"/>
    </row>
    <row r="1033" spans="5:8">
      <c r="E1033" s="477"/>
      <c r="F1033" s="477"/>
      <c r="G1033" s="642"/>
      <c r="H1033" s="642"/>
    </row>
    <row r="1034" spans="5:8">
      <c r="E1034" s="477"/>
      <c r="F1034" s="477"/>
      <c r="G1034" s="642"/>
      <c r="H1034" s="642"/>
    </row>
    <row r="1035" spans="5:8">
      <c r="E1035" s="477"/>
      <c r="F1035" s="477"/>
      <c r="G1035" s="642"/>
      <c r="H1035" s="642"/>
    </row>
    <row r="1036" spans="5:8">
      <c r="E1036" s="477"/>
      <c r="F1036" s="477"/>
      <c r="G1036" s="642"/>
      <c r="H1036" s="642"/>
    </row>
    <row r="1037" spans="5:8">
      <c r="E1037" s="477"/>
      <c r="F1037" s="477"/>
      <c r="G1037" s="642"/>
      <c r="H1037" s="642"/>
    </row>
    <row r="1038" spans="5:8">
      <c r="E1038" s="477"/>
      <c r="F1038" s="477"/>
      <c r="G1038" s="642"/>
      <c r="H1038" s="642"/>
    </row>
    <row r="1039" spans="5:8">
      <c r="E1039" s="477"/>
      <c r="F1039" s="477"/>
      <c r="G1039" s="642"/>
      <c r="H1039" s="642"/>
    </row>
    <row r="1040" spans="5:8">
      <c r="E1040" s="477"/>
      <c r="F1040" s="477"/>
      <c r="G1040" s="642"/>
      <c r="H1040" s="642"/>
    </row>
    <row r="1041" spans="5:8">
      <c r="E1041" s="477"/>
      <c r="F1041" s="477"/>
      <c r="G1041" s="642"/>
      <c r="H1041" s="642"/>
    </row>
    <row r="1042" spans="5:8">
      <c r="E1042" s="477"/>
      <c r="F1042" s="477"/>
      <c r="G1042" s="642"/>
      <c r="H1042" s="642"/>
    </row>
    <row r="1043" spans="5:8">
      <c r="E1043" s="477"/>
      <c r="F1043" s="477"/>
      <c r="G1043" s="642"/>
      <c r="H1043" s="642"/>
    </row>
    <row r="1044" spans="5:8">
      <c r="E1044" s="477"/>
      <c r="F1044" s="477"/>
      <c r="G1044" s="642"/>
      <c r="H1044" s="642"/>
    </row>
    <row r="1045" spans="5:8">
      <c r="E1045" s="477"/>
      <c r="F1045" s="477"/>
      <c r="G1045" s="642"/>
      <c r="H1045" s="642"/>
    </row>
    <row r="1046" spans="5:8">
      <c r="E1046" s="477"/>
      <c r="F1046" s="477"/>
      <c r="G1046" s="642"/>
      <c r="H1046" s="642"/>
    </row>
    <row r="1047" spans="5:8">
      <c r="E1047" s="477"/>
      <c r="F1047" s="477"/>
      <c r="G1047" s="642"/>
      <c r="H1047" s="642"/>
    </row>
    <row r="1048" spans="5:8">
      <c r="E1048" s="477"/>
      <c r="F1048" s="477"/>
      <c r="G1048" s="642"/>
      <c r="H1048" s="642"/>
    </row>
    <row r="1049" spans="5:8">
      <c r="E1049" s="477"/>
      <c r="F1049" s="477"/>
      <c r="G1049" s="642"/>
      <c r="H1049" s="642"/>
    </row>
    <row r="1050" spans="5:8">
      <c r="E1050" s="477"/>
      <c r="F1050" s="477"/>
      <c r="G1050" s="642"/>
      <c r="H1050" s="642"/>
    </row>
    <row r="1051" spans="5:8">
      <c r="E1051" s="477"/>
      <c r="F1051" s="477"/>
      <c r="G1051" s="642"/>
      <c r="H1051" s="642"/>
    </row>
    <row r="1052" spans="5:8">
      <c r="E1052" s="477"/>
      <c r="F1052" s="477"/>
      <c r="G1052" s="642"/>
      <c r="H1052" s="642"/>
    </row>
    <row r="1053" spans="5:8">
      <c r="E1053" s="477"/>
      <c r="F1053" s="477"/>
      <c r="G1053" s="642"/>
      <c r="H1053" s="642"/>
    </row>
    <row r="1054" spans="5:8">
      <c r="E1054" s="477"/>
      <c r="F1054" s="477"/>
      <c r="G1054" s="642"/>
      <c r="H1054" s="642"/>
    </row>
    <row r="1055" spans="5:8">
      <c r="E1055" s="477"/>
      <c r="F1055" s="477"/>
      <c r="G1055" s="642"/>
      <c r="H1055" s="642"/>
    </row>
    <row r="1056" spans="5:8">
      <c r="E1056" s="477"/>
      <c r="F1056" s="477"/>
      <c r="G1056" s="642"/>
      <c r="H1056" s="642"/>
    </row>
    <row r="1057" spans="5:8">
      <c r="E1057" s="477"/>
      <c r="F1057" s="477"/>
      <c r="G1057" s="642"/>
      <c r="H1057" s="642"/>
    </row>
    <row r="1058" spans="5:8">
      <c r="E1058" s="477"/>
      <c r="F1058" s="477"/>
      <c r="G1058" s="642"/>
      <c r="H1058" s="642"/>
    </row>
    <row r="1059" spans="5:8">
      <c r="E1059" s="477"/>
      <c r="F1059" s="477"/>
      <c r="G1059" s="642"/>
      <c r="H1059" s="642"/>
    </row>
    <row r="1060" spans="5:8">
      <c r="E1060" s="477"/>
      <c r="F1060" s="477"/>
      <c r="G1060" s="642"/>
      <c r="H1060" s="642"/>
    </row>
    <row r="1061" spans="5:8">
      <c r="E1061" s="477"/>
      <c r="F1061" s="477"/>
      <c r="G1061" s="642"/>
      <c r="H1061" s="642"/>
    </row>
    <row r="1062" spans="5:8">
      <c r="E1062" s="477"/>
      <c r="F1062" s="477"/>
      <c r="G1062" s="642"/>
      <c r="H1062" s="642"/>
    </row>
    <row r="1063" spans="5:8">
      <c r="E1063" s="477"/>
      <c r="F1063" s="477"/>
      <c r="G1063" s="642"/>
      <c r="H1063" s="642"/>
    </row>
    <row r="1064" spans="5:8">
      <c r="E1064" s="477"/>
      <c r="F1064" s="477"/>
      <c r="G1064" s="642"/>
      <c r="H1064" s="642"/>
    </row>
    <row r="1065" spans="5:8">
      <c r="E1065" s="477"/>
      <c r="F1065" s="477"/>
      <c r="G1065" s="642"/>
      <c r="H1065" s="642"/>
    </row>
    <row r="1066" spans="5:8">
      <c r="E1066" s="477"/>
      <c r="F1066" s="477"/>
      <c r="G1066" s="642"/>
      <c r="H1066" s="642"/>
    </row>
    <row r="1067" spans="5:8">
      <c r="E1067" s="477"/>
      <c r="F1067" s="477"/>
      <c r="G1067" s="642"/>
      <c r="H1067" s="642"/>
    </row>
    <row r="1068" spans="5:8">
      <c r="E1068" s="477"/>
      <c r="F1068" s="477"/>
      <c r="G1068" s="642"/>
      <c r="H1068" s="642"/>
    </row>
    <row r="1069" spans="5:8">
      <c r="E1069" s="477"/>
      <c r="F1069" s="477"/>
      <c r="G1069" s="642"/>
      <c r="H1069" s="642"/>
    </row>
    <row r="1070" spans="5:8">
      <c r="E1070" s="477"/>
      <c r="F1070" s="477"/>
      <c r="G1070" s="642"/>
      <c r="H1070" s="642"/>
    </row>
    <row r="1071" spans="5:8">
      <c r="E1071" s="477"/>
      <c r="F1071" s="477"/>
      <c r="G1071" s="642"/>
      <c r="H1071" s="642"/>
    </row>
    <row r="1072" spans="5:8">
      <c r="E1072" s="477"/>
      <c r="F1072" s="477"/>
      <c r="G1072" s="642"/>
      <c r="H1072" s="642"/>
    </row>
    <row r="1073" spans="5:8">
      <c r="E1073" s="477"/>
      <c r="F1073" s="477"/>
      <c r="G1073" s="642"/>
      <c r="H1073" s="642"/>
    </row>
    <row r="1074" spans="5:8">
      <c r="E1074" s="477"/>
      <c r="F1074" s="477"/>
      <c r="G1074" s="642"/>
      <c r="H1074" s="642"/>
    </row>
    <row r="1075" spans="5:8">
      <c r="E1075" s="477"/>
      <c r="F1075" s="477"/>
      <c r="G1075" s="642"/>
      <c r="H1075" s="642"/>
    </row>
    <row r="1076" spans="5:8">
      <c r="E1076" s="477"/>
      <c r="F1076" s="477"/>
      <c r="G1076" s="642"/>
      <c r="H1076" s="642"/>
    </row>
    <row r="1077" spans="5:8">
      <c r="E1077" s="477"/>
      <c r="F1077" s="477"/>
      <c r="G1077" s="642"/>
      <c r="H1077" s="642"/>
    </row>
    <row r="1078" spans="5:8">
      <c r="E1078" s="477"/>
      <c r="F1078" s="477"/>
      <c r="G1078" s="642"/>
      <c r="H1078" s="642"/>
    </row>
    <row r="1079" spans="5:8">
      <c r="E1079" s="477"/>
      <c r="F1079" s="477"/>
      <c r="G1079" s="642"/>
      <c r="H1079" s="642"/>
    </row>
    <row r="1080" spans="5:8">
      <c r="E1080" s="477"/>
      <c r="F1080" s="477"/>
      <c r="G1080" s="642"/>
      <c r="H1080" s="642"/>
    </row>
    <row r="1081" spans="5:8">
      <c r="E1081" s="477"/>
      <c r="F1081" s="477"/>
      <c r="G1081" s="642"/>
      <c r="H1081" s="642"/>
    </row>
    <row r="1082" spans="5:8">
      <c r="E1082" s="477"/>
      <c r="F1082" s="477"/>
      <c r="G1082" s="642"/>
      <c r="H1082" s="642"/>
    </row>
    <row r="1083" spans="5:8">
      <c r="E1083" s="477"/>
      <c r="F1083" s="477"/>
      <c r="G1083" s="642"/>
      <c r="H1083" s="642"/>
    </row>
    <row r="1084" spans="5:8">
      <c r="E1084" s="477"/>
      <c r="F1084" s="477"/>
      <c r="G1084" s="642"/>
      <c r="H1084" s="642"/>
    </row>
    <row r="1085" spans="5:8">
      <c r="E1085" s="477"/>
      <c r="F1085" s="477"/>
      <c r="G1085" s="642"/>
      <c r="H1085" s="642"/>
    </row>
    <row r="1086" spans="5:8">
      <c r="E1086" s="477"/>
      <c r="F1086" s="477"/>
      <c r="G1086" s="642"/>
      <c r="H1086" s="642"/>
    </row>
    <row r="1087" spans="5:8">
      <c r="E1087" s="477"/>
      <c r="F1087" s="477"/>
      <c r="G1087" s="642"/>
      <c r="H1087" s="642"/>
    </row>
    <row r="1088" spans="5:8">
      <c r="E1088" s="477"/>
      <c r="F1088" s="477"/>
      <c r="G1088" s="642"/>
      <c r="H1088" s="642"/>
    </row>
    <row r="1089" spans="5:8">
      <c r="E1089" s="477"/>
      <c r="F1089" s="477"/>
      <c r="G1089" s="642"/>
      <c r="H1089" s="642"/>
    </row>
    <row r="1090" spans="5:8">
      <c r="E1090" s="477"/>
      <c r="F1090" s="477"/>
      <c r="G1090" s="642"/>
      <c r="H1090" s="642"/>
    </row>
    <row r="1091" spans="5:8">
      <c r="E1091" s="477"/>
      <c r="F1091" s="477"/>
      <c r="G1091" s="642"/>
      <c r="H1091" s="642"/>
    </row>
    <row r="1092" spans="5:8">
      <c r="E1092" s="477"/>
      <c r="F1092" s="477"/>
      <c r="G1092" s="642"/>
      <c r="H1092" s="642"/>
    </row>
    <row r="1093" spans="5:8">
      <c r="E1093" s="477"/>
      <c r="F1093" s="477"/>
      <c r="G1093" s="642"/>
      <c r="H1093" s="642"/>
    </row>
    <row r="1094" spans="5:8">
      <c r="E1094" s="477"/>
      <c r="F1094" s="477"/>
      <c r="G1094" s="642"/>
      <c r="H1094" s="642"/>
    </row>
    <row r="1095" spans="5:8">
      <c r="E1095" s="477"/>
      <c r="F1095" s="477"/>
      <c r="G1095" s="642"/>
      <c r="H1095" s="642"/>
    </row>
    <row r="1096" spans="5:8">
      <c r="E1096" s="477"/>
      <c r="F1096" s="477"/>
      <c r="G1096" s="642"/>
      <c r="H1096" s="642"/>
    </row>
    <row r="1097" spans="5:8">
      <c r="E1097" s="477"/>
      <c r="F1097" s="477"/>
      <c r="G1097" s="642"/>
      <c r="H1097" s="642"/>
    </row>
    <row r="1098" spans="5:8">
      <c r="E1098" s="477"/>
      <c r="F1098" s="477"/>
      <c r="G1098" s="642"/>
      <c r="H1098" s="642"/>
    </row>
    <row r="1099" spans="5:8">
      <c r="E1099" s="477"/>
      <c r="F1099" s="477"/>
      <c r="G1099" s="642"/>
      <c r="H1099" s="642"/>
    </row>
    <row r="1100" spans="5:8">
      <c r="E1100" s="477"/>
      <c r="F1100" s="477"/>
      <c r="G1100" s="642"/>
      <c r="H1100" s="642"/>
    </row>
    <row r="1101" spans="5:8">
      <c r="E1101" s="477"/>
      <c r="F1101" s="477"/>
      <c r="G1101" s="642"/>
      <c r="H1101" s="642"/>
    </row>
    <row r="1102" spans="5:8">
      <c r="E1102" s="477"/>
      <c r="F1102" s="477"/>
      <c r="G1102" s="642"/>
      <c r="H1102" s="642"/>
    </row>
    <row r="1103" spans="5:8">
      <c r="E1103" s="477"/>
      <c r="F1103" s="477"/>
      <c r="G1103" s="642"/>
      <c r="H1103" s="642"/>
    </row>
    <row r="1104" spans="5:8">
      <c r="E1104" s="477"/>
      <c r="F1104" s="477"/>
      <c r="G1104" s="642"/>
      <c r="H1104" s="642"/>
    </row>
    <row r="1105" spans="5:8">
      <c r="E1105" s="477"/>
      <c r="F1105" s="477"/>
      <c r="G1105" s="642"/>
      <c r="H1105" s="642"/>
    </row>
    <row r="1106" spans="5:8">
      <c r="E1106" s="477"/>
      <c r="F1106" s="477"/>
      <c r="G1106" s="642"/>
      <c r="H1106" s="642"/>
    </row>
    <row r="1107" spans="5:8">
      <c r="E1107" s="477"/>
      <c r="F1107" s="477"/>
      <c r="G1107" s="642"/>
      <c r="H1107" s="642"/>
    </row>
    <row r="1108" spans="5:8">
      <c r="E1108" s="477"/>
      <c r="F1108" s="477"/>
      <c r="G1108" s="642"/>
      <c r="H1108" s="642"/>
    </row>
    <row r="1109" spans="5:8">
      <c r="E1109" s="477"/>
      <c r="F1109" s="477"/>
      <c r="G1109" s="642"/>
      <c r="H1109" s="642"/>
    </row>
    <row r="1110" spans="5:8">
      <c r="E1110" s="477"/>
      <c r="F1110" s="477"/>
      <c r="G1110" s="642"/>
      <c r="H1110" s="642"/>
    </row>
    <row r="1111" spans="5:8">
      <c r="E1111" s="477"/>
      <c r="F1111" s="477"/>
      <c r="G1111" s="642"/>
      <c r="H1111" s="642"/>
    </row>
    <row r="1112" spans="5:8">
      <c r="E1112" s="477"/>
      <c r="F1112" s="477"/>
      <c r="G1112" s="642"/>
      <c r="H1112" s="642"/>
    </row>
    <row r="1113" spans="5:8">
      <c r="E1113" s="477"/>
      <c r="F1113" s="477"/>
      <c r="G1113" s="642"/>
      <c r="H1113" s="642"/>
    </row>
    <row r="1114" spans="5:8">
      <c r="E1114" s="477"/>
      <c r="F1114" s="477"/>
      <c r="G1114" s="642"/>
      <c r="H1114" s="642"/>
    </row>
    <row r="1115" spans="5:8">
      <c r="E1115" s="477"/>
      <c r="F1115" s="477"/>
      <c r="G1115" s="642"/>
      <c r="H1115" s="642"/>
    </row>
    <row r="1116" spans="5:8">
      <c r="E1116" s="477"/>
      <c r="F1116" s="477"/>
      <c r="G1116" s="642"/>
      <c r="H1116" s="642"/>
    </row>
    <row r="1117" spans="5:8">
      <c r="E1117" s="477"/>
      <c r="F1117" s="477"/>
      <c r="G1117" s="642"/>
      <c r="H1117" s="642"/>
    </row>
    <row r="1118" spans="5:8">
      <c r="E1118" s="477"/>
      <c r="F1118" s="477"/>
      <c r="G1118" s="642"/>
      <c r="H1118" s="642"/>
    </row>
    <row r="1119" spans="5:8">
      <c r="E1119" s="477"/>
      <c r="F1119" s="477"/>
      <c r="G1119" s="642"/>
      <c r="H1119" s="642"/>
    </row>
    <row r="1120" spans="5:8">
      <c r="E1120" s="477"/>
      <c r="F1120" s="477"/>
      <c r="G1120" s="642"/>
      <c r="H1120" s="642"/>
    </row>
    <row r="1121" spans="5:8">
      <c r="E1121" s="477"/>
      <c r="F1121" s="477"/>
      <c r="G1121" s="642"/>
      <c r="H1121" s="642"/>
    </row>
    <row r="1122" spans="5:8">
      <c r="E1122" s="477"/>
      <c r="F1122" s="477"/>
      <c r="G1122" s="642"/>
      <c r="H1122" s="642"/>
    </row>
    <row r="1123" spans="5:8">
      <c r="E1123" s="477"/>
      <c r="F1123" s="477"/>
      <c r="G1123" s="642"/>
      <c r="H1123" s="642"/>
    </row>
    <row r="1124" spans="5:8">
      <c r="E1124" s="477"/>
      <c r="F1124" s="477"/>
      <c r="G1124" s="642"/>
      <c r="H1124" s="642"/>
    </row>
    <row r="1125" spans="5:8">
      <c r="E1125" s="477"/>
      <c r="F1125" s="477"/>
      <c r="G1125" s="642"/>
      <c r="H1125" s="642"/>
    </row>
    <row r="1126" spans="5:8">
      <c r="E1126" s="477"/>
      <c r="F1126" s="477"/>
      <c r="G1126" s="642"/>
      <c r="H1126" s="642"/>
    </row>
    <row r="1127" spans="5:8">
      <c r="E1127" s="477"/>
      <c r="F1127" s="477"/>
      <c r="G1127" s="642"/>
      <c r="H1127" s="642"/>
    </row>
    <row r="1128" spans="5:8">
      <c r="E1128" s="477"/>
      <c r="F1128" s="477"/>
      <c r="G1128" s="642"/>
      <c r="H1128" s="642"/>
    </row>
    <row r="1129" spans="5:8">
      <c r="E1129" s="477"/>
      <c r="F1129" s="477"/>
      <c r="G1129" s="642"/>
      <c r="H1129" s="642"/>
    </row>
    <row r="1130" spans="5:8">
      <c r="E1130" s="477"/>
      <c r="F1130" s="477"/>
      <c r="G1130" s="642"/>
      <c r="H1130" s="642"/>
    </row>
    <row r="1131" spans="5:8">
      <c r="E1131" s="477"/>
      <c r="F1131" s="477"/>
      <c r="G1131" s="642"/>
      <c r="H1131" s="642"/>
    </row>
    <row r="1132" spans="5:8">
      <c r="E1132" s="477"/>
      <c r="F1132" s="477"/>
      <c r="G1132" s="642"/>
      <c r="H1132" s="642"/>
    </row>
    <row r="1133" spans="5:8">
      <c r="E1133" s="477"/>
      <c r="F1133" s="477"/>
      <c r="G1133" s="642"/>
      <c r="H1133" s="642"/>
    </row>
    <row r="1134" spans="5:8">
      <c r="E1134" s="477"/>
      <c r="F1134" s="477"/>
      <c r="G1134" s="642"/>
      <c r="H1134" s="642"/>
    </row>
    <row r="1135" spans="5:8">
      <c r="E1135" s="477"/>
      <c r="F1135" s="477"/>
      <c r="G1135" s="642"/>
      <c r="H1135" s="642"/>
    </row>
    <row r="1136" spans="5:8">
      <c r="E1136" s="477"/>
      <c r="F1136" s="477"/>
      <c r="G1136" s="642"/>
      <c r="H1136" s="642"/>
    </row>
    <row r="1137" spans="5:8">
      <c r="E1137" s="477"/>
      <c r="F1137" s="477"/>
      <c r="G1137" s="642"/>
      <c r="H1137" s="642"/>
    </row>
    <row r="1138" spans="5:8">
      <c r="E1138" s="477"/>
      <c r="F1138" s="477"/>
      <c r="G1138" s="642"/>
      <c r="H1138" s="642"/>
    </row>
    <row r="1139" spans="5:8">
      <c r="E1139" s="477"/>
      <c r="F1139" s="477"/>
      <c r="G1139" s="642"/>
      <c r="H1139" s="642"/>
    </row>
    <row r="1140" spans="5:8">
      <c r="E1140" s="477"/>
      <c r="F1140" s="477"/>
      <c r="G1140" s="642"/>
      <c r="H1140" s="642"/>
    </row>
    <row r="1141" spans="5:8">
      <c r="E1141" s="477"/>
      <c r="F1141" s="477"/>
      <c r="G1141" s="642"/>
      <c r="H1141" s="642"/>
    </row>
    <row r="1142" spans="5:8">
      <c r="E1142" s="477"/>
      <c r="F1142" s="477"/>
      <c r="G1142" s="642"/>
      <c r="H1142" s="642"/>
    </row>
    <row r="1143" spans="5:8">
      <c r="E1143" s="477"/>
      <c r="F1143" s="477"/>
      <c r="G1143" s="642"/>
      <c r="H1143" s="642"/>
    </row>
    <row r="1144" spans="5:8">
      <c r="E1144" s="477"/>
      <c r="F1144" s="477"/>
      <c r="G1144" s="642"/>
      <c r="H1144" s="642"/>
    </row>
    <row r="1145" spans="5:8">
      <c r="E1145" s="477"/>
      <c r="F1145" s="477"/>
      <c r="G1145" s="642"/>
      <c r="H1145" s="642"/>
    </row>
    <row r="1146" spans="5:8">
      <c r="E1146" s="477"/>
      <c r="F1146" s="477"/>
      <c r="G1146" s="642"/>
      <c r="H1146" s="642"/>
    </row>
    <row r="1147" spans="5:8">
      <c r="E1147" s="477"/>
      <c r="F1147" s="477"/>
      <c r="G1147" s="642"/>
      <c r="H1147" s="642"/>
    </row>
    <row r="1148" spans="5:8">
      <c r="E1148" s="477"/>
      <c r="F1148" s="477"/>
      <c r="G1148" s="642"/>
      <c r="H1148" s="642"/>
    </row>
    <row r="1149" spans="5:8">
      <c r="E1149" s="477"/>
      <c r="F1149" s="477"/>
      <c r="G1149" s="642"/>
      <c r="H1149" s="642"/>
    </row>
    <row r="1150" spans="5:8">
      <c r="E1150" s="477"/>
      <c r="F1150" s="477"/>
      <c r="G1150" s="642"/>
      <c r="H1150" s="642"/>
    </row>
    <row r="1151" spans="5:8">
      <c r="E1151" s="477"/>
      <c r="F1151" s="477"/>
      <c r="G1151" s="642"/>
      <c r="H1151" s="642"/>
    </row>
    <row r="1152" spans="5:8">
      <c r="E1152" s="477"/>
      <c r="F1152" s="477"/>
      <c r="G1152" s="642"/>
      <c r="H1152" s="642"/>
    </row>
    <row r="1153" spans="5:8">
      <c r="E1153" s="477"/>
      <c r="F1153" s="477"/>
      <c r="G1153" s="642"/>
      <c r="H1153" s="642"/>
    </row>
    <row r="1154" spans="5:8">
      <c r="E1154" s="477"/>
      <c r="F1154" s="477"/>
      <c r="G1154" s="642"/>
      <c r="H1154" s="642"/>
    </row>
    <row r="1155" spans="5:8">
      <c r="E1155" s="477"/>
      <c r="F1155" s="477"/>
      <c r="G1155" s="642"/>
      <c r="H1155" s="642"/>
    </row>
    <row r="1156" spans="5:8">
      <c r="E1156" s="477"/>
      <c r="F1156" s="477"/>
      <c r="G1156" s="642"/>
      <c r="H1156" s="642"/>
    </row>
    <row r="1157" spans="5:8">
      <c r="E1157" s="477"/>
      <c r="F1157" s="477"/>
      <c r="G1157" s="642"/>
      <c r="H1157" s="642"/>
    </row>
    <row r="1158" spans="5:8">
      <c r="E1158" s="477"/>
      <c r="F1158" s="477"/>
      <c r="G1158" s="642"/>
      <c r="H1158" s="642"/>
    </row>
    <row r="1159" spans="5:8">
      <c r="E1159" s="477"/>
      <c r="F1159" s="477"/>
      <c r="G1159" s="642"/>
      <c r="H1159" s="642"/>
    </row>
    <row r="1160" spans="5:8">
      <c r="E1160" s="477"/>
      <c r="F1160" s="477"/>
      <c r="G1160" s="642"/>
      <c r="H1160" s="642"/>
    </row>
    <row r="1161" spans="5:8">
      <c r="E1161" s="477"/>
      <c r="F1161" s="477"/>
      <c r="G1161" s="642"/>
      <c r="H1161" s="642"/>
    </row>
    <row r="1162" spans="5:8">
      <c r="E1162" s="477"/>
      <c r="F1162" s="477"/>
      <c r="G1162" s="642"/>
      <c r="H1162" s="642"/>
    </row>
    <row r="1163" spans="5:8">
      <c r="E1163" s="477"/>
      <c r="F1163" s="477"/>
      <c r="G1163" s="642"/>
      <c r="H1163" s="642"/>
    </row>
    <row r="1164" spans="5:8">
      <c r="E1164" s="477"/>
      <c r="F1164" s="477"/>
      <c r="G1164" s="642"/>
      <c r="H1164" s="642"/>
    </row>
    <row r="1165" spans="5:8">
      <c r="E1165" s="477"/>
      <c r="F1165" s="477"/>
      <c r="G1165" s="642"/>
      <c r="H1165" s="642"/>
    </row>
    <row r="1166" spans="5:8">
      <c r="E1166" s="477"/>
      <c r="F1166" s="477"/>
      <c r="G1166" s="642"/>
      <c r="H1166" s="642"/>
    </row>
    <row r="1167" spans="5:8">
      <c r="E1167" s="477"/>
      <c r="F1167" s="477"/>
      <c r="G1167" s="642"/>
      <c r="H1167" s="642"/>
    </row>
    <row r="1168" spans="5:8">
      <c r="E1168" s="477"/>
      <c r="F1168" s="477"/>
      <c r="G1168" s="642"/>
      <c r="H1168" s="642"/>
    </row>
    <row r="1169" spans="5:8">
      <c r="E1169" s="477"/>
      <c r="F1169" s="477"/>
      <c r="G1169" s="642"/>
      <c r="H1169" s="642"/>
    </row>
    <row r="1170" spans="5:8">
      <c r="E1170" s="477"/>
      <c r="F1170" s="477"/>
      <c r="G1170" s="642"/>
      <c r="H1170" s="642"/>
    </row>
    <row r="1171" spans="5:8">
      <c r="E1171" s="477"/>
      <c r="F1171" s="477"/>
      <c r="G1171" s="642"/>
      <c r="H1171" s="642"/>
    </row>
    <row r="1172" spans="5:8">
      <c r="E1172" s="477"/>
      <c r="F1172" s="477"/>
      <c r="G1172" s="642"/>
      <c r="H1172" s="642"/>
    </row>
    <row r="1173" spans="5:8">
      <c r="E1173" s="477"/>
      <c r="F1173" s="477"/>
      <c r="G1173" s="642"/>
      <c r="H1173" s="642"/>
    </row>
    <row r="1174" spans="5:8">
      <c r="E1174" s="477"/>
      <c r="F1174" s="477"/>
      <c r="G1174" s="642"/>
      <c r="H1174" s="642"/>
    </row>
    <row r="1175" spans="5:8">
      <c r="E1175" s="477"/>
      <c r="F1175" s="477"/>
      <c r="G1175" s="642"/>
      <c r="H1175" s="642"/>
    </row>
    <row r="1176" spans="5:8">
      <c r="E1176" s="477"/>
      <c r="F1176" s="477"/>
      <c r="G1176" s="642"/>
      <c r="H1176" s="642"/>
    </row>
    <row r="1177" spans="5:8">
      <c r="E1177" s="477"/>
      <c r="F1177" s="477"/>
      <c r="G1177" s="642"/>
      <c r="H1177" s="642"/>
    </row>
    <row r="1178" spans="5:8">
      <c r="E1178" s="477"/>
      <c r="F1178" s="477"/>
      <c r="G1178" s="642"/>
      <c r="H1178" s="642"/>
    </row>
    <row r="1179" spans="5:8">
      <c r="E1179" s="477"/>
      <c r="F1179" s="477"/>
      <c r="G1179" s="642"/>
      <c r="H1179" s="642"/>
    </row>
    <row r="1180" spans="5:8">
      <c r="E1180" s="477"/>
      <c r="F1180" s="477"/>
      <c r="G1180" s="642"/>
      <c r="H1180" s="642"/>
    </row>
    <row r="1181" spans="5:8">
      <c r="E1181" s="477"/>
      <c r="F1181" s="477"/>
      <c r="G1181" s="642"/>
      <c r="H1181" s="642"/>
    </row>
    <row r="1182" spans="5:8">
      <c r="E1182" s="477"/>
      <c r="F1182" s="477"/>
      <c r="G1182" s="642"/>
      <c r="H1182" s="642"/>
    </row>
    <row r="1183" spans="5:8">
      <c r="E1183" s="477"/>
      <c r="F1183" s="477"/>
      <c r="G1183" s="642"/>
      <c r="H1183" s="642"/>
    </row>
    <row r="1184" spans="5:8">
      <c r="E1184" s="477"/>
      <c r="F1184" s="477"/>
      <c r="G1184" s="642"/>
      <c r="H1184" s="642"/>
    </row>
    <row r="1185" spans="5:8">
      <c r="E1185" s="477"/>
      <c r="F1185" s="477"/>
      <c r="G1185" s="642"/>
      <c r="H1185" s="642"/>
    </row>
    <row r="1186" spans="5:8">
      <c r="E1186" s="477"/>
      <c r="F1186" s="477"/>
      <c r="G1186" s="642"/>
      <c r="H1186" s="642"/>
    </row>
    <row r="1187" spans="5:8">
      <c r="E1187" s="477"/>
      <c r="F1187" s="477"/>
      <c r="G1187" s="642"/>
      <c r="H1187" s="642"/>
    </row>
    <row r="1188" spans="5:8">
      <c r="E1188" s="477"/>
      <c r="F1188" s="477"/>
      <c r="G1188" s="642"/>
      <c r="H1188" s="642"/>
    </row>
    <row r="1189" spans="5:8">
      <c r="E1189" s="477"/>
      <c r="F1189" s="477"/>
      <c r="G1189" s="642"/>
      <c r="H1189" s="642"/>
    </row>
    <row r="1190" spans="5:8">
      <c r="E1190" s="477"/>
      <c r="F1190" s="477"/>
      <c r="G1190" s="642"/>
      <c r="H1190" s="642"/>
    </row>
    <row r="1191" spans="5:8">
      <c r="E1191" s="477"/>
      <c r="F1191" s="477"/>
      <c r="G1191" s="642"/>
      <c r="H1191" s="642"/>
    </row>
    <row r="1192" spans="5:8">
      <c r="E1192" s="477"/>
      <c r="F1192" s="477"/>
      <c r="G1192" s="642"/>
      <c r="H1192" s="642"/>
    </row>
    <row r="1193" spans="5:8">
      <c r="E1193" s="477"/>
      <c r="F1193" s="477"/>
      <c r="G1193" s="642"/>
      <c r="H1193" s="642"/>
    </row>
    <row r="1194" spans="5:8">
      <c r="E1194" s="477"/>
      <c r="F1194" s="477"/>
      <c r="G1194" s="642"/>
      <c r="H1194" s="642"/>
    </row>
    <row r="1195" spans="5:8">
      <c r="E1195" s="477"/>
      <c r="F1195" s="477"/>
      <c r="G1195" s="642"/>
      <c r="H1195" s="642"/>
    </row>
    <row r="1196" spans="5:8">
      <c r="E1196" s="477"/>
      <c r="F1196" s="477"/>
      <c r="G1196" s="642"/>
      <c r="H1196" s="642"/>
    </row>
    <row r="1197" spans="5:8">
      <c r="E1197" s="477"/>
      <c r="F1197" s="477"/>
      <c r="G1197" s="642"/>
      <c r="H1197" s="642"/>
    </row>
    <row r="1198" spans="5:8">
      <c r="E1198" s="477"/>
      <c r="F1198" s="477"/>
      <c r="G1198" s="642"/>
      <c r="H1198" s="642"/>
    </row>
    <row r="1199" spans="5:8">
      <c r="E1199" s="477"/>
      <c r="F1199" s="477"/>
      <c r="G1199" s="642"/>
      <c r="H1199" s="642"/>
    </row>
    <row r="1200" spans="5:8">
      <c r="E1200" s="477"/>
      <c r="F1200" s="477"/>
      <c r="G1200" s="642"/>
      <c r="H1200" s="642"/>
    </row>
    <row r="1201" spans="5:8">
      <c r="E1201" s="477"/>
      <c r="F1201" s="477"/>
      <c r="G1201" s="642"/>
      <c r="H1201" s="642"/>
    </row>
    <row r="1202" spans="5:8">
      <c r="E1202" s="477"/>
      <c r="F1202" s="477"/>
      <c r="G1202" s="642"/>
      <c r="H1202" s="642"/>
    </row>
    <row r="1203" spans="5:8">
      <c r="E1203" s="477"/>
      <c r="F1203" s="477"/>
      <c r="G1203" s="642"/>
      <c r="H1203" s="642"/>
    </row>
    <row r="1204" spans="5:8">
      <c r="E1204" s="477"/>
      <c r="F1204" s="477"/>
      <c r="G1204" s="642"/>
      <c r="H1204" s="642"/>
    </row>
    <row r="1205" spans="5:8">
      <c r="E1205" s="477"/>
      <c r="F1205" s="477"/>
      <c r="G1205" s="642"/>
      <c r="H1205" s="642"/>
    </row>
    <row r="1206" spans="5:8">
      <c r="E1206" s="477"/>
      <c r="F1206" s="477"/>
      <c r="G1206" s="642"/>
      <c r="H1206" s="642"/>
    </row>
    <row r="1207" spans="5:8">
      <c r="E1207" s="477"/>
      <c r="F1207" s="477"/>
      <c r="G1207" s="642"/>
      <c r="H1207" s="642"/>
    </row>
    <row r="1208" spans="5:8">
      <c r="E1208" s="477"/>
      <c r="F1208" s="477"/>
      <c r="G1208" s="642"/>
      <c r="H1208" s="642"/>
    </row>
    <row r="1209" spans="5:8">
      <c r="E1209" s="477"/>
      <c r="F1209" s="477"/>
      <c r="G1209" s="642"/>
      <c r="H1209" s="642"/>
    </row>
    <row r="1210" spans="5:8">
      <c r="E1210" s="477"/>
      <c r="F1210" s="477"/>
      <c r="G1210" s="642"/>
      <c r="H1210" s="642"/>
    </row>
    <row r="1211" spans="5:8">
      <c r="E1211" s="477"/>
      <c r="F1211" s="477"/>
      <c r="G1211" s="642"/>
      <c r="H1211" s="642"/>
    </row>
    <row r="1212" spans="5:8">
      <c r="E1212" s="477"/>
      <c r="F1212" s="477"/>
      <c r="G1212" s="642"/>
      <c r="H1212" s="642"/>
    </row>
    <row r="1213" spans="5:8">
      <c r="E1213" s="477"/>
      <c r="F1213" s="477"/>
      <c r="G1213" s="642"/>
      <c r="H1213" s="642"/>
    </row>
    <row r="1214" spans="5:8">
      <c r="E1214" s="477"/>
      <c r="F1214" s="477"/>
      <c r="G1214" s="642"/>
      <c r="H1214" s="642"/>
    </row>
    <row r="1215" spans="5:8">
      <c r="E1215" s="477"/>
      <c r="F1215" s="477"/>
      <c r="G1215" s="642"/>
      <c r="H1215" s="642"/>
    </row>
    <row r="1216" spans="5:8">
      <c r="E1216" s="477"/>
      <c r="F1216" s="477"/>
      <c r="G1216" s="642"/>
      <c r="H1216" s="642"/>
    </row>
    <row r="1217" spans="5:8">
      <c r="E1217" s="477"/>
      <c r="F1217" s="477"/>
      <c r="G1217" s="642"/>
      <c r="H1217" s="642"/>
    </row>
    <row r="1218" spans="5:8">
      <c r="E1218" s="477"/>
      <c r="F1218" s="477"/>
      <c r="G1218" s="642"/>
      <c r="H1218" s="642"/>
    </row>
    <row r="1219" spans="5:8">
      <c r="E1219" s="477"/>
      <c r="F1219" s="477"/>
      <c r="G1219" s="642"/>
      <c r="H1219" s="642"/>
    </row>
    <row r="1220" spans="5:8">
      <c r="E1220" s="477"/>
      <c r="F1220" s="477"/>
      <c r="G1220" s="642"/>
      <c r="H1220" s="642"/>
    </row>
    <row r="1221" spans="5:8">
      <c r="E1221" s="477"/>
      <c r="F1221" s="477"/>
      <c r="G1221" s="642"/>
      <c r="H1221" s="642"/>
    </row>
    <row r="1222" spans="5:8">
      <c r="E1222" s="477"/>
      <c r="F1222" s="477"/>
      <c r="G1222" s="642"/>
      <c r="H1222" s="642"/>
    </row>
    <row r="1223" spans="5:8">
      <c r="E1223" s="477"/>
      <c r="F1223" s="477"/>
      <c r="G1223" s="642"/>
      <c r="H1223" s="642"/>
    </row>
    <row r="1224" spans="5:8">
      <c r="E1224" s="477"/>
      <c r="F1224" s="477"/>
      <c r="G1224" s="642"/>
      <c r="H1224" s="642"/>
    </row>
    <row r="1225" spans="5:8">
      <c r="E1225" s="477"/>
      <c r="F1225" s="477"/>
      <c r="G1225" s="642"/>
      <c r="H1225" s="642"/>
    </row>
    <row r="1226" spans="5:8">
      <c r="E1226" s="477"/>
      <c r="F1226" s="477"/>
      <c r="G1226" s="642"/>
      <c r="H1226" s="642"/>
    </row>
    <row r="1227" spans="5:8">
      <c r="E1227" s="477"/>
      <c r="F1227" s="477"/>
      <c r="G1227" s="642"/>
      <c r="H1227" s="642"/>
    </row>
    <row r="1228" spans="5:8">
      <c r="E1228" s="477"/>
      <c r="F1228" s="477"/>
      <c r="G1228" s="642"/>
      <c r="H1228" s="642"/>
    </row>
    <row r="1229" spans="5:8">
      <c r="E1229" s="477"/>
      <c r="F1229" s="477"/>
      <c r="G1229" s="642"/>
      <c r="H1229" s="642"/>
    </row>
    <row r="1230" spans="5:8">
      <c r="E1230" s="477"/>
      <c r="F1230" s="477"/>
      <c r="G1230" s="642"/>
      <c r="H1230" s="642"/>
    </row>
    <row r="1231" spans="5:8">
      <c r="E1231" s="477"/>
      <c r="F1231" s="477"/>
      <c r="G1231" s="642"/>
      <c r="H1231" s="642"/>
    </row>
    <row r="1232" spans="5:8">
      <c r="E1232" s="477"/>
      <c r="F1232" s="477"/>
      <c r="G1232" s="642"/>
      <c r="H1232" s="642"/>
    </row>
    <row r="1233" spans="5:8">
      <c r="E1233" s="477"/>
      <c r="F1233" s="477"/>
      <c r="G1233" s="642"/>
      <c r="H1233" s="642"/>
    </row>
    <row r="1234" spans="5:8">
      <c r="E1234" s="477"/>
      <c r="F1234" s="477"/>
      <c r="G1234" s="642"/>
      <c r="H1234" s="642"/>
    </row>
    <row r="1235" spans="5:8">
      <c r="E1235" s="477"/>
      <c r="F1235" s="477"/>
      <c r="G1235" s="642"/>
      <c r="H1235" s="642"/>
    </row>
    <row r="1236" spans="5:8">
      <c r="E1236" s="477"/>
      <c r="F1236" s="477"/>
      <c r="G1236" s="642"/>
      <c r="H1236" s="642"/>
    </row>
    <row r="1237" spans="5:8">
      <c r="E1237" s="477"/>
      <c r="F1237" s="477"/>
      <c r="G1237" s="642"/>
      <c r="H1237" s="642"/>
    </row>
    <row r="1238" spans="5:8">
      <c r="E1238" s="477"/>
      <c r="F1238" s="477"/>
      <c r="G1238" s="642"/>
      <c r="H1238" s="642"/>
    </row>
    <row r="1239" spans="5:8">
      <c r="E1239" s="477"/>
      <c r="F1239" s="477"/>
      <c r="G1239" s="642"/>
      <c r="H1239" s="642"/>
    </row>
    <row r="1240" spans="5:8">
      <c r="E1240" s="477"/>
      <c r="F1240" s="477"/>
      <c r="G1240" s="642"/>
      <c r="H1240" s="642"/>
    </row>
    <row r="1241" spans="5:8">
      <c r="E1241" s="477"/>
      <c r="F1241" s="477"/>
      <c r="G1241" s="642"/>
      <c r="H1241" s="642"/>
    </row>
    <row r="1242" spans="5:8">
      <c r="E1242" s="477"/>
      <c r="F1242" s="477"/>
      <c r="G1242" s="642"/>
      <c r="H1242" s="642"/>
    </row>
    <row r="1243" spans="5:8">
      <c r="E1243" s="477"/>
      <c r="F1243" s="477"/>
      <c r="G1243" s="642"/>
      <c r="H1243" s="642"/>
    </row>
    <row r="1244" spans="5:8">
      <c r="E1244" s="477"/>
      <c r="F1244" s="477"/>
      <c r="G1244" s="642"/>
      <c r="H1244" s="642"/>
    </row>
    <row r="1245" spans="5:8">
      <c r="E1245" s="477"/>
      <c r="F1245" s="477"/>
      <c r="G1245" s="642"/>
      <c r="H1245" s="642"/>
    </row>
    <row r="1246" spans="5:8">
      <c r="E1246" s="477"/>
      <c r="F1246" s="477"/>
      <c r="G1246" s="642"/>
      <c r="H1246" s="642"/>
    </row>
    <row r="1247" spans="5:8">
      <c r="E1247" s="477"/>
      <c r="F1247" s="477"/>
      <c r="G1247" s="642"/>
      <c r="H1247" s="642"/>
    </row>
    <row r="1248" spans="5:8">
      <c r="E1248" s="477"/>
      <c r="F1248" s="477"/>
      <c r="G1248" s="642"/>
      <c r="H1248" s="642"/>
    </row>
    <row r="1249" spans="5:8">
      <c r="E1249" s="477"/>
      <c r="F1249" s="477"/>
      <c r="G1249" s="642"/>
      <c r="H1249" s="642"/>
    </row>
    <row r="1250" spans="5:8">
      <c r="E1250" s="477"/>
      <c r="F1250" s="477"/>
      <c r="G1250" s="642"/>
      <c r="H1250" s="642"/>
    </row>
    <row r="1251" spans="5:8">
      <c r="E1251" s="477"/>
      <c r="F1251" s="477"/>
      <c r="G1251" s="642"/>
      <c r="H1251" s="642"/>
    </row>
    <row r="1252" spans="5:8">
      <c r="E1252" s="477"/>
      <c r="F1252" s="477"/>
      <c r="G1252" s="642"/>
      <c r="H1252" s="642"/>
    </row>
    <row r="1253" spans="5:8">
      <c r="E1253" s="477"/>
      <c r="F1253" s="477"/>
      <c r="G1253" s="642"/>
      <c r="H1253" s="642"/>
    </row>
    <row r="1254" spans="5:8">
      <c r="E1254" s="477"/>
      <c r="F1254" s="477"/>
      <c r="G1254" s="642"/>
      <c r="H1254" s="642"/>
    </row>
    <row r="1255" spans="5:8">
      <c r="E1255" s="477"/>
      <c r="F1255" s="477"/>
      <c r="G1255" s="642"/>
      <c r="H1255" s="642"/>
    </row>
    <row r="1256" spans="5:8">
      <c r="E1256" s="477"/>
      <c r="F1256" s="477"/>
      <c r="G1256" s="642"/>
      <c r="H1256" s="642"/>
    </row>
    <row r="1257" spans="5:8">
      <c r="E1257" s="477"/>
      <c r="F1257" s="477"/>
      <c r="G1257" s="642"/>
      <c r="H1257" s="642"/>
    </row>
    <row r="1258" spans="5:8">
      <c r="E1258" s="477"/>
      <c r="F1258" s="477"/>
      <c r="G1258" s="642"/>
      <c r="H1258" s="642"/>
    </row>
    <row r="1259" spans="5:8">
      <c r="E1259" s="477"/>
      <c r="F1259" s="477"/>
      <c r="G1259" s="642"/>
      <c r="H1259" s="642"/>
    </row>
    <row r="1260" spans="5:8">
      <c r="E1260" s="477"/>
      <c r="F1260" s="477"/>
      <c r="G1260" s="642"/>
      <c r="H1260" s="642"/>
    </row>
    <row r="1261" spans="5:8">
      <c r="E1261" s="477"/>
      <c r="F1261" s="477"/>
      <c r="G1261" s="642"/>
      <c r="H1261" s="642"/>
    </row>
    <row r="1262" spans="5:8">
      <c r="E1262" s="477"/>
      <c r="F1262" s="477"/>
      <c r="G1262" s="642"/>
      <c r="H1262" s="642"/>
    </row>
    <row r="1263" spans="5:8">
      <c r="E1263" s="477"/>
      <c r="F1263" s="477"/>
      <c r="G1263" s="642"/>
      <c r="H1263" s="642"/>
    </row>
    <row r="1264" spans="5:8">
      <c r="E1264" s="477"/>
      <c r="F1264" s="477"/>
      <c r="G1264" s="642"/>
      <c r="H1264" s="642"/>
    </row>
    <row r="1265" spans="5:8">
      <c r="E1265" s="477"/>
      <c r="F1265" s="477"/>
      <c r="G1265" s="642"/>
      <c r="H1265" s="642"/>
    </row>
    <row r="1266" spans="5:8">
      <c r="E1266" s="477"/>
      <c r="F1266" s="477"/>
      <c r="G1266" s="642"/>
      <c r="H1266" s="642"/>
    </row>
    <row r="1267" spans="5:8">
      <c r="E1267" s="477"/>
      <c r="F1267" s="477"/>
      <c r="G1267" s="642"/>
      <c r="H1267" s="642"/>
    </row>
    <row r="1268" spans="5:8">
      <c r="E1268" s="477"/>
      <c r="F1268" s="477"/>
      <c r="G1268" s="642"/>
      <c r="H1268" s="642"/>
    </row>
    <row r="1269" spans="5:8">
      <c r="E1269" s="477"/>
      <c r="F1269" s="477"/>
      <c r="G1269" s="642"/>
      <c r="H1269" s="642"/>
    </row>
    <row r="1270" spans="5:8">
      <c r="E1270" s="477"/>
      <c r="F1270" s="477"/>
      <c r="G1270" s="642"/>
      <c r="H1270" s="642"/>
    </row>
    <row r="1271" spans="5:8">
      <c r="E1271" s="477"/>
      <c r="F1271" s="477"/>
      <c r="G1271" s="642"/>
      <c r="H1271" s="642"/>
    </row>
    <row r="1272" spans="5:8">
      <c r="E1272" s="477"/>
      <c r="F1272" s="477"/>
      <c r="G1272" s="642"/>
      <c r="H1272" s="642"/>
    </row>
    <row r="1273" spans="5:8">
      <c r="E1273" s="477"/>
      <c r="F1273" s="477"/>
      <c r="G1273" s="642"/>
      <c r="H1273" s="642"/>
    </row>
    <row r="1274" spans="5:8">
      <c r="E1274" s="477"/>
      <c r="F1274" s="477"/>
      <c r="G1274" s="642"/>
      <c r="H1274" s="642"/>
    </row>
    <row r="1275" spans="5:8">
      <c r="E1275" s="477"/>
      <c r="F1275" s="477"/>
      <c r="G1275" s="642"/>
      <c r="H1275" s="642"/>
    </row>
    <row r="1276" spans="5:8">
      <c r="E1276" s="477"/>
      <c r="F1276" s="477"/>
      <c r="G1276" s="642"/>
      <c r="H1276" s="642"/>
    </row>
    <row r="1277" spans="5:8">
      <c r="E1277" s="477"/>
      <c r="F1277" s="477"/>
      <c r="G1277" s="642"/>
      <c r="H1277" s="642"/>
    </row>
    <row r="1278" spans="5:8">
      <c r="E1278" s="477"/>
      <c r="F1278" s="477"/>
      <c r="G1278" s="642"/>
      <c r="H1278" s="642"/>
    </row>
    <row r="1279" spans="5:8">
      <c r="E1279" s="477"/>
      <c r="F1279" s="477"/>
      <c r="G1279" s="642"/>
      <c r="H1279" s="642"/>
    </row>
    <row r="1280" spans="5:8">
      <c r="E1280" s="477"/>
      <c r="F1280" s="477"/>
      <c r="G1280" s="642"/>
      <c r="H1280" s="642"/>
    </row>
    <row r="1281" spans="5:8">
      <c r="E1281" s="477"/>
      <c r="F1281" s="477"/>
      <c r="G1281" s="642"/>
      <c r="H1281" s="642"/>
    </row>
    <row r="1282" spans="5:8">
      <c r="E1282" s="477"/>
      <c r="F1282" s="477"/>
      <c r="G1282" s="642"/>
      <c r="H1282" s="642"/>
    </row>
    <row r="1283" spans="5:8">
      <c r="E1283" s="477"/>
      <c r="F1283" s="477"/>
      <c r="G1283" s="642"/>
      <c r="H1283" s="642"/>
    </row>
    <row r="1284" spans="5:8">
      <c r="E1284" s="477"/>
      <c r="F1284" s="477"/>
      <c r="G1284" s="642"/>
      <c r="H1284" s="642"/>
    </row>
    <row r="1285" spans="5:8">
      <c r="E1285" s="477"/>
      <c r="F1285" s="477"/>
      <c r="G1285" s="642"/>
      <c r="H1285" s="642"/>
    </row>
    <row r="1286" spans="5:8">
      <c r="E1286" s="477"/>
      <c r="F1286" s="477"/>
      <c r="G1286" s="642"/>
      <c r="H1286" s="642"/>
    </row>
    <row r="1287" spans="5:8">
      <c r="E1287" s="477"/>
      <c r="F1287" s="477"/>
      <c r="G1287" s="642"/>
      <c r="H1287" s="642"/>
    </row>
    <row r="1288" spans="5:8">
      <c r="E1288" s="477"/>
      <c r="F1288" s="477"/>
      <c r="G1288" s="642"/>
      <c r="H1288" s="642"/>
    </row>
    <row r="1289" spans="5:8">
      <c r="E1289" s="477"/>
      <c r="F1289" s="477"/>
      <c r="G1289" s="642"/>
      <c r="H1289" s="642"/>
    </row>
    <row r="1290" spans="5:8">
      <c r="E1290" s="477"/>
      <c r="F1290" s="477"/>
      <c r="G1290" s="642"/>
      <c r="H1290" s="642"/>
    </row>
    <row r="1291" spans="5:8">
      <c r="E1291" s="477"/>
      <c r="F1291" s="477"/>
      <c r="G1291" s="642"/>
      <c r="H1291" s="642"/>
    </row>
    <row r="1292" spans="5:8">
      <c r="E1292" s="477"/>
      <c r="F1292" s="477"/>
      <c r="G1292" s="642"/>
      <c r="H1292" s="642"/>
    </row>
    <row r="1293" spans="5:8">
      <c r="E1293" s="477"/>
      <c r="F1293" s="477"/>
      <c r="G1293" s="642"/>
      <c r="H1293" s="642"/>
    </row>
    <row r="1294" spans="5:8">
      <c r="E1294" s="477"/>
      <c r="F1294" s="477"/>
      <c r="G1294" s="642"/>
      <c r="H1294" s="642"/>
    </row>
    <row r="1295" spans="5:8">
      <c r="E1295" s="477"/>
      <c r="F1295" s="477"/>
      <c r="G1295" s="642"/>
      <c r="H1295" s="642"/>
    </row>
    <row r="1296" spans="5:8">
      <c r="E1296" s="477"/>
      <c r="F1296" s="477"/>
      <c r="G1296" s="642"/>
      <c r="H1296" s="642"/>
    </row>
    <row r="1297" spans="5:8">
      <c r="E1297" s="477"/>
      <c r="F1297" s="477"/>
      <c r="G1297" s="642"/>
      <c r="H1297" s="642"/>
    </row>
    <row r="1298" spans="5:8">
      <c r="E1298" s="477"/>
      <c r="F1298" s="477"/>
      <c r="G1298" s="642"/>
      <c r="H1298" s="642"/>
    </row>
    <row r="1299" spans="5:8">
      <c r="E1299" s="477"/>
      <c r="F1299" s="477"/>
      <c r="G1299" s="642"/>
      <c r="H1299" s="642"/>
    </row>
    <row r="1300" spans="5:8">
      <c r="E1300" s="477"/>
      <c r="F1300" s="477"/>
      <c r="G1300" s="642"/>
      <c r="H1300" s="642"/>
    </row>
    <row r="1301" spans="5:8">
      <c r="E1301" s="477"/>
      <c r="F1301" s="477"/>
      <c r="G1301" s="642"/>
      <c r="H1301" s="642"/>
    </row>
    <row r="1302" spans="5:8">
      <c r="E1302" s="477"/>
      <c r="F1302" s="477"/>
      <c r="G1302" s="642"/>
      <c r="H1302" s="642"/>
    </row>
    <row r="1303" spans="5:8">
      <c r="E1303" s="477"/>
      <c r="F1303" s="477"/>
      <c r="G1303" s="642"/>
      <c r="H1303" s="642"/>
    </row>
    <row r="1304" spans="5:8">
      <c r="E1304" s="477"/>
      <c r="F1304" s="477"/>
      <c r="G1304" s="642"/>
      <c r="H1304" s="642"/>
    </row>
    <row r="1305" spans="5:8">
      <c r="E1305" s="477"/>
      <c r="F1305" s="477"/>
      <c r="G1305" s="642"/>
      <c r="H1305" s="642"/>
    </row>
    <row r="1306" spans="5:8">
      <c r="E1306" s="477"/>
      <c r="F1306" s="477"/>
      <c r="G1306" s="642"/>
      <c r="H1306" s="642"/>
    </row>
    <row r="1307" spans="5:8">
      <c r="E1307" s="477"/>
      <c r="F1307" s="477"/>
      <c r="G1307" s="642"/>
      <c r="H1307" s="642"/>
    </row>
    <row r="1308" spans="5:8">
      <c r="E1308" s="477"/>
      <c r="F1308" s="477"/>
      <c r="G1308" s="642"/>
      <c r="H1308" s="642"/>
    </row>
    <row r="1309" spans="5:8">
      <c r="E1309" s="477"/>
      <c r="F1309" s="477"/>
      <c r="G1309" s="642"/>
      <c r="H1309" s="642"/>
    </row>
    <row r="1310" spans="5:8">
      <c r="E1310" s="477"/>
      <c r="F1310" s="477"/>
      <c r="G1310" s="642"/>
      <c r="H1310" s="642"/>
    </row>
    <row r="1311" spans="5:8">
      <c r="E1311" s="477"/>
      <c r="F1311" s="477"/>
      <c r="G1311" s="642"/>
      <c r="H1311" s="642"/>
    </row>
    <row r="1312" spans="5:8">
      <c r="E1312" s="477"/>
      <c r="F1312" s="477"/>
      <c r="G1312" s="642"/>
      <c r="H1312" s="642"/>
    </row>
    <row r="1313" spans="5:8">
      <c r="E1313" s="477"/>
      <c r="F1313" s="477"/>
      <c r="G1313" s="642"/>
      <c r="H1313" s="642"/>
    </row>
    <row r="1314" spans="5:8">
      <c r="E1314" s="477"/>
      <c r="F1314" s="477"/>
      <c r="G1314" s="642"/>
      <c r="H1314" s="642"/>
    </row>
    <row r="1315" spans="5:8">
      <c r="E1315" s="477"/>
      <c r="F1315" s="477"/>
      <c r="G1315" s="642"/>
      <c r="H1315" s="642"/>
    </row>
    <row r="1316" spans="5:8">
      <c r="E1316" s="477"/>
      <c r="F1316" s="477"/>
      <c r="G1316" s="642"/>
      <c r="H1316" s="642"/>
    </row>
    <row r="1317" spans="5:8">
      <c r="E1317" s="477"/>
      <c r="F1317" s="477"/>
      <c r="G1317" s="642"/>
      <c r="H1317" s="642"/>
    </row>
    <row r="1318" spans="5:8">
      <c r="E1318" s="477"/>
      <c r="F1318" s="477"/>
      <c r="G1318" s="642"/>
      <c r="H1318" s="642"/>
    </row>
    <row r="1319" spans="5:8">
      <c r="E1319" s="477"/>
      <c r="F1319" s="477"/>
      <c r="G1319" s="642"/>
      <c r="H1319" s="642"/>
    </row>
    <row r="1320" spans="5:8">
      <c r="E1320" s="477"/>
      <c r="F1320" s="477"/>
      <c r="G1320" s="642"/>
      <c r="H1320" s="642"/>
    </row>
    <row r="1321" spans="5:8">
      <c r="E1321" s="477"/>
      <c r="F1321" s="477"/>
      <c r="G1321" s="642"/>
      <c r="H1321" s="642"/>
    </row>
    <row r="1322" spans="5:8">
      <c r="E1322" s="477"/>
      <c r="F1322" s="477"/>
      <c r="G1322" s="642"/>
      <c r="H1322" s="642"/>
    </row>
    <row r="1323" spans="5:8">
      <c r="E1323" s="477"/>
      <c r="F1323" s="477"/>
      <c r="G1323" s="642"/>
      <c r="H1323" s="642"/>
    </row>
    <row r="1324" spans="5:8">
      <c r="E1324" s="477"/>
      <c r="F1324" s="477"/>
      <c r="G1324" s="642"/>
      <c r="H1324" s="642"/>
    </row>
    <row r="1325" spans="5:8">
      <c r="E1325" s="477"/>
      <c r="F1325" s="477"/>
      <c r="G1325" s="642"/>
      <c r="H1325" s="642"/>
    </row>
    <row r="1326" spans="5:8">
      <c r="E1326" s="477"/>
      <c r="F1326" s="477"/>
      <c r="G1326" s="642"/>
      <c r="H1326" s="642"/>
    </row>
    <row r="1327" spans="5:8">
      <c r="E1327" s="477"/>
      <c r="F1327" s="477"/>
      <c r="G1327" s="642"/>
      <c r="H1327" s="642"/>
    </row>
    <row r="1328" spans="5:8">
      <c r="E1328" s="477"/>
      <c r="F1328" s="477"/>
      <c r="G1328" s="642"/>
      <c r="H1328" s="642"/>
    </row>
    <row r="1329" spans="5:8">
      <c r="E1329" s="477"/>
      <c r="F1329" s="477"/>
      <c r="G1329" s="642"/>
      <c r="H1329" s="642"/>
    </row>
    <row r="1330" spans="5:8">
      <c r="E1330" s="477"/>
      <c r="F1330" s="477"/>
      <c r="G1330" s="642"/>
      <c r="H1330" s="642"/>
    </row>
    <row r="1331" spans="5:8">
      <c r="E1331" s="477"/>
      <c r="F1331" s="477"/>
      <c r="G1331" s="642"/>
      <c r="H1331" s="642"/>
    </row>
    <row r="1332" spans="5:8">
      <c r="E1332" s="477"/>
      <c r="F1332" s="477"/>
      <c r="G1332" s="642"/>
      <c r="H1332" s="642"/>
    </row>
    <row r="1333" spans="5:8">
      <c r="E1333" s="477"/>
      <c r="F1333" s="477"/>
      <c r="G1333" s="642"/>
      <c r="H1333" s="642"/>
    </row>
    <row r="1334" spans="5:8">
      <c r="E1334" s="477"/>
      <c r="F1334" s="477"/>
      <c r="G1334" s="642"/>
      <c r="H1334" s="642"/>
    </row>
    <row r="1335" spans="5:8">
      <c r="E1335" s="477"/>
      <c r="F1335" s="477"/>
      <c r="G1335" s="642"/>
      <c r="H1335" s="642"/>
    </row>
    <row r="1336" spans="5:8">
      <c r="E1336" s="477"/>
      <c r="F1336" s="477"/>
      <c r="G1336" s="642"/>
      <c r="H1336" s="642"/>
    </row>
    <row r="1337" spans="5:8">
      <c r="E1337" s="477"/>
      <c r="F1337" s="477"/>
      <c r="G1337" s="642"/>
      <c r="H1337" s="642"/>
    </row>
    <row r="1338" spans="5:8">
      <c r="E1338" s="477"/>
      <c r="F1338" s="477"/>
      <c r="G1338" s="642"/>
      <c r="H1338" s="642"/>
    </row>
    <row r="1339" spans="5:8">
      <c r="E1339" s="477"/>
      <c r="F1339" s="477"/>
      <c r="G1339" s="642"/>
      <c r="H1339" s="642"/>
    </row>
    <row r="1340" spans="5:8">
      <c r="E1340" s="477"/>
      <c r="F1340" s="477"/>
      <c r="G1340" s="642"/>
      <c r="H1340" s="642"/>
    </row>
    <row r="1341" spans="5:8">
      <c r="E1341" s="477"/>
      <c r="F1341" s="477"/>
      <c r="G1341" s="642"/>
      <c r="H1341" s="642"/>
    </row>
    <row r="1342" spans="5:8">
      <c r="E1342" s="477"/>
      <c r="F1342" s="477"/>
      <c r="G1342" s="642"/>
      <c r="H1342" s="642"/>
    </row>
    <row r="1343" spans="5:8">
      <c r="E1343" s="477"/>
      <c r="F1343" s="477"/>
      <c r="G1343" s="642"/>
      <c r="H1343" s="642"/>
    </row>
    <row r="1344" spans="5:8">
      <c r="E1344" s="477"/>
      <c r="F1344" s="477"/>
      <c r="G1344" s="642"/>
      <c r="H1344" s="642"/>
    </row>
    <row r="1345" spans="5:8">
      <c r="E1345" s="477"/>
      <c r="F1345" s="477"/>
      <c r="G1345" s="642"/>
      <c r="H1345" s="642"/>
    </row>
    <row r="1346" spans="5:8">
      <c r="E1346" s="477"/>
      <c r="F1346" s="477"/>
      <c r="G1346" s="642"/>
      <c r="H1346" s="642"/>
    </row>
    <row r="1347" spans="5:8">
      <c r="E1347" s="477"/>
      <c r="F1347" s="477"/>
      <c r="G1347" s="642"/>
      <c r="H1347" s="642"/>
    </row>
    <row r="1348" spans="5:8">
      <c r="E1348" s="477"/>
      <c r="F1348" s="477"/>
      <c r="G1348" s="642"/>
      <c r="H1348" s="642"/>
    </row>
    <row r="1349" spans="5:8">
      <c r="E1349" s="477"/>
      <c r="F1349" s="477"/>
      <c r="G1349" s="642"/>
      <c r="H1349" s="642"/>
    </row>
    <row r="1350" spans="5:8">
      <c r="E1350" s="477"/>
      <c r="F1350" s="477"/>
      <c r="G1350" s="642"/>
      <c r="H1350" s="642"/>
    </row>
    <row r="1351" spans="5:8">
      <c r="E1351" s="477"/>
      <c r="F1351" s="477"/>
      <c r="G1351" s="642"/>
      <c r="H1351" s="642"/>
    </row>
    <row r="1352" spans="5:8">
      <c r="E1352" s="477"/>
      <c r="F1352" s="477"/>
      <c r="G1352" s="642"/>
      <c r="H1352" s="642"/>
    </row>
    <row r="1353" spans="5:8">
      <c r="E1353" s="477"/>
      <c r="F1353" s="477"/>
      <c r="G1353" s="642"/>
      <c r="H1353" s="642"/>
    </row>
    <row r="1354" spans="5:8">
      <c r="E1354" s="477"/>
      <c r="F1354" s="477"/>
      <c r="G1354" s="642"/>
      <c r="H1354" s="642"/>
    </row>
    <row r="1355" spans="5:8">
      <c r="E1355" s="477"/>
      <c r="F1355" s="477"/>
      <c r="G1355" s="642"/>
      <c r="H1355" s="642"/>
    </row>
    <row r="1356" spans="5:8">
      <c r="E1356" s="477"/>
      <c r="F1356" s="477"/>
      <c r="G1356" s="642"/>
      <c r="H1356" s="642"/>
    </row>
    <row r="1357" spans="5:8">
      <c r="E1357" s="477"/>
      <c r="F1357" s="477"/>
      <c r="G1357" s="642"/>
      <c r="H1357" s="642"/>
    </row>
    <row r="1358" spans="5:8">
      <c r="E1358" s="477"/>
      <c r="F1358" s="477"/>
      <c r="G1358" s="642"/>
      <c r="H1358" s="642"/>
    </row>
    <row r="1359" spans="5:8">
      <c r="E1359" s="477"/>
      <c r="F1359" s="477"/>
      <c r="G1359" s="642"/>
      <c r="H1359" s="642"/>
    </row>
    <row r="1360" spans="5:8">
      <c r="E1360" s="477"/>
      <c r="F1360" s="477"/>
      <c r="G1360" s="642"/>
      <c r="H1360" s="642"/>
    </row>
    <row r="1361" spans="5:8">
      <c r="E1361" s="477"/>
      <c r="F1361" s="477"/>
      <c r="G1361" s="642"/>
      <c r="H1361" s="642"/>
    </row>
    <row r="1362" spans="5:8">
      <c r="E1362" s="477"/>
      <c r="F1362" s="477"/>
      <c r="G1362" s="642"/>
      <c r="H1362" s="642"/>
    </row>
    <row r="1363" spans="5:8">
      <c r="E1363" s="477"/>
      <c r="F1363" s="477"/>
      <c r="G1363" s="642"/>
      <c r="H1363" s="642"/>
    </row>
    <row r="1364" spans="5:8">
      <c r="E1364" s="477"/>
      <c r="F1364" s="477"/>
      <c r="G1364" s="642"/>
      <c r="H1364" s="642"/>
    </row>
    <row r="1365" spans="5:8">
      <c r="E1365" s="477"/>
      <c r="F1365" s="477"/>
      <c r="G1365" s="642"/>
      <c r="H1365" s="642"/>
    </row>
    <row r="1366" spans="5:8">
      <c r="E1366" s="477"/>
      <c r="F1366" s="477"/>
      <c r="G1366" s="642"/>
      <c r="H1366" s="642"/>
    </row>
    <row r="1367" spans="5:8">
      <c r="E1367" s="477"/>
      <c r="F1367" s="477"/>
      <c r="G1367" s="642"/>
      <c r="H1367" s="642"/>
    </row>
    <row r="1368" spans="5:8">
      <c r="E1368" s="477"/>
      <c r="F1368" s="477"/>
      <c r="G1368" s="642"/>
      <c r="H1368" s="642"/>
    </row>
    <row r="1369" spans="5:8">
      <c r="E1369" s="477"/>
      <c r="F1369" s="477"/>
      <c r="G1369" s="642"/>
      <c r="H1369" s="642"/>
    </row>
    <row r="1370" spans="5:8">
      <c r="E1370" s="477"/>
      <c r="F1370" s="477"/>
      <c r="G1370" s="642"/>
      <c r="H1370" s="642"/>
    </row>
    <row r="1371" spans="5:8">
      <c r="E1371" s="477"/>
      <c r="F1371" s="477"/>
      <c r="G1371" s="642"/>
      <c r="H1371" s="642"/>
    </row>
    <row r="1372" spans="5:8">
      <c r="E1372" s="477"/>
      <c r="F1372" s="477"/>
      <c r="G1372" s="642"/>
      <c r="H1372" s="642"/>
    </row>
    <row r="1373" spans="5:8">
      <c r="E1373" s="477"/>
      <c r="F1373" s="477"/>
      <c r="G1373" s="642"/>
      <c r="H1373" s="642"/>
    </row>
    <row r="1374" spans="5:8">
      <c r="E1374" s="477"/>
      <c r="F1374" s="477"/>
      <c r="G1374" s="642"/>
      <c r="H1374" s="642"/>
    </row>
    <row r="1375" spans="5:8">
      <c r="E1375" s="477"/>
      <c r="F1375" s="477"/>
      <c r="G1375" s="642"/>
      <c r="H1375" s="642"/>
    </row>
    <row r="1376" spans="5:8">
      <c r="E1376" s="477"/>
      <c r="F1376" s="477"/>
      <c r="G1376" s="642"/>
      <c r="H1376" s="642"/>
    </row>
    <row r="1377" spans="5:8">
      <c r="E1377" s="477"/>
      <c r="F1377" s="477"/>
      <c r="G1377" s="642"/>
      <c r="H1377" s="642"/>
    </row>
    <row r="1378" spans="5:8">
      <c r="E1378" s="477"/>
      <c r="F1378" s="477"/>
      <c r="G1378" s="642"/>
      <c r="H1378" s="642"/>
    </row>
    <row r="1379" spans="5:8">
      <c r="E1379" s="477"/>
      <c r="F1379" s="477"/>
      <c r="G1379" s="642"/>
      <c r="H1379" s="642"/>
    </row>
    <row r="1380" spans="5:8">
      <c r="E1380" s="477"/>
      <c r="F1380" s="477"/>
      <c r="G1380" s="642"/>
      <c r="H1380" s="642"/>
    </row>
    <row r="1381" spans="5:8">
      <c r="E1381" s="477"/>
      <c r="F1381" s="477"/>
      <c r="G1381" s="642"/>
      <c r="H1381" s="642"/>
    </row>
    <row r="1382" spans="5:8">
      <c r="E1382" s="477"/>
      <c r="F1382" s="477"/>
      <c r="G1382" s="642"/>
      <c r="H1382" s="642"/>
    </row>
    <row r="1383" spans="5:8">
      <c r="E1383" s="477"/>
      <c r="F1383" s="477"/>
      <c r="G1383" s="642"/>
      <c r="H1383" s="642"/>
    </row>
    <row r="1384" spans="5:8">
      <c r="E1384" s="477"/>
      <c r="F1384" s="477"/>
      <c r="G1384" s="642"/>
      <c r="H1384" s="642"/>
    </row>
    <row r="1385" spans="5:8">
      <c r="E1385" s="477"/>
      <c r="F1385" s="477"/>
      <c r="G1385" s="642"/>
      <c r="H1385" s="642"/>
    </row>
    <row r="1386" spans="5:8">
      <c r="E1386" s="477"/>
      <c r="F1386" s="477"/>
      <c r="G1386" s="642"/>
      <c r="H1386" s="642"/>
    </row>
    <row r="1387" spans="5:8">
      <c r="E1387" s="477"/>
      <c r="F1387" s="477"/>
      <c r="G1387" s="642"/>
      <c r="H1387" s="642"/>
    </row>
    <row r="1388" spans="5:8">
      <c r="E1388" s="477"/>
      <c r="F1388" s="477"/>
      <c r="G1388" s="642"/>
      <c r="H1388" s="642"/>
    </row>
    <row r="1389" spans="5:8">
      <c r="E1389" s="477"/>
      <c r="F1389" s="477"/>
      <c r="G1389" s="642"/>
      <c r="H1389" s="642"/>
    </row>
    <row r="1390" spans="5:8">
      <c r="E1390" s="477"/>
      <c r="F1390" s="477"/>
      <c r="G1390" s="642"/>
      <c r="H1390" s="642"/>
    </row>
    <row r="1391" spans="5:8">
      <c r="E1391" s="477"/>
      <c r="F1391" s="477"/>
      <c r="G1391" s="642"/>
      <c r="H1391" s="642"/>
    </row>
    <row r="1392" spans="5:8">
      <c r="E1392" s="477"/>
      <c r="F1392" s="477"/>
      <c r="G1392" s="642"/>
      <c r="H1392" s="642"/>
    </row>
    <row r="1393" spans="5:8">
      <c r="E1393" s="477"/>
      <c r="F1393" s="477"/>
      <c r="G1393" s="642"/>
      <c r="H1393" s="642"/>
    </row>
    <row r="1394" spans="5:8">
      <c r="E1394" s="477"/>
      <c r="F1394" s="477"/>
      <c r="G1394" s="642"/>
      <c r="H1394" s="642"/>
    </row>
    <row r="1395" spans="5:8">
      <c r="E1395" s="477"/>
      <c r="F1395" s="477"/>
      <c r="G1395" s="642"/>
      <c r="H1395" s="642"/>
    </row>
    <row r="1396" spans="5:8">
      <c r="E1396" s="477"/>
      <c r="F1396" s="477"/>
      <c r="G1396" s="642"/>
      <c r="H1396" s="642"/>
    </row>
    <row r="1397" spans="5:8">
      <c r="E1397" s="477"/>
      <c r="F1397" s="477"/>
      <c r="G1397" s="642"/>
      <c r="H1397" s="642"/>
    </row>
    <row r="1398" spans="5:8">
      <c r="E1398" s="477"/>
      <c r="F1398" s="477"/>
      <c r="G1398" s="642"/>
      <c r="H1398" s="642"/>
    </row>
    <row r="1399" spans="5:8">
      <c r="E1399" s="477"/>
      <c r="F1399" s="477"/>
      <c r="G1399" s="642"/>
      <c r="H1399" s="642"/>
    </row>
    <row r="1400" spans="5:8">
      <c r="E1400" s="477"/>
      <c r="F1400" s="477"/>
      <c r="G1400" s="642"/>
      <c r="H1400" s="642"/>
    </row>
    <row r="1401" spans="5:8">
      <c r="E1401" s="477"/>
      <c r="F1401" s="477"/>
      <c r="G1401" s="642"/>
      <c r="H1401" s="642"/>
    </row>
    <row r="1402" spans="5:8">
      <c r="E1402" s="477"/>
      <c r="F1402" s="477"/>
      <c r="G1402" s="642"/>
      <c r="H1402" s="642"/>
    </row>
    <row r="1403" spans="5:8">
      <c r="E1403" s="477"/>
      <c r="F1403" s="477"/>
      <c r="G1403" s="642"/>
      <c r="H1403" s="642"/>
    </row>
    <row r="1404" spans="5:8">
      <c r="E1404" s="477"/>
      <c r="F1404" s="477"/>
      <c r="G1404" s="642"/>
      <c r="H1404" s="642"/>
    </row>
    <row r="1405" spans="5:8">
      <c r="E1405" s="477"/>
      <c r="F1405" s="477"/>
      <c r="G1405" s="642"/>
      <c r="H1405" s="642"/>
    </row>
    <row r="1406" spans="5:8">
      <c r="E1406" s="477"/>
      <c r="F1406" s="477"/>
      <c r="G1406" s="642"/>
      <c r="H1406" s="642"/>
    </row>
    <row r="1407" spans="5:8">
      <c r="E1407" s="477"/>
      <c r="F1407" s="477"/>
      <c r="G1407" s="642"/>
      <c r="H1407" s="642"/>
    </row>
    <row r="1408" spans="5:8">
      <c r="E1408" s="477"/>
      <c r="F1408" s="477"/>
      <c r="G1408" s="642"/>
      <c r="H1408" s="642"/>
    </row>
    <row r="1409" spans="5:8">
      <c r="E1409" s="477"/>
      <c r="F1409" s="477"/>
      <c r="G1409" s="642"/>
      <c r="H1409" s="642"/>
    </row>
    <row r="1410" spans="5:8">
      <c r="E1410" s="477"/>
      <c r="F1410" s="477"/>
      <c r="G1410" s="642"/>
      <c r="H1410" s="642"/>
    </row>
    <row r="1411" spans="5:8">
      <c r="E1411" s="477"/>
      <c r="F1411" s="477"/>
      <c r="G1411" s="642"/>
      <c r="H1411" s="642"/>
    </row>
    <row r="1412" spans="5:8">
      <c r="E1412" s="477"/>
      <c r="F1412" s="477"/>
      <c r="G1412" s="642"/>
      <c r="H1412" s="642"/>
    </row>
    <row r="1413" spans="5:8">
      <c r="E1413" s="477"/>
      <c r="F1413" s="477"/>
      <c r="G1413" s="642"/>
      <c r="H1413" s="642"/>
    </row>
    <row r="1414" spans="5:8">
      <c r="E1414" s="477"/>
      <c r="F1414" s="477"/>
      <c r="G1414" s="642"/>
      <c r="H1414" s="642"/>
    </row>
    <row r="1415" spans="5:8">
      <c r="E1415" s="477"/>
      <c r="F1415" s="477"/>
      <c r="G1415" s="642"/>
      <c r="H1415" s="642"/>
    </row>
    <row r="1416" spans="5:8">
      <c r="E1416" s="477"/>
      <c r="F1416" s="477"/>
      <c r="G1416" s="642"/>
      <c r="H1416" s="642"/>
    </row>
    <row r="1417" spans="5:8">
      <c r="E1417" s="477"/>
      <c r="F1417" s="477"/>
      <c r="G1417" s="642"/>
      <c r="H1417" s="642"/>
    </row>
    <row r="1418" spans="5:8">
      <c r="E1418" s="477"/>
      <c r="F1418" s="477"/>
      <c r="G1418" s="642"/>
      <c r="H1418" s="642"/>
    </row>
    <row r="1419" spans="5:8">
      <c r="E1419" s="477"/>
      <c r="F1419" s="477"/>
      <c r="G1419" s="642"/>
      <c r="H1419" s="642"/>
    </row>
    <row r="1420" spans="5:8">
      <c r="E1420" s="477"/>
      <c r="F1420" s="477"/>
      <c r="G1420" s="642"/>
      <c r="H1420" s="642"/>
    </row>
    <row r="1421" spans="5:8">
      <c r="E1421" s="477"/>
      <c r="F1421" s="477"/>
      <c r="G1421" s="642"/>
      <c r="H1421" s="642"/>
    </row>
    <row r="1422" spans="5:8">
      <c r="E1422" s="477"/>
      <c r="F1422" s="477"/>
      <c r="G1422" s="642"/>
      <c r="H1422" s="642"/>
    </row>
    <row r="1423" spans="5:8">
      <c r="E1423" s="477"/>
      <c r="F1423" s="477"/>
      <c r="G1423" s="642"/>
      <c r="H1423" s="642"/>
    </row>
    <row r="1424" spans="5:8">
      <c r="E1424" s="477"/>
      <c r="F1424" s="477"/>
      <c r="G1424" s="642"/>
      <c r="H1424" s="642"/>
    </row>
    <row r="1425" spans="5:8">
      <c r="E1425" s="477"/>
      <c r="F1425" s="477"/>
      <c r="G1425" s="642"/>
      <c r="H1425" s="642"/>
    </row>
    <row r="1426" spans="5:8">
      <c r="E1426" s="477"/>
      <c r="F1426" s="477"/>
      <c r="G1426" s="642"/>
      <c r="H1426" s="642"/>
    </row>
    <row r="1427" spans="5:8">
      <c r="E1427" s="477"/>
      <c r="F1427" s="477"/>
      <c r="G1427" s="642"/>
      <c r="H1427" s="642"/>
    </row>
    <row r="1428" spans="5:8">
      <c r="E1428" s="477"/>
      <c r="F1428" s="477"/>
      <c r="G1428" s="642"/>
      <c r="H1428" s="642"/>
    </row>
    <row r="1429" spans="5:8">
      <c r="E1429" s="477"/>
      <c r="F1429" s="477"/>
      <c r="G1429" s="642"/>
      <c r="H1429" s="642"/>
    </row>
    <row r="1430" spans="5:8">
      <c r="E1430" s="477"/>
      <c r="F1430" s="477"/>
      <c r="G1430" s="642"/>
      <c r="H1430" s="642"/>
    </row>
    <row r="1431" spans="5:8">
      <c r="E1431" s="477"/>
      <c r="F1431" s="477"/>
      <c r="G1431" s="642"/>
      <c r="H1431" s="642"/>
    </row>
    <row r="1432" spans="5:8">
      <c r="E1432" s="477"/>
      <c r="F1432" s="477"/>
      <c r="G1432" s="642"/>
      <c r="H1432" s="642"/>
    </row>
    <row r="1433" spans="5:8">
      <c r="E1433" s="477"/>
      <c r="F1433" s="477"/>
      <c r="G1433" s="642"/>
      <c r="H1433" s="642"/>
    </row>
    <row r="1434" spans="5:8">
      <c r="E1434" s="477"/>
      <c r="F1434" s="477"/>
      <c r="G1434" s="642"/>
      <c r="H1434" s="642"/>
    </row>
    <row r="1435" spans="5:8">
      <c r="E1435" s="477"/>
      <c r="F1435" s="477"/>
      <c r="G1435" s="642"/>
      <c r="H1435" s="642"/>
    </row>
    <row r="1436" spans="5:8">
      <c r="E1436" s="477"/>
      <c r="F1436" s="477"/>
      <c r="G1436" s="642"/>
      <c r="H1436" s="642"/>
    </row>
    <row r="1437" spans="5:8">
      <c r="E1437" s="477"/>
      <c r="F1437" s="477"/>
      <c r="G1437" s="642"/>
      <c r="H1437" s="642"/>
    </row>
    <row r="1438" spans="5:8">
      <c r="E1438" s="477"/>
      <c r="F1438" s="477"/>
      <c r="G1438" s="642"/>
      <c r="H1438" s="642"/>
    </row>
    <row r="1439" spans="5:8">
      <c r="E1439" s="477"/>
      <c r="F1439" s="477"/>
      <c r="G1439" s="642"/>
      <c r="H1439" s="642"/>
    </row>
    <row r="1440" spans="5:8">
      <c r="E1440" s="477"/>
      <c r="F1440" s="477"/>
      <c r="G1440" s="642"/>
      <c r="H1440" s="642"/>
    </row>
    <row r="1441" spans="5:8">
      <c r="E1441" s="477"/>
      <c r="F1441" s="477"/>
      <c r="G1441" s="642"/>
      <c r="H1441" s="642"/>
    </row>
    <row r="1442" spans="5:8">
      <c r="E1442" s="477"/>
      <c r="F1442" s="477"/>
      <c r="G1442" s="642"/>
      <c r="H1442" s="642"/>
    </row>
    <row r="1443" spans="5:8">
      <c r="E1443" s="477"/>
      <c r="F1443" s="477"/>
      <c r="G1443" s="642"/>
      <c r="H1443" s="642"/>
    </row>
    <row r="1444" spans="5:8">
      <c r="E1444" s="477"/>
      <c r="F1444" s="477"/>
      <c r="G1444" s="642"/>
      <c r="H1444" s="642"/>
    </row>
    <row r="1445" spans="5:8">
      <c r="E1445" s="477"/>
      <c r="F1445" s="477"/>
      <c r="G1445" s="642"/>
      <c r="H1445" s="642"/>
    </row>
    <row r="1446" spans="5:8">
      <c r="E1446" s="477"/>
      <c r="F1446" s="477"/>
      <c r="G1446" s="642"/>
      <c r="H1446" s="642"/>
    </row>
    <row r="1447" spans="5:8">
      <c r="E1447" s="477"/>
      <c r="F1447" s="477"/>
      <c r="G1447" s="642"/>
      <c r="H1447" s="642"/>
    </row>
    <row r="1448" spans="5:8">
      <c r="E1448" s="477"/>
      <c r="F1448" s="477"/>
      <c r="G1448" s="642"/>
      <c r="H1448" s="642"/>
    </row>
    <row r="1449" spans="5:8">
      <c r="E1449" s="477"/>
      <c r="F1449" s="477"/>
      <c r="G1449" s="642"/>
      <c r="H1449" s="642"/>
    </row>
    <row r="1450" spans="5:8">
      <c r="E1450" s="477"/>
      <c r="F1450" s="477"/>
      <c r="G1450" s="642"/>
      <c r="H1450" s="642"/>
    </row>
    <row r="1451" spans="5:8">
      <c r="E1451" s="477"/>
      <c r="F1451" s="477"/>
      <c r="G1451" s="642"/>
      <c r="H1451" s="642"/>
    </row>
    <row r="1452" spans="5:8">
      <c r="E1452" s="477"/>
      <c r="F1452" s="477"/>
      <c r="G1452" s="642"/>
      <c r="H1452" s="642"/>
    </row>
    <row r="1453" spans="5:8">
      <c r="E1453" s="477"/>
      <c r="F1453" s="477"/>
      <c r="G1453" s="642"/>
      <c r="H1453" s="642"/>
    </row>
    <row r="1454" spans="5:8">
      <c r="E1454" s="477"/>
      <c r="F1454" s="477"/>
      <c r="G1454" s="642"/>
      <c r="H1454" s="642"/>
    </row>
    <row r="1455" spans="5:8">
      <c r="E1455" s="477"/>
      <c r="F1455" s="477"/>
      <c r="G1455" s="642"/>
      <c r="H1455" s="642"/>
    </row>
    <row r="1456" spans="5:8">
      <c r="E1456" s="477"/>
      <c r="F1456" s="477"/>
      <c r="G1456" s="642"/>
      <c r="H1456" s="642"/>
    </row>
    <row r="1457" spans="5:8">
      <c r="E1457" s="477"/>
      <c r="F1457" s="477"/>
      <c r="G1457" s="642"/>
      <c r="H1457" s="642"/>
    </row>
    <row r="1458" spans="5:8">
      <c r="E1458" s="477"/>
      <c r="F1458" s="477"/>
      <c r="G1458" s="642"/>
      <c r="H1458" s="642"/>
    </row>
    <row r="1459" spans="5:8">
      <c r="E1459" s="477"/>
      <c r="F1459" s="477"/>
      <c r="G1459" s="642"/>
      <c r="H1459" s="642"/>
    </row>
    <row r="1460" spans="5:8">
      <c r="E1460" s="477"/>
      <c r="F1460" s="477"/>
      <c r="G1460" s="642"/>
      <c r="H1460" s="642"/>
    </row>
    <row r="1461" spans="5:8">
      <c r="E1461" s="477"/>
      <c r="F1461" s="477"/>
      <c r="G1461" s="642"/>
      <c r="H1461" s="642"/>
    </row>
    <row r="1462" spans="5:8">
      <c r="E1462" s="477"/>
      <c r="F1462" s="477"/>
      <c r="G1462" s="642"/>
      <c r="H1462" s="642"/>
    </row>
    <row r="1463" spans="5:8">
      <c r="E1463" s="477"/>
      <c r="F1463" s="477"/>
      <c r="G1463" s="642"/>
      <c r="H1463" s="642"/>
    </row>
    <row r="1464" spans="5:8">
      <c r="E1464" s="477"/>
      <c r="F1464" s="477"/>
      <c r="G1464" s="642"/>
      <c r="H1464" s="642"/>
    </row>
    <row r="1465" spans="5:8">
      <c r="E1465" s="477"/>
      <c r="F1465" s="477"/>
      <c r="G1465" s="642"/>
      <c r="H1465" s="642"/>
    </row>
    <row r="1466" spans="5:8">
      <c r="E1466" s="477"/>
      <c r="F1466" s="477"/>
      <c r="G1466" s="642"/>
      <c r="H1466" s="642"/>
    </row>
    <row r="1467" spans="5:8">
      <c r="E1467" s="477"/>
      <c r="F1467" s="477"/>
      <c r="G1467" s="642"/>
      <c r="H1467" s="642"/>
    </row>
    <row r="1468" spans="5:8">
      <c r="E1468" s="477"/>
      <c r="F1468" s="477"/>
      <c r="G1468" s="642"/>
      <c r="H1468" s="642"/>
    </row>
    <row r="1469" spans="5:8">
      <c r="E1469" s="477"/>
      <c r="F1469" s="477"/>
      <c r="G1469" s="642"/>
      <c r="H1469" s="642"/>
    </row>
    <row r="1470" spans="5:8">
      <c r="E1470" s="477"/>
      <c r="F1470" s="477"/>
      <c r="G1470" s="642"/>
      <c r="H1470" s="642"/>
    </row>
    <row r="1471" spans="5:8">
      <c r="E1471" s="477"/>
      <c r="F1471" s="477"/>
      <c r="G1471" s="642"/>
      <c r="H1471" s="642"/>
    </row>
    <row r="1472" spans="5:8">
      <c r="E1472" s="477"/>
      <c r="F1472" s="477"/>
      <c r="G1472" s="642"/>
      <c r="H1472" s="642"/>
    </row>
    <row r="1473" spans="5:8">
      <c r="E1473" s="477"/>
      <c r="F1473" s="477"/>
      <c r="G1473" s="642"/>
      <c r="H1473" s="642"/>
    </row>
    <row r="1474" spans="5:8">
      <c r="E1474" s="477"/>
      <c r="F1474" s="477"/>
      <c r="G1474" s="642"/>
      <c r="H1474" s="642"/>
    </row>
    <row r="1475" spans="5:8">
      <c r="E1475" s="477"/>
      <c r="F1475" s="477"/>
      <c r="G1475" s="642"/>
      <c r="H1475" s="642"/>
    </row>
    <row r="1476" spans="5:8">
      <c r="E1476" s="477"/>
      <c r="F1476" s="477"/>
      <c r="G1476" s="642"/>
      <c r="H1476" s="642"/>
    </row>
    <row r="1477" spans="5:8">
      <c r="E1477" s="477"/>
      <c r="F1477" s="477"/>
      <c r="G1477" s="642"/>
      <c r="H1477" s="642"/>
    </row>
    <row r="1478" spans="5:8">
      <c r="E1478" s="477"/>
      <c r="F1478" s="477"/>
      <c r="G1478" s="642"/>
      <c r="H1478" s="642"/>
    </row>
    <row r="1479" spans="5:8">
      <c r="E1479" s="477"/>
      <c r="F1479" s="477"/>
      <c r="G1479" s="642"/>
      <c r="H1479" s="642"/>
    </row>
    <row r="1480" spans="5:8">
      <c r="E1480" s="477"/>
      <c r="F1480" s="477"/>
      <c r="G1480" s="642"/>
      <c r="H1480" s="642"/>
    </row>
    <row r="1481" spans="5:8">
      <c r="E1481" s="477"/>
      <c r="F1481" s="477"/>
      <c r="G1481" s="642"/>
      <c r="H1481" s="642"/>
    </row>
    <row r="1482" spans="5:8">
      <c r="E1482" s="477"/>
      <c r="F1482" s="477"/>
      <c r="G1482" s="642"/>
      <c r="H1482" s="642"/>
    </row>
    <row r="1483" spans="5:8">
      <c r="E1483" s="477"/>
      <c r="F1483" s="477"/>
      <c r="G1483" s="642"/>
      <c r="H1483" s="642"/>
    </row>
    <row r="1484" spans="5:8">
      <c r="E1484" s="477"/>
      <c r="F1484" s="477"/>
      <c r="G1484" s="642"/>
      <c r="H1484" s="642"/>
    </row>
    <row r="1485" spans="5:8">
      <c r="E1485" s="477"/>
      <c r="F1485" s="477"/>
      <c r="G1485" s="642"/>
      <c r="H1485" s="642"/>
    </row>
    <row r="1486" spans="5:8">
      <c r="E1486" s="477"/>
      <c r="F1486" s="477"/>
      <c r="G1486" s="642"/>
      <c r="H1486" s="642"/>
    </row>
    <row r="1487" spans="5:8">
      <c r="E1487" s="477"/>
      <c r="F1487" s="477"/>
      <c r="G1487" s="642"/>
      <c r="H1487" s="642"/>
    </row>
    <row r="1488" spans="5:8">
      <c r="E1488" s="477"/>
      <c r="F1488" s="477"/>
      <c r="G1488" s="642"/>
      <c r="H1488" s="642"/>
    </row>
    <row r="1489" spans="5:8">
      <c r="E1489" s="477"/>
      <c r="F1489" s="477"/>
      <c r="G1489" s="642"/>
      <c r="H1489" s="642"/>
    </row>
    <row r="1490" spans="5:8">
      <c r="E1490" s="477"/>
      <c r="F1490" s="477"/>
      <c r="G1490" s="642"/>
      <c r="H1490" s="642"/>
    </row>
    <row r="1491" spans="5:8">
      <c r="E1491" s="477"/>
      <c r="F1491" s="477"/>
      <c r="G1491" s="642"/>
      <c r="H1491" s="642"/>
    </row>
    <row r="1492" spans="5:8">
      <c r="E1492" s="477"/>
      <c r="F1492" s="477"/>
      <c r="G1492" s="642"/>
      <c r="H1492" s="642"/>
    </row>
    <row r="1493" spans="5:8">
      <c r="E1493" s="477"/>
      <c r="F1493" s="477"/>
      <c r="G1493" s="642"/>
      <c r="H1493" s="642"/>
    </row>
    <row r="1494" spans="5:8">
      <c r="E1494" s="477"/>
      <c r="F1494" s="477"/>
      <c r="G1494" s="642"/>
      <c r="H1494" s="642"/>
    </row>
    <row r="1495" spans="5:8">
      <c r="E1495" s="477"/>
      <c r="F1495" s="477"/>
      <c r="G1495" s="642"/>
      <c r="H1495" s="642"/>
    </row>
    <row r="1496" spans="5:8">
      <c r="E1496" s="477"/>
      <c r="F1496" s="477"/>
      <c r="G1496" s="642"/>
      <c r="H1496" s="642"/>
    </row>
    <row r="1497" spans="5:8">
      <c r="E1497" s="477"/>
      <c r="F1497" s="477"/>
      <c r="G1497" s="642"/>
      <c r="H1497" s="642"/>
    </row>
    <row r="1498" spans="5:8">
      <c r="E1498" s="477"/>
      <c r="F1498" s="477"/>
      <c r="G1498" s="642"/>
      <c r="H1498" s="642"/>
    </row>
    <row r="1499" spans="5:8">
      <c r="E1499" s="477"/>
      <c r="F1499" s="477"/>
      <c r="G1499" s="642"/>
      <c r="H1499" s="642"/>
    </row>
    <row r="1500" spans="5:8">
      <c r="E1500" s="477"/>
      <c r="F1500" s="477"/>
      <c r="G1500" s="642"/>
      <c r="H1500" s="642"/>
    </row>
    <row r="1501" spans="5:8">
      <c r="E1501" s="477"/>
      <c r="F1501" s="477"/>
      <c r="G1501" s="642"/>
      <c r="H1501" s="642"/>
    </row>
    <row r="1502" spans="5:8">
      <c r="E1502" s="477"/>
      <c r="F1502" s="477"/>
      <c r="G1502" s="642"/>
      <c r="H1502" s="642"/>
    </row>
    <row r="1503" spans="5:8">
      <c r="E1503" s="477"/>
      <c r="F1503" s="477"/>
      <c r="G1503" s="642"/>
      <c r="H1503" s="642"/>
    </row>
    <row r="1504" spans="5:8">
      <c r="E1504" s="477"/>
      <c r="F1504" s="477"/>
      <c r="G1504" s="642"/>
      <c r="H1504" s="642"/>
    </row>
    <row r="1505" spans="5:8">
      <c r="E1505" s="477"/>
      <c r="F1505" s="477"/>
      <c r="G1505" s="642"/>
      <c r="H1505" s="642"/>
    </row>
    <row r="1506" spans="5:8">
      <c r="E1506" s="477"/>
      <c r="F1506" s="477"/>
      <c r="G1506" s="642"/>
      <c r="H1506" s="642"/>
    </row>
    <row r="1507" spans="5:8">
      <c r="E1507" s="477"/>
      <c r="F1507" s="477"/>
      <c r="G1507" s="642"/>
      <c r="H1507" s="642"/>
    </row>
    <row r="1508" spans="5:8">
      <c r="E1508" s="477"/>
      <c r="F1508" s="477"/>
      <c r="G1508" s="642"/>
      <c r="H1508" s="642"/>
    </row>
    <row r="1509" spans="5:8">
      <c r="E1509" s="477"/>
      <c r="F1509" s="477"/>
      <c r="G1509" s="642"/>
      <c r="H1509" s="642"/>
    </row>
    <row r="1510" spans="5:8">
      <c r="E1510" s="477"/>
      <c r="F1510" s="477"/>
      <c r="G1510" s="642"/>
      <c r="H1510" s="642"/>
    </row>
    <row r="1511" spans="5:8">
      <c r="E1511" s="477"/>
      <c r="F1511" s="477"/>
      <c r="G1511" s="642"/>
      <c r="H1511" s="642"/>
    </row>
    <row r="1512" spans="5:8">
      <c r="E1512" s="477"/>
      <c r="F1512" s="477"/>
      <c r="G1512" s="642"/>
      <c r="H1512" s="642"/>
    </row>
    <row r="1513" spans="5:8">
      <c r="E1513" s="477"/>
      <c r="F1513" s="477"/>
      <c r="G1513" s="642"/>
      <c r="H1513" s="642"/>
    </row>
    <row r="1514" spans="5:8">
      <c r="E1514" s="477"/>
      <c r="F1514" s="477"/>
      <c r="G1514" s="642"/>
      <c r="H1514" s="642"/>
    </row>
    <row r="1515" spans="5:8">
      <c r="E1515" s="477"/>
      <c r="F1515" s="477"/>
      <c r="G1515" s="642"/>
      <c r="H1515" s="642"/>
    </row>
    <row r="1516" spans="5:8">
      <c r="E1516" s="477"/>
      <c r="F1516" s="477"/>
      <c r="G1516" s="642"/>
      <c r="H1516" s="642"/>
    </row>
    <row r="1517" spans="5:8">
      <c r="E1517" s="477"/>
      <c r="F1517" s="477"/>
      <c r="G1517" s="642"/>
      <c r="H1517" s="642"/>
    </row>
    <row r="1518" spans="5:8">
      <c r="E1518" s="477"/>
      <c r="F1518" s="477"/>
      <c r="G1518" s="642"/>
      <c r="H1518" s="642"/>
    </row>
    <row r="1519" spans="5:8">
      <c r="E1519" s="477"/>
      <c r="F1519" s="477"/>
      <c r="G1519" s="642"/>
      <c r="H1519" s="642"/>
    </row>
    <row r="1520" spans="5:8">
      <c r="E1520" s="477"/>
      <c r="F1520" s="477"/>
      <c r="G1520" s="642"/>
      <c r="H1520" s="642"/>
    </row>
    <row r="1521" spans="5:8">
      <c r="E1521" s="477"/>
      <c r="F1521" s="477"/>
      <c r="G1521" s="642"/>
      <c r="H1521" s="642"/>
    </row>
    <row r="1522" spans="5:8">
      <c r="E1522" s="477"/>
      <c r="F1522" s="477"/>
      <c r="G1522" s="642"/>
      <c r="H1522" s="642"/>
    </row>
    <row r="1523" spans="5:8">
      <c r="E1523" s="477"/>
      <c r="F1523" s="477"/>
      <c r="G1523" s="642"/>
      <c r="H1523" s="642"/>
    </row>
    <row r="1524" spans="5:8">
      <c r="E1524" s="477"/>
      <c r="F1524" s="477"/>
      <c r="G1524" s="642"/>
      <c r="H1524" s="642"/>
    </row>
    <row r="1525" spans="5:8">
      <c r="E1525" s="477"/>
      <c r="F1525" s="477"/>
      <c r="G1525" s="642"/>
      <c r="H1525" s="642"/>
    </row>
    <row r="1526" spans="5:8">
      <c r="E1526" s="477"/>
      <c r="F1526" s="477"/>
      <c r="G1526" s="642"/>
      <c r="H1526" s="642"/>
    </row>
    <row r="1527" spans="5:8">
      <c r="E1527" s="477"/>
      <c r="F1527" s="477"/>
      <c r="G1527" s="642"/>
      <c r="H1527" s="642"/>
    </row>
    <row r="1528" spans="5:8">
      <c r="E1528" s="477"/>
      <c r="F1528" s="477"/>
      <c r="G1528" s="642"/>
      <c r="H1528" s="642"/>
    </row>
    <row r="1529" spans="5:8">
      <c r="E1529" s="477"/>
      <c r="F1529" s="477"/>
      <c r="G1529" s="642"/>
      <c r="H1529" s="642"/>
    </row>
    <row r="1530" spans="5:8">
      <c r="E1530" s="477"/>
      <c r="F1530" s="477"/>
      <c r="G1530" s="642"/>
      <c r="H1530" s="642"/>
    </row>
    <row r="1531" spans="5:8">
      <c r="E1531" s="477"/>
      <c r="F1531" s="477"/>
      <c r="G1531" s="642"/>
      <c r="H1531" s="642"/>
    </row>
    <row r="1532" spans="5:8">
      <c r="E1532" s="477"/>
      <c r="F1532" s="477"/>
      <c r="G1532" s="642"/>
      <c r="H1532" s="642"/>
    </row>
    <row r="1533" spans="5:8">
      <c r="E1533" s="477"/>
      <c r="F1533" s="477"/>
      <c r="G1533" s="642"/>
      <c r="H1533" s="642"/>
    </row>
    <row r="1534" spans="5:8">
      <c r="E1534" s="477"/>
      <c r="F1534" s="477"/>
      <c r="G1534" s="642"/>
      <c r="H1534" s="642"/>
    </row>
    <row r="1535" spans="5:8">
      <c r="E1535" s="477"/>
      <c r="F1535" s="477"/>
      <c r="G1535" s="642"/>
      <c r="H1535" s="642"/>
    </row>
    <row r="1536" spans="5:8">
      <c r="E1536" s="477"/>
      <c r="F1536" s="477"/>
      <c r="G1536" s="642"/>
      <c r="H1536" s="642"/>
    </row>
    <row r="1537" spans="5:8">
      <c r="E1537" s="477"/>
      <c r="F1537" s="477"/>
      <c r="G1537" s="642"/>
      <c r="H1537" s="642"/>
    </row>
    <row r="1538" spans="5:8">
      <c r="E1538" s="477"/>
      <c r="F1538" s="477"/>
      <c r="G1538" s="642"/>
      <c r="H1538" s="642"/>
    </row>
    <row r="1539" spans="5:8">
      <c r="E1539" s="477"/>
      <c r="F1539" s="477"/>
      <c r="G1539" s="642"/>
      <c r="H1539" s="642"/>
    </row>
    <row r="1540" spans="5:8">
      <c r="E1540" s="477"/>
      <c r="F1540" s="477"/>
      <c r="G1540" s="642"/>
      <c r="H1540" s="642"/>
    </row>
    <row r="1541" spans="5:8">
      <c r="E1541" s="477"/>
      <c r="F1541" s="477"/>
      <c r="G1541" s="642"/>
      <c r="H1541" s="642"/>
    </row>
    <row r="1542" spans="5:8">
      <c r="E1542" s="477"/>
      <c r="F1542" s="477"/>
      <c r="G1542" s="642"/>
      <c r="H1542" s="642"/>
    </row>
    <row r="1543" spans="5:8">
      <c r="E1543" s="477"/>
      <c r="F1543" s="477"/>
      <c r="G1543" s="642"/>
      <c r="H1543" s="642"/>
    </row>
    <row r="1544" spans="5:8">
      <c r="E1544" s="477"/>
      <c r="F1544" s="477"/>
      <c r="G1544" s="642"/>
      <c r="H1544" s="642"/>
    </row>
    <row r="1545" spans="5:8">
      <c r="E1545" s="477"/>
      <c r="F1545" s="477"/>
      <c r="G1545" s="642"/>
      <c r="H1545" s="642"/>
    </row>
    <row r="1546" spans="5:8">
      <c r="E1546" s="477"/>
      <c r="F1546" s="477"/>
      <c r="G1546" s="642"/>
      <c r="H1546" s="642"/>
    </row>
    <row r="1547" spans="5:8">
      <c r="E1547" s="477"/>
      <c r="F1547" s="477"/>
      <c r="G1547" s="642"/>
      <c r="H1547" s="642"/>
    </row>
    <row r="1548" spans="5:8">
      <c r="E1548" s="477"/>
      <c r="F1548" s="477"/>
      <c r="G1548" s="642"/>
      <c r="H1548" s="642"/>
    </row>
    <row r="1549" spans="5:8">
      <c r="E1549" s="477"/>
      <c r="F1549" s="477"/>
      <c r="G1549" s="642"/>
      <c r="H1549" s="642"/>
    </row>
    <row r="1550" spans="5:8">
      <c r="E1550" s="477"/>
      <c r="F1550" s="477"/>
      <c r="G1550" s="642"/>
      <c r="H1550" s="642"/>
    </row>
    <row r="1551" spans="5:8">
      <c r="E1551" s="477"/>
      <c r="F1551" s="477"/>
      <c r="G1551" s="642"/>
      <c r="H1551" s="642"/>
    </row>
    <row r="1552" spans="5:8">
      <c r="E1552" s="477"/>
      <c r="F1552" s="477"/>
      <c r="G1552" s="642"/>
      <c r="H1552" s="642"/>
    </row>
    <row r="1553" spans="5:8">
      <c r="E1553" s="477"/>
      <c r="F1553" s="477"/>
      <c r="G1553" s="642"/>
      <c r="H1553" s="642"/>
    </row>
    <row r="1554" spans="5:8">
      <c r="E1554" s="477"/>
      <c r="F1554" s="477"/>
      <c r="G1554" s="642"/>
      <c r="H1554" s="642"/>
    </row>
    <row r="1555" spans="5:8">
      <c r="E1555" s="477"/>
      <c r="F1555" s="477"/>
      <c r="G1555" s="642"/>
      <c r="H1555" s="642"/>
    </row>
    <row r="1556" spans="5:8">
      <c r="E1556" s="477"/>
      <c r="F1556" s="477"/>
      <c r="G1556" s="642"/>
      <c r="H1556" s="642"/>
    </row>
    <row r="1557" spans="5:8">
      <c r="E1557" s="477"/>
      <c r="F1557" s="477"/>
      <c r="G1557" s="642"/>
      <c r="H1557" s="642"/>
    </row>
    <row r="1558" spans="5:8">
      <c r="E1558" s="477"/>
      <c r="F1558" s="477"/>
      <c r="G1558" s="642"/>
      <c r="H1558" s="642"/>
    </row>
    <row r="1559" spans="5:8">
      <c r="E1559" s="477"/>
      <c r="F1559" s="477"/>
      <c r="G1559" s="642"/>
      <c r="H1559" s="642"/>
    </row>
    <row r="1560" spans="5:8">
      <c r="E1560" s="477"/>
      <c r="F1560" s="477"/>
      <c r="G1560" s="642"/>
      <c r="H1560" s="642"/>
    </row>
    <row r="1561" spans="5:8">
      <c r="E1561" s="477"/>
      <c r="F1561" s="477"/>
      <c r="G1561" s="642"/>
      <c r="H1561" s="642"/>
    </row>
    <row r="1562" spans="5:8">
      <c r="E1562" s="477"/>
      <c r="F1562" s="477"/>
      <c r="G1562" s="642"/>
      <c r="H1562" s="642"/>
    </row>
    <row r="1563" spans="5:8">
      <c r="E1563" s="477"/>
      <c r="F1563" s="477"/>
      <c r="G1563" s="642"/>
      <c r="H1563" s="642"/>
    </row>
    <row r="1564" spans="5:8">
      <c r="E1564" s="477"/>
      <c r="F1564" s="477"/>
      <c r="G1564" s="642"/>
      <c r="H1564" s="642"/>
    </row>
    <row r="1565" spans="5:8">
      <c r="E1565" s="477"/>
      <c r="F1565" s="477"/>
      <c r="G1565" s="642"/>
      <c r="H1565" s="642"/>
    </row>
    <row r="1566" spans="5:8">
      <c r="E1566" s="477"/>
      <c r="F1566" s="477"/>
      <c r="G1566" s="642"/>
      <c r="H1566" s="642"/>
    </row>
    <row r="1567" spans="5:8">
      <c r="E1567" s="477"/>
      <c r="F1567" s="477"/>
      <c r="G1567" s="642"/>
      <c r="H1567" s="642"/>
    </row>
    <row r="1568" spans="5:8">
      <c r="E1568" s="477"/>
      <c r="F1568" s="477"/>
      <c r="G1568" s="642"/>
      <c r="H1568" s="642"/>
    </row>
    <row r="1569" spans="5:8">
      <c r="E1569" s="477"/>
      <c r="F1569" s="477"/>
      <c r="G1569" s="642"/>
      <c r="H1569" s="642"/>
    </row>
    <row r="1570" spans="5:8">
      <c r="E1570" s="477"/>
      <c r="F1570" s="477"/>
      <c r="G1570" s="642"/>
      <c r="H1570" s="642"/>
    </row>
    <row r="1571" spans="5:8">
      <c r="E1571" s="477"/>
      <c r="F1571" s="477"/>
      <c r="G1571" s="642"/>
      <c r="H1571" s="642"/>
    </row>
    <row r="1572" spans="5:8">
      <c r="E1572" s="477"/>
      <c r="F1572" s="477"/>
      <c r="G1572" s="642"/>
      <c r="H1572" s="642"/>
    </row>
    <row r="1573" spans="5:8">
      <c r="E1573" s="477"/>
      <c r="F1573" s="477"/>
      <c r="G1573" s="642"/>
      <c r="H1573" s="642"/>
    </row>
    <row r="1574" spans="5:8">
      <c r="E1574" s="477"/>
      <c r="F1574" s="477"/>
      <c r="G1574" s="642"/>
      <c r="H1574" s="642"/>
    </row>
    <row r="1575" spans="5:8">
      <c r="E1575" s="477"/>
      <c r="F1575" s="477"/>
      <c r="G1575" s="642"/>
      <c r="H1575" s="642"/>
    </row>
    <row r="1576" spans="5:8">
      <c r="E1576" s="477"/>
      <c r="F1576" s="477"/>
      <c r="G1576" s="642"/>
      <c r="H1576" s="642"/>
    </row>
    <row r="1577" spans="5:8">
      <c r="E1577" s="477"/>
      <c r="F1577" s="477"/>
      <c r="G1577" s="642"/>
      <c r="H1577" s="642"/>
    </row>
    <row r="1578" spans="5:8">
      <c r="E1578" s="477"/>
      <c r="F1578" s="477"/>
      <c r="G1578" s="642"/>
      <c r="H1578" s="642"/>
    </row>
    <row r="1579" spans="5:8">
      <c r="E1579" s="477"/>
      <c r="F1579" s="477"/>
      <c r="G1579" s="642"/>
      <c r="H1579" s="642"/>
    </row>
    <row r="1580" spans="5:8">
      <c r="E1580" s="477"/>
      <c r="F1580" s="477"/>
      <c r="G1580" s="642"/>
      <c r="H1580" s="642"/>
    </row>
    <row r="1581" spans="5:8">
      <c r="E1581" s="477"/>
      <c r="F1581" s="477"/>
      <c r="G1581" s="642"/>
      <c r="H1581" s="642"/>
    </row>
    <row r="1582" spans="5:8">
      <c r="E1582" s="477"/>
      <c r="F1582" s="477"/>
      <c r="G1582" s="642"/>
      <c r="H1582" s="642"/>
    </row>
    <row r="1583" spans="5:8">
      <c r="E1583" s="477"/>
      <c r="F1583" s="477"/>
      <c r="G1583" s="642"/>
      <c r="H1583" s="642"/>
    </row>
    <row r="1584" spans="5:8">
      <c r="E1584" s="477"/>
      <c r="F1584" s="477"/>
      <c r="G1584" s="642"/>
      <c r="H1584" s="642"/>
    </row>
    <row r="1585" spans="5:8">
      <c r="E1585" s="477"/>
      <c r="F1585" s="477"/>
      <c r="G1585" s="642"/>
      <c r="H1585" s="642"/>
    </row>
    <row r="1586" spans="5:8">
      <c r="E1586" s="477"/>
      <c r="F1586" s="477"/>
      <c r="G1586" s="642"/>
      <c r="H1586" s="642"/>
    </row>
    <row r="1587" spans="5:8">
      <c r="E1587" s="477"/>
      <c r="F1587" s="477"/>
      <c r="G1587" s="642"/>
      <c r="H1587" s="642"/>
    </row>
    <row r="1588" spans="5:8">
      <c r="E1588" s="477"/>
      <c r="F1588" s="477"/>
      <c r="G1588" s="642"/>
      <c r="H1588" s="642"/>
    </row>
    <row r="1589" spans="5:8">
      <c r="E1589" s="477"/>
      <c r="F1589" s="477"/>
      <c r="G1589" s="642"/>
      <c r="H1589" s="642"/>
    </row>
    <row r="1590" spans="5:8">
      <c r="E1590" s="477"/>
      <c r="F1590" s="477"/>
      <c r="G1590" s="642"/>
      <c r="H1590" s="642"/>
    </row>
    <row r="1591" spans="5:8">
      <c r="E1591" s="477"/>
      <c r="F1591" s="477"/>
      <c r="G1591" s="642"/>
      <c r="H1591" s="642"/>
    </row>
    <row r="1592" spans="5:8">
      <c r="E1592" s="477"/>
      <c r="F1592" s="477"/>
      <c r="G1592" s="642"/>
      <c r="H1592" s="642"/>
    </row>
    <row r="1593" spans="5:8">
      <c r="E1593" s="477"/>
      <c r="F1593" s="477"/>
      <c r="G1593" s="642"/>
      <c r="H1593" s="642"/>
    </row>
    <row r="1594" spans="5:8">
      <c r="E1594" s="477"/>
      <c r="F1594" s="477"/>
      <c r="G1594" s="642"/>
      <c r="H1594" s="642"/>
    </row>
    <row r="1595" spans="5:8">
      <c r="E1595" s="477"/>
      <c r="F1595" s="477"/>
      <c r="G1595" s="642"/>
      <c r="H1595" s="642"/>
    </row>
    <row r="1596" spans="5:8">
      <c r="E1596" s="477"/>
      <c r="F1596" s="477"/>
      <c r="G1596" s="642"/>
      <c r="H1596" s="642"/>
    </row>
    <row r="1597" spans="5:8">
      <c r="E1597" s="477"/>
      <c r="F1597" s="477"/>
      <c r="G1597" s="642"/>
      <c r="H1597" s="642"/>
    </row>
    <row r="1598" spans="5:8">
      <c r="E1598" s="477"/>
      <c r="F1598" s="477"/>
      <c r="G1598" s="642"/>
      <c r="H1598" s="642"/>
    </row>
    <row r="1599" spans="5:8">
      <c r="E1599" s="477"/>
      <c r="F1599" s="477"/>
      <c r="G1599" s="642"/>
      <c r="H1599" s="642"/>
    </row>
    <row r="1600" spans="5:8">
      <c r="E1600" s="477"/>
      <c r="F1600" s="477"/>
      <c r="G1600" s="642"/>
      <c r="H1600" s="642"/>
    </row>
    <row r="1601" spans="5:8">
      <c r="E1601" s="477"/>
      <c r="F1601" s="477"/>
      <c r="G1601" s="642"/>
      <c r="H1601" s="642"/>
    </row>
    <row r="1602" spans="5:8">
      <c r="E1602" s="477"/>
      <c r="F1602" s="477"/>
      <c r="G1602" s="642"/>
      <c r="H1602" s="642"/>
    </row>
    <row r="1603" spans="5:8">
      <c r="E1603" s="477"/>
      <c r="F1603" s="477"/>
      <c r="G1603" s="642"/>
      <c r="H1603" s="642"/>
    </row>
    <row r="1604" spans="5:8">
      <c r="E1604" s="477"/>
      <c r="F1604" s="477"/>
      <c r="G1604" s="642"/>
      <c r="H1604" s="642"/>
    </row>
    <row r="1605" spans="5:8">
      <c r="E1605" s="477"/>
      <c r="F1605" s="477"/>
      <c r="G1605" s="642"/>
      <c r="H1605" s="642"/>
    </row>
    <row r="1606" spans="5:8">
      <c r="E1606" s="477"/>
      <c r="F1606" s="477"/>
      <c r="G1606" s="642"/>
      <c r="H1606" s="642"/>
    </row>
    <row r="1607" spans="5:8">
      <c r="E1607" s="477"/>
      <c r="F1607" s="477"/>
      <c r="G1607" s="642"/>
      <c r="H1607" s="642"/>
    </row>
    <row r="1608" spans="5:8">
      <c r="E1608" s="477"/>
      <c r="F1608" s="477"/>
      <c r="G1608" s="642"/>
      <c r="H1608" s="642"/>
    </row>
    <row r="1609" spans="5:8">
      <c r="E1609" s="477"/>
      <c r="F1609" s="477"/>
      <c r="G1609" s="642"/>
      <c r="H1609" s="642"/>
    </row>
    <row r="1610" spans="5:8">
      <c r="E1610" s="477"/>
      <c r="F1610" s="477"/>
      <c r="G1610" s="642"/>
      <c r="H1610" s="642"/>
    </row>
    <row r="1611" spans="5:8">
      <c r="E1611" s="477"/>
      <c r="F1611" s="477"/>
      <c r="G1611" s="642"/>
      <c r="H1611" s="642"/>
    </row>
    <row r="1612" spans="5:8">
      <c r="E1612" s="477"/>
      <c r="F1612" s="477"/>
      <c r="G1612" s="642"/>
      <c r="H1612" s="642"/>
    </row>
    <row r="1613" spans="5:8">
      <c r="E1613" s="477"/>
      <c r="F1613" s="477"/>
      <c r="G1613" s="642"/>
      <c r="H1613" s="642"/>
    </row>
    <row r="1614" spans="5:8">
      <c r="E1614" s="477"/>
      <c r="F1614" s="477"/>
      <c r="G1614" s="642"/>
      <c r="H1614" s="642"/>
    </row>
    <row r="1615" spans="5:8">
      <c r="E1615" s="477"/>
      <c r="F1615" s="477"/>
      <c r="G1615" s="642"/>
      <c r="H1615" s="642"/>
    </row>
    <row r="1616" spans="5:8">
      <c r="E1616" s="477"/>
      <c r="F1616" s="477"/>
      <c r="G1616" s="642"/>
      <c r="H1616" s="642"/>
    </row>
    <row r="1617" spans="5:8">
      <c r="E1617" s="477"/>
      <c r="F1617" s="477"/>
      <c r="G1617" s="642"/>
      <c r="H1617" s="642"/>
    </row>
    <row r="1618" spans="5:8">
      <c r="E1618" s="477"/>
      <c r="F1618" s="477"/>
      <c r="G1618" s="642"/>
      <c r="H1618" s="642"/>
    </row>
    <row r="1619" spans="5:8">
      <c r="E1619" s="477"/>
      <c r="F1619" s="477"/>
      <c r="G1619" s="642"/>
      <c r="H1619" s="642"/>
    </row>
    <row r="1620" spans="5:8">
      <c r="E1620" s="477"/>
      <c r="F1620" s="477"/>
      <c r="G1620" s="642"/>
      <c r="H1620" s="642"/>
    </row>
    <row r="1621" spans="5:8">
      <c r="E1621" s="477"/>
      <c r="F1621" s="477"/>
      <c r="G1621" s="642"/>
      <c r="H1621" s="642"/>
    </row>
    <row r="1622" spans="5:8">
      <c r="E1622" s="477"/>
      <c r="F1622" s="477"/>
      <c r="G1622" s="642"/>
      <c r="H1622" s="642"/>
    </row>
    <row r="1623" spans="5:8">
      <c r="E1623" s="477"/>
      <c r="F1623" s="477"/>
      <c r="G1623" s="642"/>
      <c r="H1623" s="642"/>
    </row>
    <row r="1624" spans="5:8">
      <c r="E1624" s="477"/>
      <c r="F1624" s="477"/>
      <c r="G1624" s="642"/>
      <c r="H1624" s="642"/>
    </row>
    <row r="1625" spans="5:8">
      <c r="E1625" s="477"/>
      <c r="F1625" s="477"/>
      <c r="G1625" s="642"/>
      <c r="H1625" s="642"/>
    </row>
    <row r="1626" spans="5:8">
      <c r="E1626" s="477"/>
      <c r="F1626" s="477"/>
      <c r="G1626" s="642"/>
      <c r="H1626" s="642"/>
    </row>
    <row r="1627" spans="5:8">
      <c r="E1627" s="477"/>
      <c r="F1627" s="477"/>
      <c r="G1627" s="642"/>
      <c r="H1627" s="642"/>
    </row>
    <row r="1628" spans="5:8">
      <c r="E1628" s="477"/>
      <c r="F1628" s="477"/>
      <c r="G1628" s="642"/>
      <c r="H1628" s="642"/>
    </row>
    <row r="1629" spans="5:8">
      <c r="E1629" s="477"/>
      <c r="F1629" s="477"/>
      <c r="G1629" s="642"/>
      <c r="H1629" s="642"/>
    </row>
    <row r="1630" spans="5:8">
      <c r="E1630" s="477"/>
      <c r="F1630" s="477"/>
      <c r="G1630" s="642"/>
      <c r="H1630" s="642"/>
    </row>
    <row r="1631" spans="5:8">
      <c r="E1631" s="477"/>
      <c r="F1631" s="477"/>
      <c r="G1631" s="642"/>
      <c r="H1631" s="642"/>
    </row>
    <row r="1632" spans="5:8">
      <c r="E1632" s="477"/>
      <c r="F1632" s="477"/>
      <c r="G1632" s="642"/>
      <c r="H1632" s="642"/>
    </row>
    <row r="1633" spans="5:8">
      <c r="E1633" s="477"/>
      <c r="F1633" s="477"/>
      <c r="G1633" s="642"/>
      <c r="H1633" s="642"/>
    </row>
    <row r="1634" spans="5:8">
      <c r="E1634" s="477"/>
      <c r="F1634" s="477"/>
      <c r="G1634" s="642"/>
      <c r="H1634" s="642"/>
    </row>
    <row r="1635" spans="5:8">
      <c r="E1635" s="477"/>
      <c r="F1635" s="477"/>
      <c r="G1635" s="642"/>
      <c r="H1635" s="642"/>
    </row>
    <row r="1636" spans="5:8">
      <c r="E1636" s="477"/>
      <c r="F1636" s="477"/>
      <c r="G1636" s="642"/>
      <c r="H1636" s="642"/>
    </row>
    <row r="1637" spans="5:8">
      <c r="E1637" s="477"/>
      <c r="F1637" s="477"/>
      <c r="G1637" s="642"/>
      <c r="H1637" s="642"/>
    </row>
    <row r="1638" spans="5:8">
      <c r="E1638" s="477"/>
      <c r="F1638" s="477"/>
      <c r="G1638" s="642"/>
      <c r="H1638" s="642"/>
    </row>
    <row r="1639" spans="5:8">
      <c r="E1639" s="477"/>
      <c r="F1639" s="477"/>
      <c r="G1639" s="642"/>
      <c r="H1639" s="642"/>
    </row>
    <row r="1640" spans="5:8">
      <c r="E1640" s="477"/>
      <c r="F1640" s="477"/>
      <c r="G1640" s="642"/>
      <c r="H1640" s="642"/>
    </row>
    <row r="1641" spans="5:8">
      <c r="E1641" s="477"/>
      <c r="F1641" s="477"/>
      <c r="G1641" s="642"/>
      <c r="H1641" s="642"/>
    </row>
    <row r="1642" spans="5:8">
      <c r="E1642" s="477"/>
      <c r="F1642" s="477"/>
      <c r="G1642" s="642"/>
      <c r="H1642" s="642"/>
    </row>
    <row r="1643" spans="5:8">
      <c r="E1643" s="477"/>
      <c r="F1643" s="477"/>
      <c r="G1643" s="642"/>
      <c r="H1643" s="642"/>
    </row>
    <row r="1644" spans="5:8">
      <c r="E1644" s="477"/>
      <c r="F1644" s="477"/>
      <c r="G1644" s="642"/>
      <c r="H1644" s="642"/>
    </row>
    <row r="1645" spans="5:8">
      <c r="E1645" s="477"/>
      <c r="F1645" s="477"/>
      <c r="G1645" s="642"/>
      <c r="H1645" s="642"/>
    </row>
    <row r="1646" spans="5:8">
      <c r="E1646" s="477"/>
      <c r="F1646" s="477"/>
      <c r="G1646" s="642"/>
      <c r="H1646" s="642"/>
    </row>
    <row r="1647" spans="5:8">
      <c r="E1647" s="477"/>
      <c r="F1647" s="477"/>
      <c r="G1647" s="642"/>
      <c r="H1647" s="642"/>
    </row>
    <row r="1648" spans="5:8">
      <c r="E1648" s="477"/>
      <c r="F1648" s="477"/>
      <c r="G1648" s="642"/>
      <c r="H1648" s="642"/>
    </row>
    <row r="1649" spans="5:8">
      <c r="E1649" s="477"/>
      <c r="F1649" s="477"/>
      <c r="G1649" s="642"/>
      <c r="H1649" s="642"/>
    </row>
    <row r="1650" spans="5:8">
      <c r="E1650" s="477"/>
      <c r="F1650" s="477"/>
      <c r="G1650" s="642"/>
      <c r="H1650" s="642"/>
    </row>
    <row r="1651" spans="5:8">
      <c r="E1651" s="477"/>
      <c r="F1651" s="477"/>
      <c r="G1651" s="642"/>
      <c r="H1651" s="642"/>
    </row>
    <row r="1652" spans="5:8">
      <c r="E1652" s="477"/>
      <c r="F1652" s="477"/>
      <c r="G1652" s="642"/>
      <c r="H1652" s="642"/>
    </row>
    <row r="1653" spans="5:8">
      <c r="E1653" s="477"/>
      <c r="F1653" s="477"/>
      <c r="G1653" s="642"/>
      <c r="H1653" s="642"/>
    </row>
    <row r="1654" spans="5:8">
      <c r="E1654" s="477"/>
      <c r="F1654" s="477"/>
      <c r="G1654" s="642"/>
      <c r="H1654" s="642"/>
    </row>
    <row r="1655" spans="5:8">
      <c r="E1655" s="477"/>
      <c r="F1655" s="477"/>
      <c r="G1655" s="642"/>
      <c r="H1655" s="642"/>
    </row>
    <row r="1656" spans="5:8">
      <c r="E1656" s="477"/>
      <c r="F1656" s="477"/>
      <c r="G1656" s="642"/>
      <c r="H1656" s="642"/>
    </row>
    <row r="1657" spans="5:8">
      <c r="E1657" s="477"/>
      <c r="F1657" s="477"/>
      <c r="G1657" s="642"/>
      <c r="H1657" s="642"/>
    </row>
    <row r="1658" spans="5:8">
      <c r="E1658" s="477"/>
      <c r="F1658" s="477"/>
      <c r="G1658" s="642"/>
      <c r="H1658" s="642"/>
    </row>
    <row r="1659" spans="5:8">
      <c r="E1659" s="477"/>
      <c r="F1659" s="477"/>
      <c r="G1659" s="642"/>
      <c r="H1659" s="642"/>
    </row>
    <row r="1660" spans="5:8">
      <c r="E1660" s="477"/>
      <c r="F1660" s="477"/>
      <c r="G1660" s="642"/>
      <c r="H1660" s="642"/>
    </row>
    <row r="1661" spans="5:8">
      <c r="E1661" s="477"/>
      <c r="F1661" s="477"/>
      <c r="G1661" s="642"/>
      <c r="H1661" s="642"/>
    </row>
    <row r="1662" spans="5:8">
      <c r="E1662" s="477"/>
      <c r="F1662" s="477"/>
      <c r="G1662" s="642"/>
      <c r="H1662" s="642"/>
    </row>
    <row r="1663" spans="5:8">
      <c r="E1663" s="477"/>
      <c r="F1663" s="477"/>
      <c r="G1663" s="642"/>
      <c r="H1663" s="642"/>
    </row>
    <row r="1664" spans="5:8">
      <c r="E1664" s="477"/>
      <c r="F1664" s="477"/>
      <c r="G1664" s="642"/>
      <c r="H1664" s="642"/>
    </row>
    <row r="1665" spans="5:8">
      <c r="E1665" s="477"/>
      <c r="F1665" s="477"/>
      <c r="G1665" s="642"/>
      <c r="H1665" s="642"/>
    </row>
    <row r="1666" spans="5:8">
      <c r="E1666" s="477"/>
      <c r="F1666" s="477"/>
      <c r="G1666" s="642"/>
      <c r="H1666" s="642"/>
    </row>
    <row r="1667" spans="5:8">
      <c r="E1667" s="477"/>
      <c r="F1667" s="477"/>
      <c r="G1667" s="642"/>
      <c r="H1667" s="642"/>
    </row>
    <row r="1668" spans="5:8">
      <c r="E1668" s="477"/>
      <c r="F1668" s="477"/>
      <c r="G1668" s="642"/>
      <c r="H1668" s="642"/>
    </row>
    <row r="1669" spans="5:8">
      <c r="E1669" s="477"/>
      <c r="F1669" s="477"/>
      <c r="G1669" s="642"/>
      <c r="H1669" s="642"/>
    </row>
    <row r="1670" spans="5:8">
      <c r="E1670" s="477"/>
      <c r="F1670" s="477"/>
      <c r="G1670" s="642"/>
      <c r="H1670" s="642"/>
    </row>
    <row r="1671" spans="5:8">
      <c r="E1671" s="477"/>
      <c r="F1671" s="477"/>
      <c r="G1671" s="642"/>
      <c r="H1671" s="642"/>
    </row>
    <row r="1672" spans="5:8">
      <c r="E1672" s="477"/>
      <c r="F1672" s="477"/>
      <c r="G1672" s="642"/>
      <c r="H1672" s="642"/>
    </row>
    <row r="1673" spans="5:8">
      <c r="E1673" s="477"/>
      <c r="F1673" s="477"/>
      <c r="G1673" s="642"/>
      <c r="H1673" s="642"/>
    </row>
    <row r="1674" spans="5:8">
      <c r="E1674" s="477"/>
      <c r="F1674" s="477"/>
      <c r="G1674" s="642"/>
      <c r="H1674" s="642"/>
    </row>
    <row r="1675" spans="5:8">
      <c r="E1675" s="477"/>
      <c r="F1675" s="477"/>
      <c r="G1675" s="642"/>
      <c r="H1675" s="642"/>
    </row>
    <row r="1676" spans="5:8">
      <c r="E1676" s="477"/>
      <c r="F1676" s="477"/>
      <c r="G1676" s="642"/>
      <c r="H1676" s="642"/>
    </row>
    <row r="1677" spans="5:8">
      <c r="E1677" s="477"/>
      <c r="F1677" s="477"/>
      <c r="G1677" s="642"/>
      <c r="H1677" s="642"/>
    </row>
    <row r="1678" spans="5:8">
      <c r="E1678" s="477"/>
      <c r="F1678" s="477"/>
      <c r="G1678" s="642"/>
      <c r="H1678" s="642"/>
    </row>
    <row r="1679" spans="5:8">
      <c r="E1679" s="477"/>
      <c r="F1679" s="477"/>
      <c r="G1679" s="642"/>
      <c r="H1679" s="642"/>
    </row>
    <row r="1680" spans="5:8">
      <c r="E1680" s="477"/>
      <c r="F1680" s="477"/>
      <c r="G1680" s="642"/>
      <c r="H1680" s="642"/>
    </row>
    <row r="1681" spans="5:8">
      <c r="E1681" s="477"/>
      <c r="F1681" s="477"/>
      <c r="G1681" s="642"/>
      <c r="H1681" s="642"/>
    </row>
    <row r="1682" spans="5:8">
      <c r="E1682" s="477"/>
      <c r="F1682" s="477"/>
      <c r="G1682" s="642"/>
      <c r="H1682" s="642"/>
    </row>
    <row r="1683" spans="5:8">
      <c r="E1683" s="477"/>
      <c r="F1683" s="477"/>
      <c r="G1683" s="642"/>
      <c r="H1683" s="642"/>
    </row>
    <row r="1684" spans="5:8">
      <c r="E1684" s="477"/>
      <c r="F1684" s="477"/>
      <c r="G1684" s="642"/>
      <c r="H1684" s="642"/>
    </row>
    <row r="1685" spans="5:8">
      <c r="E1685" s="477"/>
      <c r="F1685" s="477"/>
      <c r="G1685" s="642"/>
      <c r="H1685" s="642"/>
    </row>
    <row r="1686" spans="5:8">
      <c r="E1686" s="477"/>
      <c r="F1686" s="477"/>
      <c r="G1686" s="642"/>
      <c r="H1686" s="642"/>
    </row>
    <row r="1687" spans="5:8">
      <c r="E1687" s="477"/>
      <c r="F1687" s="477"/>
      <c r="G1687" s="642"/>
      <c r="H1687" s="642"/>
    </row>
    <row r="1688" spans="5:8">
      <c r="E1688" s="477"/>
      <c r="F1688" s="477"/>
      <c r="G1688" s="642"/>
      <c r="H1688" s="642"/>
    </row>
    <row r="1689" spans="5:8">
      <c r="E1689" s="477"/>
      <c r="F1689" s="477"/>
      <c r="G1689" s="642"/>
      <c r="H1689" s="642"/>
    </row>
    <row r="1690" spans="5:8">
      <c r="E1690" s="477"/>
      <c r="F1690" s="477"/>
      <c r="G1690" s="642"/>
      <c r="H1690" s="642"/>
    </row>
    <row r="1691" spans="5:8">
      <c r="E1691" s="477"/>
      <c r="F1691" s="477"/>
      <c r="G1691" s="642"/>
      <c r="H1691" s="642"/>
    </row>
    <row r="1692" spans="5:8">
      <c r="E1692" s="477"/>
      <c r="F1692" s="477"/>
      <c r="G1692" s="642"/>
      <c r="H1692" s="642"/>
    </row>
    <row r="1693" spans="5:8">
      <c r="E1693" s="477"/>
      <c r="F1693" s="477"/>
      <c r="G1693" s="642"/>
      <c r="H1693" s="642"/>
    </row>
    <row r="1694" spans="5:8">
      <c r="E1694" s="477"/>
      <c r="F1694" s="477"/>
      <c r="G1694" s="642"/>
      <c r="H1694" s="642"/>
    </row>
    <row r="1695" spans="5:8">
      <c r="E1695" s="477"/>
      <c r="F1695" s="477"/>
      <c r="G1695" s="642"/>
      <c r="H1695" s="642"/>
    </row>
    <row r="1696" spans="5:8">
      <c r="E1696" s="477"/>
      <c r="F1696" s="477"/>
      <c r="G1696" s="642"/>
      <c r="H1696" s="642"/>
    </row>
    <row r="1697" spans="5:8">
      <c r="E1697" s="477"/>
      <c r="F1697" s="477"/>
      <c r="G1697" s="642"/>
      <c r="H1697" s="642"/>
    </row>
    <row r="1698" spans="5:8">
      <c r="E1698" s="477"/>
      <c r="F1698" s="477"/>
      <c r="G1698" s="642"/>
      <c r="H1698" s="642"/>
    </row>
    <row r="1699" spans="5:8">
      <c r="E1699" s="477"/>
      <c r="F1699" s="477"/>
      <c r="G1699" s="642"/>
      <c r="H1699" s="642"/>
    </row>
    <row r="1700" spans="5:8">
      <c r="E1700" s="477"/>
      <c r="F1700" s="477"/>
      <c r="G1700" s="642"/>
      <c r="H1700" s="642"/>
    </row>
    <row r="1701" spans="5:8">
      <c r="E1701" s="477"/>
      <c r="F1701" s="477"/>
      <c r="G1701" s="642"/>
      <c r="H1701" s="642"/>
    </row>
    <row r="1702" spans="5:8">
      <c r="E1702" s="477"/>
      <c r="F1702" s="477"/>
      <c r="G1702" s="642"/>
      <c r="H1702" s="642"/>
    </row>
    <row r="1703" spans="5:8">
      <c r="E1703" s="477"/>
      <c r="F1703" s="477"/>
      <c r="G1703" s="642"/>
      <c r="H1703" s="642"/>
    </row>
    <row r="1704" spans="5:8">
      <c r="E1704" s="477"/>
      <c r="F1704" s="477"/>
      <c r="G1704" s="642"/>
      <c r="H1704" s="642"/>
    </row>
    <row r="1705" spans="5:8">
      <c r="E1705" s="477"/>
      <c r="F1705" s="477"/>
      <c r="G1705" s="642"/>
      <c r="H1705" s="642"/>
    </row>
    <row r="1706" spans="5:8">
      <c r="E1706" s="477"/>
      <c r="F1706" s="477"/>
      <c r="G1706" s="642"/>
      <c r="H1706" s="642"/>
    </row>
    <row r="1707" spans="5:8">
      <c r="E1707" s="477"/>
      <c r="F1707" s="477"/>
      <c r="G1707" s="642"/>
      <c r="H1707" s="642"/>
    </row>
    <row r="1708" spans="5:8">
      <c r="E1708" s="477"/>
      <c r="F1708" s="477"/>
      <c r="G1708" s="642"/>
      <c r="H1708" s="642"/>
    </row>
    <row r="1709" spans="5:8">
      <c r="E1709" s="477"/>
      <c r="F1709" s="477"/>
      <c r="G1709" s="642"/>
      <c r="H1709" s="642"/>
    </row>
    <row r="1710" spans="5:8">
      <c r="E1710" s="477"/>
      <c r="F1710" s="477"/>
      <c r="G1710" s="642"/>
      <c r="H1710" s="642"/>
    </row>
    <row r="1711" spans="5:8">
      <c r="E1711" s="477"/>
      <c r="F1711" s="477"/>
      <c r="G1711" s="642"/>
      <c r="H1711" s="642"/>
    </row>
    <row r="1712" spans="5:8">
      <c r="E1712" s="477"/>
      <c r="F1712" s="477"/>
      <c r="G1712" s="642"/>
      <c r="H1712" s="642"/>
    </row>
    <row r="1713" spans="5:8">
      <c r="E1713" s="477"/>
      <c r="F1713" s="477"/>
      <c r="G1713" s="642"/>
      <c r="H1713" s="642"/>
    </row>
    <row r="1714" spans="5:8">
      <c r="E1714" s="477"/>
      <c r="F1714" s="477"/>
      <c r="G1714" s="642"/>
      <c r="H1714" s="642"/>
    </row>
    <row r="1715" spans="5:8">
      <c r="E1715" s="477"/>
      <c r="F1715" s="477"/>
      <c r="G1715" s="642"/>
      <c r="H1715" s="642"/>
    </row>
    <row r="1716" spans="5:8">
      <c r="E1716" s="477"/>
      <c r="F1716" s="477"/>
      <c r="G1716" s="642"/>
      <c r="H1716" s="642"/>
    </row>
    <row r="1717" spans="5:8">
      <c r="E1717" s="477"/>
      <c r="F1717" s="477"/>
      <c r="G1717" s="642"/>
      <c r="H1717" s="642"/>
    </row>
    <row r="1718" spans="5:8">
      <c r="E1718" s="477"/>
      <c r="F1718" s="477"/>
      <c r="G1718" s="642"/>
      <c r="H1718" s="642"/>
    </row>
    <row r="1719" spans="5:8">
      <c r="E1719" s="477"/>
      <c r="F1719" s="477"/>
      <c r="G1719" s="642"/>
      <c r="H1719" s="642"/>
    </row>
    <row r="1720" spans="5:8">
      <c r="E1720" s="477"/>
      <c r="F1720" s="477"/>
      <c r="G1720" s="642"/>
      <c r="H1720" s="642"/>
    </row>
    <row r="1721" spans="5:8">
      <c r="E1721" s="477"/>
      <c r="F1721" s="477"/>
      <c r="G1721" s="642"/>
      <c r="H1721" s="642"/>
    </row>
    <row r="1722" spans="5:8">
      <c r="E1722" s="477"/>
      <c r="F1722" s="477"/>
      <c r="G1722" s="642"/>
      <c r="H1722" s="642"/>
    </row>
    <row r="1723" spans="5:8">
      <c r="E1723" s="477"/>
      <c r="F1723" s="477"/>
      <c r="G1723" s="642"/>
      <c r="H1723" s="642"/>
    </row>
    <row r="1724" spans="5:8">
      <c r="E1724" s="477"/>
      <c r="F1724" s="477"/>
      <c r="G1724" s="642"/>
      <c r="H1724" s="642"/>
    </row>
    <row r="1725" spans="5:8">
      <c r="E1725" s="477"/>
      <c r="F1725" s="477"/>
      <c r="G1725" s="642"/>
      <c r="H1725" s="642"/>
    </row>
    <row r="1726" spans="5:8">
      <c r="E1726" s="477"/>
      <c r="F1726" s="477"/>
      <c r="G1726" s="642"/>
      <c r="H1726" s="642"/>
    </row>
    <row r="1727" spans="5:8">
      <c r="E1727" s="477"/>
      <c r="F1727" s="477"/>
      <c r="G1727" s="642"/>
      <c r="H1727" s="642"/>
    </row>
    <row r="1728" spans="5:8">
      <c r="E1728" s="477"/>
      <c r="F1728" s="477"/>
      <c r="G1728" s="642"/>
      <c r="H1728" s="642"/>
    </row>
    <row r="1729" spans="5:8">
      <c r="E1729" s="477"/>
      <c r="F1729" s="477"/>
      <c r="G1729" s="642"/>
      <c r="H1729" s="642"/>
    </row>
    <row r="1730" spans="5:8">
      <c r="E1730" s="477"/>
      <c r="F1730" s="477"/>
      <c r="G1730" s="642"/>
      <c r="H1730" s="642"/>
    </row>
    <row r="1731" spans="5:8">
      <c r="E1731" s="477"/>
      <c r="F1731" s="477"/>
      <c r="G1731" s="642"/>
      <c r="H1731" s="642"/>
    </row>
    <row r="1732" spans="5:8">
      <c r="E1732" s="477"/>
      <c r="F1732" s="477"/>
      <c r="G1732" s="642"/>
      <c r="H1732" s="642"/>
    </row>
    <row r="1733" spans="5:8">
      <c r="E1733" s="477"/>
      <c r="F1733" s="477"/>
      <c r="G1733" s="642"/>
      <c r="H1733" s="642"/>
    </row>
    <row r="1734" spans="5:8">
      <c r="E1734" s="477"/>
      <c r="F1734" s="477"/>
      <c r="G1734" s="642"/>
      <c r="H1734" s="642"/>
    </row>
    <row r="1735" spans="5:8">
      <c r="E1735" s="477"/>
      <c r="F1735" s="477"/>
      <c r="G1735" s="642"/>
      <c r="H1735" s="642"/>
    </row>
    <row r="1736" spans="5:8">
      <c r="E1736" s="477"/>
      <c r="F1736" s="477"/>
      <c r="G1736" s="642"/>
      <c r="H1736" s="642"/>
    </row>
    <row r="1737" spans="5:8">
      <c r="E1737" s="477"/>
      <c r="F1737" s="477"/>
      <c r="G1737" s="642"/>
      <c r="H1737" s="642"/>
    </row>
    <row r="1738" spans="5:8">
      <c r="E1738" s="477"/>
      <c r="F1738" s="477"/>
      <c r="G1738" s="642"/>
      <c r="H1738" s="642"/>
    </row>
    <row r="1739" spans="5:8">
      <c r="E1739" s="477"/>
      <c r="F1739" s="477"/>
      <c r="G1739" s="642"/>
      <c r="H1739" s="642"/>
    </row>
    <row r="1740" spans="5:8">
      <c r="E1740" s="477"/>
      <c r="F1740" s="477"/>
      <c r="G1740" s="642"/>
      <c r="H1740" s="642"/>
    </row>
    <row r="1741" spans="5:8">
      <c r="E1741" s="477"/>
      <c r="F1741" s="477"/>
      <c r="G1741" s="642"/>
      <c r="H1741" s="642"/>
    </row>
    <row r="1742" spans="5:8">
      <c r="E1742" s="477"/>
      <c r="F1742" s="477"/>
      <c r="G1742" s="642"/>
      <c r="H1742" s="642"/>
    </row>
    <row r="1743" spans="5:8">
      <c r="E1743" s="477"/>
      <c r="F1743" s="477"/>
      <c r="G1743" s="642"/>
      <c r="H1743" s="642"/>
    </row>
    <row r="1744" spans="5:8">
      <c r="E1744" s="477"/>
      <c r="F1744" s="477"/>
      <c r="G1744" s="642"/>
      <c r="H1744" s="642"/>
    </row>
    <row r="1745" spans="5:8">
      <c r="E1745" s="477"/>
      <c r="F1745" s="477"/>
      <c r="G1745" s="642"/>
      <c r="H1745" s="642"/>
    </row>
    <row r="1746" spans="5:8">
      <c r="E1746" s="477"/>
      <c r="F1746" s="477"/>
      <c r="G1746" s="642"/>
      <c r="H1746" s="642"/>
    </row>
    <row r="1747" spans="5:8">
      <c r="E1747" s="477"/>
      <c r="F1747" s="477"/>
      <c r="G1747" s="642"/>
      <c r="H1747" s="642"/>
    </row>
    <row r="1748" spans="5:8">
      <c r="E1748" s="477"/>
      <c r="F1748" s="477"/>
      <c r="G1748" s="642"/>
      <c r="H1748" s="642"/>
    </row>
    <row r="1749" spans="5:8">
      <c r="E1749" s="477"/>
      <c r="F1749" s="477"/>
      <c r="G1749" s="642"/>
      <c r="H1749" s="642"/>
    </row>
    <row r="1750" spans="5:8">
      <c r="E1750" s="477"/>
      <c r="F1750" s="477"/>
      <c r="G1750" s="642"/>
      <c r="H1750" s="642"/>
    </row>
    <row r="1751" spans="5:8">
      <c r="E1751" s="477"/>
      <c r="F1751" s="477"/>
      <c r="G1751" s="642"/>
      <c r="H1751" s="642"/>
    </row>
    <row r="1752" spans="5:8">
      <c r="E1752" s="477"/>
      <c r="F1752" s="477"/>
      <c r="G1752" s="642"/>
      <c r="H1752" s="642"/>
    </row>
    <row r="1753" spans="5:8">
      <c r="E1753" s="477"/>
      <c r="F1753" s="477"/>
      <c r="G1753" s="642"/>
      <c r="H1753" s="642"/>
    </row>
    <row r="1754" spans="5:8">
      <c r="E1754" s="477"/>
      <c r="F1754" s="477"/>
      <c r="G1754" s="642"/>
      <c r="H1754" s="642"/>
    </row>
    <row r="1755" spans="5:8">
      <c r="E1755" s="477"/>
      <c r="F1755" s="477"/>
      <c r="G1755" s="642"/>
      <c r="H1755" s="642"/>
    </row>
    <row r="1756" spans="5:8">
      <c r="E1756" s="477"/>
      <c r="F1756" s="477"/>
      <c r="G1756" s="642"/>
      <c r="H1756" s="642"/>
    </row>
    <row r="1757" spans="5:8">
      <c r="E1757" s="477"/>
      <c r="F1757" s="477"/>
      <c r="G1757" s="642"/>
      <c r="H1757" s="642"/>
    </row>
    <row r="1758" spans="5:8">
      <c r="E1758" s="477"/>
      <c r="F1758" s="477"/>
      <c r="G1758" s="642"/>
      <c r="H1758" s="642"/>
    </row>
    <row r="1759" spans="5:8">
      <c r="E1759" s="477"/>
      <c r="F1759" s="477"/>
      <c r="G1759" s="642"/>
      <c r="H1759" s="642"/>
    </row>
    <row r="1760" spans="5:8">
      <c r="E1760" s="477"/>
      <c r="F1760" s="477"/>
      <c r="G1760" s="642"/>
      <c r="H1760" s="642"/>
    </row>
    <row r="1761" spans="5:8">
      <c r="E1761" s="477"/>
      <c r="F1761" s="477"/>
      <c r="G1761" s="642"/>
      <c r="H1761" s="642"/>
    </row>
    <row r="1762" spans="5:8">
      <c r="E1762" s="477"/>
      <c r="F1762" s="477"/>
      <c r="G1762" s="642"/>
      <c r="H1762" s="642"/>
    </row>
    <row r="1763" spans="5:8">
      <c r="E1763" s="477"/>
      <c r="F1763" s="477"/>
      <c r="G1763" s="642"/>
      <c r="H1763" s="642"/>
    </row>
    <row r="1764" spans="5:8">
      <c r="E1764" s="477"/>
      <c r="F1764" s="477"/>
      <c r="G1764" s="642"/>
      <c r="H1764" s="642"/>
    </row>
    <row r="1765" spans="5:8">
      <c r="E1765" s="477"/>
      <c r="F1765" s="477"/>
      <c r="G1765" s="642"/>
      <c r="H1765" s="642"/>
    </row>
    <row r="1766" spans="5:8">
      <c r="E1766" s="477"/>
      <c r="F1766" s="477"/>
      <c r="G1766" s="642"/>
      <c r="H1766" s="642"/>
    </row>
    <row r="1767" spans="5:8">
      <c r="E1767" s="477"/>
      <c r="F1767" s="477"/>
      <c r="G1767" s="642"/>
      <c r="H1767" s="642"/>
    </row>
    <row r="1768" spans="5:8">
      <c r="E1768" s="477"/>
      <c r="F1768" s="477"/>
      <c r="G1768" s="642"/>
      <c r="H1768" s="642"/>
    </row>
    <row r="1769" spans="5:8">
      <c r="E1769" s="477"/>
      <c r="F1769" s="477"/>
      <c r="G1769" s="642"/>
      <c r="H1769" s="642"/>
    </row>
    <row r="1770" spans="5:8">
      <c r="E1770" s="477"/>
      <c r="F1770" s="477"/>
      <c r="G1770" s="642"/>
      <c r="H1770" s="642"/>
    </row>
    <row r="1771" spans="5:8">
      <c r="E1771" s="477"/>
      <c r="F1771" s="477"/>
      <c r="G1771" s="642"/>
      <c r="H1771" s="642"/>
    </row>
    <row r="1772" spans="5:8">
      <c r="E1772" s="477"/>
      <c r="F1772" s="477"/>
      <c r="G1772" s="642"/>
      <c r="H1772" s="642"/>
    </row>
    <row r="1773" spans="5:8">
      <c r="E1773" s="477"/>
      <c r="F1773" s="477"/>
      <c r="G1773" s="642"/>
      <c r="H1773" s="642"/>
    </row>
    <row r="1774" spans="5:8">
      <c r="E1774" s="477"/>
      <c r="F1774" s="477"/>
      <c r="G1774" s="642"/>
      <c r="H1774" s="642"/>
    </row>
    <row r="1775" spans="5:8">
      <c r="E1775" s="477"/>
      <c r="F1775" s="477"/>
      <c r="G1775" s="642"/>
      <c r="H1775" s="642"/>
    </row>
    <row r="1776" spans="5:8">
      <c r="E1776" s="477"/>
      <c r="F1776" s="477"/>
      <c r="G1776" s="642"/>
      <c r="H1776" s="642"/>
    </row>
    <row r="1777" spans="5:8">
      <c r="E1777" s="477"/>
      <c r="F1777" s="477"/>
      <c r="G1777" s="642"/>
      <c r="H1777" s="642"/>
    </row>
    <row r="1778" spans="5:8">
      <c r="E1778" s="477"/>
      <c r="F1778" s="477"/>
      <c r="G1778" s="642"/>
      <c r="H1778" s="642"/>
    </row>
    <row r="1779" spans="5:8">
      <c r="E1779" s="477"/>
      <c r="F1779" s="477"/>
      <c r="G1779" s="642"/>
      <c r="H1779" s="642"/>
    </row>
    <row r="1780" spans="5:8">
      <c r="E1780" s="477"/>
      <c r="F1780" s="477"/>
      <c r="G1780" s="642"/>
      <c r="H1780" s="642"/>
    </row>
    <row r="1781" spans="5:8">
      <c r="E1781" s="477"/>
      <c r="F1781" s="477"/>
      <c r="G1781" s="642"/>
      <c r="H1781" s="642"/>
    </row>
    <row r="1782" spans="5:8">
      <c r="E1782" s="477"/>
      <c r="F1782" s="477"/>
      <c r="G1782" s="642"/>
      <c r="H1782" s="642"/>
    </row>
    <row r="1783" spans="5:8">
      <c r="E1783" s="477"/>
      <c r="F1783" s="477"/>
      <c r="G1783" s="642"/>
      <c r="H1783" s="642"/>
    </row>
    <row r="1784" spans="5:8">
      <c r="E1784" s="477"/>
      <c r="F1784" s="477"/>
      <c r="G1784" s="642"/>
      <c r="H1784" s="642"/>
    </row>
    <row r="1785" spans="5:8">
      <c r="E1785" s="477"/>
      <c r="F1785" s="477"/>
      <c r="G1785" s="642"/>
      <c r="H1785" s="642"/>
    </row>
    <row r="1786" spans="5:8">
      <c r="E1786" s="477"/>
      <c r="F1786" s="477"/>
      <c r="G1786" s="642"/>
      <c r="H1786" s="642"/>
    </row>
    <row r="1787" spans="5:8">
      <c r="E1787" s="477"/>
      <c r="F1787" s="477"/>
      <c r="G1787" s="642"/>
      <c r="H1787" s="642"/>
    </row>
    <row r="1788" spans="5:8">
      <c r="E1788" s="477"/>
      <c r="F1788" s="477"/>
      <c r="G1788" s="642"/>
      <c r="H1788" s="642"/>
    </row>
    <row r="1789" spans="5:8">
      <c r="E1789" s="477"/>
      <c r="F1789" s="477"/>
      <c r="G1789" s="642"/>
      <c r="H1789" s="642"/>
    </row>
    <row r="1790" spans="5:8">
      <c r="E1790" s="477"/>
      <c r="F1790" s="477"/>
      <c r="G1790" s="642"/>
      <c r="H1790" s="642"/>
    </row>
    <row r="1791" spans="5:8">
      <c r="E1791" s="477"/>
      <c r="F1791" s="477"/>
      <c r="G1791" s="642"/>
      <c r="H1791" s="642"/>
    </row>
    <row r="1792" spans="5:8">
      <c r="E1792" s="477"/>
      <c r="F1792" s="477"/>
      <c r="G1792" s="642"/>
      <c r="H1792" s="642"/>
    </row>
    <row r="1793" spans="5:8">
      <c r="E1793" s="477"/>
      <c r="F1793" s="477"/>
      <c r="G1793" s="642"/>
      <c r="H1793" s="642"/>
    </row>
    <row r="1794" spans="5:8">
      <c r="E1794" s="477"/>
      <c r="F1794" s="477"/>
      <c r="G1794" s="642"/>
      <c r="H1794" s="642"/>
    </row>
    <row r="1795" spans="5:8">
      <c r="E1795" s="477"/>
      <c r="F1795" s="477"/>
      <c r="G1795" s="642"/>
      <c r="H1795" s="642"/>
    </row>
    <row r="1796" spans="5:8">
      <c r="E1796" s="477"/>
      <c r="F1796" s="477"/>
      <c r="G1796" s="642"/>
      <c r="H1796" s="642"/>
    </row>
    <row r="1797" spans="5:8">
      <c r="E1797" s="477"/>
      <c r="F1797" s="477"/>
      <c r="G1797" s="642"/>
      <c r="H1797" s="642"/>
    </row>
    <row r="1798" spans="5:8">
      <c r="E1798" s="477"/>
      <c r="F1798" s="477"/>
      <c r="G1798" s="642"/>
      <c r="H1798" s="642"/>
    </row>
    <row r="1799" spans="5:8">
      <c r="E1799" s="477"/>
      <c r="F1799" s="477"/>
      <c r="G1799" s="642"/>
      <c r="H1799" s="642"/>
    </row>
    <row r="1800" spans="5:8">
      <c r="E1800" s="477"/>
      <c r="F1800" s="477"/>
      <c r="G1800" s="642"/>
      <c r="H1800" s="642"/>
    </row>
    <row r="1801" spans="5:8">
      <c r="E1801" s="477"/>
      <c r="F1801" s="477"/>
      <c r="G1801" s="642"/>
      <c r="H1801" s="642"/>
    </row>
    <row r="1802" spans="5:8">
      <c r="E1802" s="477"/>
      <c r="F1802" s="477"/>
      <c r="G1802" s="642"/>
      <c r="H1802" s="642"/>
    </row>
    <row r="1803" spans="5:8">
      <c r="E1803" s="477"/>
      <c r="F1803" s="477"/>
      <c r="G1803" s="642"/>
      <c r="H1803" s="642"/>
    </row>
    <row r="1804" spans="5:8">
      <c r="E1804" s="477"/>
      <c r="F1804" s="477"/>
      <c r="G1804" s="642"/>
      <c r="H1804" s="642"/>
    </row>
    <row r="1805" spans="5:8">
      <c r="E1805" s="477"/>
      <c r="F1805" s="477"/>
      <c r="G1805" s="642"/>
      <c r="H1805" s="642"/>
    </row>
    <row r="1806" spans="5:8">
      <c r="E1806" s="477"/>
      <c r="F1806" s="477"/>
      <c r="G1806" s="642"/>
      <c r="H1806" s="642"/>
    </row>
    <row r="1807" spans="5:8">
      <c r="E1807" s="477"/>
      <c r="F1807" s="477"/>
      <c r="G1807" s="642"/>
      <c r="H1807" s="642"/>
    </row>
    <row r="1808" spans="5:8">
      <c r="E1808" s="477"/>
      <c r="F1808" s="477"/>
      <c r="G1808" s="642"/>
      <c r="H1808" s="642"/>
    </row>
    <row r="1809" spans="5:8">
      <c r="E1809" s="477"/>
      <c r="F1809" s="477"/>
      <c r="G1809" s="642"/>
      <c r="H1809" s="642"/>
    </row>
    <row r="1810" spans="5:8">
      <c r="E1810" s="477"/>
      <c r="F1810" s="477"/>
      <c r="G1810" s="642"/>
      <c r="H1810" s="642"/>
    </row>
    <row r="1811" spans="5:8">
      <c r="E1811" s="477"/>
      <c r="F1811" s="477"/>
      <c r="G1811" s="642"/>
      <c r="H1811" s="642"/>
    </row>
    <row r="1812" spans="5:8">
      <c r="E1812" s="477"/>
      <c r="F1812" s="477"/>
      <c r="G1812" s="642"/>
      <c r="H1812" s="642"/>
    </row>
    <row r="1813" spans="5:8">
      <c r="E1813" s="477"/>
      <c r="F1813" s="477"/>
      <c r="G1813" s="642"/>
      <c r="H1813" s="642"/>
    </row>
    <row r="1814" spans="5:8">
      <c r="E1814" s="477"/>
      <c r="F1814" s="477"/>
      <c r="G1814" s="642"/>
      <c r="H1814" s="642"/>
    </row>
    <row r="1815" spans="5:8">
      <c r="E1815" s="477"/>
      <c r="F1815" s="477"/>
      <c r="G1815" s="642"/>
      <c r="H1815" s="642"/>
    </row>
    <row r="1816" spans="5:8">
      <c r="E1816" s="477"/>
      <c r="F1816" s="477"/>
      <c r="G1816" s="642"/>
      <c r="H1816" s="642"/>
    </row>
    <row r="1817" spans="5:8">
      <c r="E1817" s="477"/>
      <c r="F1817" s="477"/>
      <c r="G1817" s="642"/>
      <c r="H1817" s="642"/>
    </row>
    <row r="1818" spans="5:8">
      <c r="E1818" s="477"/>
      <c r="F1818" s="477"/>
      <c r="G1818" s="642"/>
      <c r="H1818" s="642"/>
    </row>
    <row r="1819" spans="5:8">
      <c r="E1819" s="477"/>
      <c r="F1819" s="477"/>
      <c r="G1819" s="642"/>
      <c r="H1819" s="642"/>
    </row>
    <row r="1820" spans="5:8">
      <c r="E1820" s="477"/>
      <c r="F1820" s="477"/>
      <c r="G1820" s="642"/>
      <c r="H1820" s="642"/>
    </row>
    <row r="1821" spans="5:8">
      <c r="E1821" s="477"/>
      <c r="F1821" s="477"/>
      <c r="G1821" s="642"/>
      <c r="H1821" s="642"/>
    </row>
    <row r="1822" spans="5:8">
      <c r="E1822" s="477"/>
      <c r="F1822" s="477"/>
      <c r="G1822" s="642"/>
      <c r="H1822" s="642"/>
    </row>
    <row r="1823" spans="5:8">
      <c r="E1823" s="477"/>
      <c r="F1823" s="477"/>
      <c r="G1823" s="642"/>
      <c r="H1823" s="642"/>
    </row>
    <row r="1824" spans="5:8">
      <c r="E1824" s="477"/>
      <c r="F1824" s="477"/>
      <c r="G1824" s="642"/>
      <c r="H1824" s="642"/>
    </row>
    <row r="1825" spans="5:8">
      <c r="E1825" s="477"/>
      <c r="F1825" s="477"/>
      <c r="G1825" s="642"/>
      <c r="H1825" s="642"/>
    </row>
    <row r="1826" spans="5:8">
      <c r="E1826" s="477"/>
      <c r="F1826" s="477"/>
      <c r="G1826" s="642"/>
      <c r="H1826" s="642"/>
    </row>
    <row r="1827" spans="5:8">
      <c r="E1827" s="477"/>
      <c r="F1827" s="477"/>
      <c r="G1827" s="642"/>
      <c r="H1827" s="642"/>
    </row>
    <row r="1828" spans="5:8">
      <c r="E1828" s="477"/>
      <c r="F1828" s="477"/>
      <c r="G1828" s="642"/>
      <c r="H1828" s="642"/>
    </row>
    <row r="1829" spans="5:8">
      <c r="E1829" s="477"/>
      <c r="F1829" s="477"/>
      <c r="G1829" s="642"/>
      <c r="H1829" s="642"/>
    </row>
    <row r="1830" spans="5:8">
      <c r="E1830" s="477"/>
      <c r="F1830" s="477"/>
      <c r="G1830" s="642"/>
      <c r="H1830" s="642"/>
    </row>
    <row r="1831" spans="5:8">
      <c r="E1831" s="477"/>
      <c r="F1831" s="477"/>
      <c r="G1831" s="642"/>
      <c r="H1831" s="642"/>
    </row>
    <row r="1832" spans="5:8">
      <c r="E1832" s="477"/>
      <c r="F1832" s="477"/>
      <c r="G1832" s="642"/>
      <c r="H1832" s="642"/>
    </row>
    <row r="1833" spans="5:8">
      <c r="E1833" s="477"/>
      <c r="F1833" s="477"/>
      <c r="G1833" s="642"/>
      <c r="H1833" s="642"/>
    </row>
    <row r="1834" spans="5:8">
      <c r="E1834" s="477"/>
      <c r="F1834" s="477"/>
      <c r="G1834" s="642"/>
      <c r="H1834" s="642"/>
    </row>
    <row r="1835" spans="5:8">
      <c r="E1835" s="477"/>
      <c r="F1835" s="477"/>
      <c r="G1835" s="642"/>
      <c r="H1835" s="642"/>
    </row>
    <row r="1836" spans="5:8">
      <c r="E1836" s="477"/>
      <c r="F1836" s="477"/>
      <c r="G1836" s="642"/>
      <c r="H1836" s="642"/>
    </row>
    <row r="1837" spans="5:8">
      <c r="E1837" s="477"/>
      <c r="F1837" s="477"/>
      <c r="G1837" s="642"/>
      <c r="H1837" s="642"/>
    </row>
    <row r="1838" spans="5:8">
      <c r="E1838" s="477"/>
      <c r="F1838" s="477"/>
      <c r="G1838" s="642"/>
      <c r="H1838" s="642"/>
    </row>
    <row r="1839" spans="5:8">
      <c r="E1839" s="477"/>
      <c r="F1839" s="477"/>
      <c r="G1839" s="642"/>
      <c r="H1839" s="642"/>
    </row>
    <row r="1840" spans="5:8">
      <c r="E1840" s="477"/>
      <c r="F1840" s="477"/>
      <c r="G1840" s="642"/>
      <c r="H1840" s="642"/>
    </row>
    <row r="1841" spans="5:8">
      <c r="E1841" s="477"/>
      <c r="F1841" s="477"/>
      <c r="G1841" s="642"/>
      <c r="H1841" s="642"/>
    </row>
    <row r="1842" spans="5:8">
      <c r="E1842" s="477"/>
      <c r="F1842" s="477"/>
      <c r="G1842" s="642"/>
      <c r="H1842" s="642"/>
    </row>
    <row r="1843" spans="5:8">
      <c r="E1843" s="477"/>
      <c r="F1843" s="477"/>
      <c r="G1843" s="642"/>
      <c r="H1843" s="642"/>
    </row>
    <row r="1844" spans="5:8">
      <c r="E1844" s="477"/>
      <c r="F1844" s="477"/>
      <c r="G1844" s="642"/>
      <c r="H1844" s="642"/>
    </row>
    <row r="1845" spans="5:8">
      <c r="E1845" s="477"/>
      <c r="F1845" s="477"/>
      <c r="G1845" s="642"/>
      <c r="H1845" s="642"/>
    </row>
    <row r="1846" spans="5:8">
      <c r="E1846" s="477"/>
      <c r="F1846" s="477"/>
      <c r="G1846" s="642"/>
      <c r="H1846" s="642"/>
    </row>
    <row r="1847" spans="5:8">
      <c r="E1847" s="477"/>
      <c r="F1847" s="477"/>
      <c r="G1847" s="642"/>
      <c r="H1847" s="642"/>
    </row>
    <row r="1848" spans="5:8">
      <c r="E1848" s="477"/>
      <c r="F1848" s="477"/>
      <c r="G1848" s="642"/>
      <c r="H1848" s="642"/>
    </row>
    <row r="1849" spans="5:8">
      <c r="E1849" s="477"/>
      <c r="F1849" s="477"/>
      <c r="G1849" s="642"/>
      <c r="H1849" s="642"/>
    </row>
    <row r="1850" spans="5:8">
      <c r="E1850" s="477"/>
      <c r="F1850" s="477"/>
      <c r="G1850" s="642"/>
      <c r="H1850" s="642"/>
    </row>
    <row r="1851" spans="5:8">
      <c r="E1851" s="477"/>
      <c r="F1851" s="477"/>
      <c r="G1851" s="642"/>
      <c r="H1851" s="642"/>
    </row>
    <row r="1852" spans="5:8">
      <c r="E1852" s="477"/>
      <c r="F1852" s="477"/>
      <c r="G1852" s="642"/>
      <c r="H1852" s="642"/>
    </row>
    <row r="1853" spans="5:8">
      <c r="E1853" s="477"/>
      <c r="F1853" s="477"/>
      <c r="G1853" s="642"/>
      <c r="H1853" s="642"/>
    </row>
    <row r="1854" spans="5:8">
      <c r="E1854" s="477"/>
      <c r="F1854" s="477"/>
      <c r="G1854" s="642"/>
      <c r="H1854" s="642"/>
    </row>
    <row r="1855" spans="5:8">
      <c r="E1855" s="477"/>
      <c r="F1855" s="477"/>
      <c r="G1855" s="642"/>
      <c r="H1855" s="642"/>
    </row>
    <row r="1856" spans="5:8">
      <c r="E1856" s="477"/>
      <c r="F1856" s="477"/>
      <c r="G1856" s="642"/>
      <c r="H1856" s="642"/>
    </row>
    <row r="1857" spans="5:8">
      <c r="E1857" s="477"/>
      <c r="F1857" s="477"/>
      <c r="G1857" s="642"/>
      <c r="H1857" s="642"/>
    </row>
    <row r="1858" spans="5:8">
      <c r="E1858" s="477"/>
      <c r="F1858" s="477"/>
      <c r="G1858" s="642"/>
      <c r="H1858" s="642"/>
    </row>
    <row r="1859" spans="5:8">
      <c r="E1859" s="477"/>
      <c r="F1859" s="477"/>
      <c r="G1859" s="642"/>
      <c r="H1859" s="642"/>
    </row>
    <row r="1860" spans="5:8">
      <c r="E1860" s="477"/>
      <c r="F1860" s="477"/>
      <c r="G1860" s="642"/>
      <c r="H1860" s="642"/>
    </row>
    <row r="1861" spans="5:8">
      <c r="E1861" s="477"/>
      <c r="F1861" s="477"/>
      <c r="G1861" s="642"/>
      <c r="H1861" s="642"/>
    </row>
    <row r="1862" spans="5:8">
      <c r="E1862" s="477"/>
      <c r="F1862" s="477"/>
      <c r="G1862" s="642"/>
      <c r="H1862" s="642"/>
    </row>
    <row r="1863" spans="5:8">
      <c r="E1863" s="477"/>
      <c r="F1863" s="477"/>
      <c r="G1863" s="642"/>
      <c r="H1863" s="642"/>
    </row>
    <row r="1864" spans="5:8">
      <c r="E1864" s="477"/>
      <c r="F1864" s="477"/>
      <c r="G1864" s="642"/>
      <c r="H1864" s="642"/>
    </row>
    <row r="1865" spans="5:8">
      <c r="E1865" s="477"/>
      <c r="F1865" s="477"/>
      <c r="G1865" s="642"/>
      <c r="H1865" s="642"/>
    </row>
    <row r="1866" spans="5:8">
      <c r="E1866" s="477"/>
      <c r="F1866" s="477"/>
      <c r="G1866" s="642"/>
      <c r="H1866" s="642"/>
    </row>
    <row r="1867" spans="5:8">
      <c r="E1867" s="477"/>
      <c r="F1867" s="477"/>
      <c r="G1867" s="642"/>
      <c r="H1867" s="642"/>
    </row>
    <row r="1868" spans="5:8">
      <c r="E1868" s="477"/>
      <c r="F1868" s="477"/>
      <c r="G1868" s="642"/>
      <c r="H1868" s="642"/>
    </row>
    <row r="1869" spans="5:8">
      <c r="E1869" s="477"/>
      <c r="F1869" s="477"/>
      <c r="G1869" s="642"/>
      <c r="H1869" s="642"/>
    </row>
    <row r="1870" spans="5:8">
      <c r="E1870" s="477"/>
      <c r="F1870" s="477"/>
      <c r="G1870" s="642"/>
      <c r="H1870" s="642"/>
    </row>
    <row r="1871" spans="5:8">
      <c r="E1871" s="477"/>
      <c r="F1871" s="477"/>
      <c r="G1871" s="642"/>
      <c r="H1871" s="642"/>
    </row>
    <row r="1872" spans="5:8">
      <c r="E1872" s="477"/>
      <c r="F1872" s="477"/>
      <c r="G1872" s="642"/>
      <c r="H1872" s="642"/>
    </row>
    <row r="1873" spans="5:8">
      <c r="E1873" s="477"/>
      <c r="F1873" s="477"/>
      <c r="G1873" s="642"/>
      <c r="H1873" s="642"/>
    </row>
    <row r="1874" spans="5:8">
      <c r="E1874" s="477"/>
      <c r="F1874" s="477"/>
      <c r="G1874" s="642"/>
      <c r="H1874" s="642"/>
    </row>
    <row r="1875" spans="5:8">
      <c r="E1875" s="477"/>
      <c r="F1875" s="477"/>
      <c r="G1875" s="642"/>
      <c r="H1875" s="642"/>
    </row>
    <row r="1876" spans="5:8">
      <c r="E1876" s="477"/>
      <c r="F1876" s="477"/>
      <c r="G1876" s="642"/>
      <c r="H1876" s="642"/>
    </row>
    <row r="1877" spans="5:8">
      <c r="E1877" s="477"/>
      <c r="F1877" s="477"/>
      <c r="G1877" s="642"/>
      <c r="H1877" s="642"/>
    </row>
    <row r="1878" spans="5:8">
      <c r="E1878" s="477"/>
      <c r="F1878" s="477"/>
      <c r="G1878" s="642"/>
      <c r="H1878" s="642"/>
    </row>
    <row r="1879" spans="5:8">
      <c r="E1879" s="477"/>
      <c r="F1879" s="477"/>
      <c r="G1879" s="642"/>
      <c r="H1879" s="642"/>
    </row>
    <row r="1880" spans="5:8">
      <c r="E1880" s="477"/>
      <c r="F1880" s="477"/>
      <c r="G1880" s="642"/>
      <c r="H1880" s="642"/>
    </row>
    <row r="1881" spans="5:8">
      <c r="E1881" s="477"/>
      <c r="F1881" s="477"/>
      <c r="G1881" s="642"/>
      <c r="H1881" s="642"/>
    </row>
    <row r="1882" spans="5:8">
      <c r="E1882" s="477"/>
      <c r="F1882" s="477"/>
      <c r="G1882" s="642"/>
      <c r="H1882" s="642"/>
    </row>
    <row r="1883" spans="5:8">
      <c r="E1883" s="477"/>
      <c r="F1883" s="477"/>
      <c r="G1883" s="642"/>
      <c r="H1883" s="642"/>
    </row>
    <row r="1884" spans="5:8">
      <c r="E1884" s="477"/>
      <c r="F1884" s="477"/>
      <c r="G1884" s="642"/>
      <c r="H1884" s="642"/>
    </row>
    <row r="1885" spans="5:8">
      <c r="E1885" s="477"/>
      <c r="F1885" s="477"/>
      <c r="G1885" s="642"/>
      <c r="H1885" s="642"/>
    </row>
    <row r="1886" spans="5:8">
      <c r="E1886" s="477"/>
      <c r="F1886" s="477"/>
      <c r="G1886" s="642"/>
      <c r="H1886" s="642"/>
    </row>
    <row r="1887" spans="5:8">
      <c r="E1887" s="477"/>
      <c r="F1887" s="477"/>
      <c r="G1887" s="642"/>
      <c r="H1887" s="642"/>
    </row>
    <row r="1888" spans="5:8">
      <c r="E1888" s="477"/>
      <c r="F1888" s="477"/>
      <c r="G1888" s="642"/>
      <c r="H1888" s="642"/>
    </row>
    <row r="1889" spans="5:8">
      <c r="E1889" s="477"/>
      <c r="F1889" s="477"/>
      <c r="G1889" s="642"/>
      <c r="H1889" s="642"/>
    </row>
    <row r="1890" spans="5:8">
      <c r="E1890" s="477"/>
      <c r="F1890" s="477"/>
      <c r="G1890" s="642"/>
      <c r="H1890" s="642"/>
    </row>
    <row r="1891" spans="5:8">
      <c r="E1891" s="477"/>
      <c r="F1891" s="477"/>
      <c r="G1891" s="642"/>
      <c r="H1891" s="642"/>
    </row>
    <row r="1892" spans="5:8">
      <c r="E1892" s="477"/>
      <c r="F1892" s="477"/>
      <c r="G1892" s="642"/>
      <c r="H1892" s="642"/>
    </row>
    <row r="1893" spans="5:8">
      <c r="E1893" s="477"/>
      <c r="F1893" s="477"/>
      <c r="G1893" s="642"/>
      <c r="H1893" s="642"/>
    </row>
    <row r="1894" spans="5:8">
      <c r="E1894" s="477"/>
      <c r="F1894" s="477"/>
      <c r="G1894" s="642"/>
      <c r="H1894" s="642"/>
    </row>
    <row r="1895" spans="5:8">
      <c r="E1895" s="477"/>
      <c r="F1895" s="477"/>
      <c r="G1895" s="642"/>
      <c r="H1895" s="642"/>
    </row>
    <row r="1896" spans="5:8">
      <c r="E1896" s="477"/>
      <c r="F1896" s="477"/>
      <c r="G1896" s="642"/>
      <c r="H1896" s="642"/>
    </row>
    <row r="1897" spans="5:8">
      <c r="E1897" s="477"/>
      <c r="F1897" s="477"/>
      <c r="G1897" s="642"/>
      <c r="H1897" s="642"/>
    </row>
    <row r="1898" spans="5:8">
      <c r="E1898" s="477"/>
      <c r="F1898" s="477"/>
      <c r="G1898" s="642"/>
      <c r="H1898" s="642"/>
    </row>
    <row r="1899" spans="5:8">
      <c r="E1899" s="477"/>
      <c r="F1899" s="477"/>
      <c r="G1899" s="642"/>
      <c r="H1899" s="642"/>
    </row>
    <row r="1900" spans="5:8">
      <c r="E1900" s="477"/>
      <c r="F1900" s="477"/>
      <c r="G1900" s="642"/>
      <c r="H1900" s="642"/>
    </row>
    <row r="1901" spans="5:8">
      <c r="E1901" s="477"/>
      <c r="F1901" s="477"/>
      <c r="G1901" s="642"/>
      <c r="H1901" s="642"/>
    </row>
    <row r="1902" spans="5:8">
      <c r="E1902" s="477"/>
      <c r="F1902" s="477"/>
      <c r="G1902" s="642"/>
      <c r="H1902" s="642"/>
    </row>
    <row r="1903" spans="5:8">
      <c r="E1903" s="477"/>
      <c r="F1903" s="477"/>
      <c r="G1903" s="642"/>
      <c r="H1903" s="642"/>
    </row>
    <row r="1904" spans="5:8">
      <c r="E1904" s="477"/>
      <c r="F1904" s="477"/>
      <c r="G1904" s="642"/>
      <c r="H1904" s="642"/>
    </row>
    <row r="1905" spans="5:8">
      <c r="E1905" s="477"/>
      <c r="F1905" s="477"/>
      <c r="G1905" s="642"/>
      <c r="H1905" s="642"/>
    </row>
    <row r="1906" spans="5:8">
      <c r="E1906" s="477"/>
      <c r="F1906" s="477"/>
      <c r="G1906" s="642"/>
      <c r="H1906" s="642"/>
    </row>
    <row r="1907" spans="5:8">
      <c r="E1907" s="477"/>
      <c r="F1907" s="477"/>
      <c r="G1907" s="642"/>
      <c r="H1907" s="642"/>
    </row>
    <row r="1908" spans="5:8">
      <c r="E1908" s="477"/>
      <c r="F1908" s="477"/>
      <c r="G1908" s="642"/>
      <c r="H1908" s="642"/>
    </row>
    <row r="1909" spans="5:8">
      <c r="E1909" s="477"/>
      <c r="F1909" s="477"/>
      <c r="G1909" s="642"/>
      <c r="H1909" s="642"/>
    </row>
    <row r="1910" spans="5:8">
      <c r="E1910" s="477"/>
      <c r="F1910" s="477"/>
      <c r="G1910" s="642"/>
      <c r="H1910" s="642"/>
    </row>
    <row r="1911" spans="5:8">
      <c r="E1911" s="477"/>
      <c r="F1911" s="477"/>
      <c r="G1911" s="642"/>
      <c r="H1911" s="642"/>
    </row>
    <row r="1912" spans="5:8">
      <c r="E1912" s="477"/>
      <c r="F1912" s="477"/>
      <c r="G1912" s="642"/>
      <c r="H1912" s="642"/>
    </row>
    <row r="1913" spans="5:8">
      <c r="E1913" s="477"/>
      <c r="F1913" s="477"/>
      <c r="G1913" s="642"/>
      <c r="H1913" s="642"/>
    </row>
    <row r="1914" spans="5:8">
      <c r="E1914" s="477"/>
      <c r="F1914" s="477"/>
      <c r="G1914" s="642"/>
      <c r="H1914" s="642"/>
    </row>
    <row r="1915" spans="5:8">
      <c r="E1915" s="477"/>
      <c r="F1915" s="477"/>
      <c r="G1915" s="642"/>
      <c r="H1915" s="642"/>
    </row>
    <row r="1916" spans="5:8">
      <c r="E1916" s="477"/>
      <c r="F1916" s="477"/>
      <c r="G1916" s="642"/>
      <c r="H1916" s="642"/>
    </row>
    <row r="1917" spans="5:8">
      <c r="E1917" s="477"/>
      <c r="F1917" s="477"/>
      <c r="G1917" s="642"/>
      <c r="H1917" s="642"/>
    </row>
    <row r="1918" spans="5:8">
      <c r="E1918" s="477"/>
      <c r="F1918" s="477"/>
      <c r="G1918" s="642"/>
      <c r="H1918" s="642"/>
    </row>
    <row r="1919" spans="5:8">
      <c r="E1919" s="477"/>
      <c r="F1919" s="477"/>
      <c r="G1919" s="642"/>
      <c r="H1919" s="642"/>
    </row>
    <row r="1920" spans="5:8">
      <c r="E1920" s="477"/>
      <c r="F1920" s="477"/>
      <c r="G1920" s="642"/>
      <c r="H1920" s="642"/>
    </row>
    <row r="1921" spans="5:8">
      <c r="E1921" s="477"/>
      <c r="F1921" s="477"/>
      <c r="G1921" s="642"/>
      <c r="H1921" s="642"/>
    </row>
    <row r="1922" spans="5:8">
      <c r="E1922" s="477"/>
      <c r="F1922" s="477"/>
      <c r="G1922" s="642"/>
      <c r="H1922" s="642"/>
    </row>
    <row r="1923" spans="5:8">
      <c r="E1923" s="477"/>
      <c r="F1923" s="477"/>
      <c r="G1923" s="642"/>
      <c r="H1923" s="642"/>
    </row>
    <row r="1924" spans="5:8">
      <c r="E1924" s="477"/>
      <c r="F1924" s="477"/>
      <c r="G1924" s="642"/>
      <c r="H1924" s="642"/>
    </row>
    <row r="1925" spans="5:8">
      <c r="E1925" s="477"/>
      <c r="F1925" s="477"/>
      <c r="G1925" s="642"/>
      <c r="H1925" s="642"/>
    </row>
    <row r="1926" spans="5:8">
      <c r="E1926" s="477"/>
      <c r="F1926" s="477"/>
      <c r="G1926" s="642"/>
      <c r="H1926" s="642"/>
    </row>
    <row r="1927" spans="5:8">
      <c r="E1927" s="477"/>
      <c r="F1927" s="477"/>
      <c r="G1927" s="642"/>
      <c r="H1927" s="642"/>
    </row>
    <row r="1928" spans="5:8">
      <c r="E1928" s="477"/>
      <c r="F1928" s="477"/>
      <c r="G1928" s="642"/>
      <c r="H1928" s="642"/>
    </row>
    <row r="1929" spans="5:8">
      <c r="E1929" s="477"/>
      <c r="F1929" s="477"/>
      <c r="G1929" s="642"/>
      <c r="H1929" s="642"/>
    </row>
    <row r="1930" spans="5:8">
      <c r="E1930" s="477"/>
      <c r="F1930" s="477"/>
      <c r="G1930" s="642"/>
      <c r="H1930" s="642"/>
    </row>
    <row r="1931" spans="5:8">
      <c r="E1931" s="477"/>
      <c r="F1931" s="477"/>
      <c r="G1931" s="642"/>
      <c r="H1931" s="642"/>
    </row>
    <row r="1932" spans="5:8">
      <c r="E1932" s="477"/>
      <c r="F1932" s="477"/>
      <c r="G1932" s="642"/>
      <c r="H1932" s="642"/>
    </row>
    <row r="1933" spans="5:8">
      <c r="E1933" s="477"/>
      <c r="F1933" s="477"/>
      <c r="G1933" s="642"/>
      <c r="H1933" s="642"/>
    </row>
    <row r="1934" spans="5:8">
      <c r="E1934" s="477"/>
      <c r="F1934" s="477"/>
      <c r="G1934" s="642"/>
      <c r="H1934" s="642"/>
    </row>
    <row r="1935" spans="5:8">
      <c r="E1935" s="477"/>
      <c r="F1935" s="477"/>
      <c r="G1935" s="642"/>
      <c r="H1935" s="642"/>
    </row>
    <row r="1936" spans="5:8">
      <c r="E1936" s="477"/>
      <c r="F1936" s="477"/>
      <c r="G1936" s="642"/>
      <c r="H1936" s="642"/>
    </row>
    <row r="1937" spans="5:8">
      <c r="E1937" s="477"/>
      <c r="F1937" s="477"/>
      <c r="G1937" s="642"/>
      <c r="H1937" s="642"/>
    </row>
    <row r="1938" spans="5:8">
      <c r="E1938" s="477"/>
      <c r="F1938" s="477"/>
      <c r="G1938" s="642"/>
      <c r="H1938" s="642"/>
    </row>
    <row r="1939" spans="5:8">
      <c r="E1939" s="477"/>
      <c r="F1939" s="477"/>
      <c r="G1939" s="642"/>
      <c r="H1939" s="642"/>
    </row>
    <row r="1940" spans="5:8">
      <c r="E1940" s="477"/>
      <c r="F1940" s="477"/>
      <c r="G1940" s="642"/>
      <c r="H1940" s="642"/>
    </row>
    <row r="1941" spans="5:8">
      <c r="E1941" s="477"/>
      <c r="F1941" s="477"/>
      <c r="G1941" s="642"/>
      <c r="H1941" s="642"/>
    </row>
    <row r="1942" spans="5:8">
      <c r="E1942" s="477"/>
      <c r="F1942" s="477"/>
      <c r="G1942" s="642"/>
      <c r="H1942" s="642"/>
    </row>
    <row r="1943" spans="5:8">
      <c r="E1943" s="477"/>
      <c r="F1943" s="477"/>
      <c r="G1943" s="642"/>
      <c r="H1943" s="642"/>
    </row>
    <row r="1944" spans="5:8">
      <c r="E1944" s="477"/>
      <c r="F1944" s="477"/>
      <c r="G1944" s="642"/>
      <c r="H1944" s="642"/>
    </row>
    <row r="1945" spans="5:8">
      <c r="E1945" s="477"/>
      <c r="F1945" s="477"/>
      <c r="G1945" s="642"/>
      <c r="H1945" s="642"/>
    </row>
    <row r="1946" spans="5:8">
      <c r="E1946" s="477"/>
      <c r="F1946" s="477"/>
      <c r="G1946" s="642"/>
      <c r="H1946" s="642"/>
    </row>
    <row r="1947" spans="5:8">
      <c r="E1947" s="477"/>
      <c r="F1947" s="477"/>
      <c r="G1947" s="642"/>
      <c r="H1947" s="642"/>
    </row>
    <row r="1948" spans="5:8">
      <c r="E1948" s="477"/>
      <c r="F1948" s="477"/>
      <c r="G1948" s="642"/>
      <c r="H1948" s="642"/>
    </row>
    <row r="1949" spans="5:8">
      <c r="E1949" s="477"/>
      <c r="F1949" s="477"/>
      <c r="G1949" s="642"/>
      <c r="H1949" s="642"/>
    </row>
    <row r="1950" spans="5:8">
      <c r="E1950" s="477"/>
      <c r="F1950" s="477"/>
      <c r="G1950" s="642"/>
      <c r="H1950" s="642"/>
    </row>
    <row r="1951" spans="5:8">
      <c r="E1951" s="477"/>
      <c r="F1951" s="477"/>
      <c r="G1951" s="642"/>
      <c r="H1951" s="642"/>
    </row>
    <row r="1952" spans="5:8">
      <c r="E1952" s="477"/>
      <c r="F1952" s="477"/>
      <c r="G1952" s="642"/>
      <c r="H1952" s="642"/>
    </row>
    <row r="1953" spans="5:8">
      <c r="E1953" s="477"/>
      <c r="F1953" s="477"/>
      <c r="G1953" s="642"/>
      <c r="H1953" s="642"/>
    </row>
    <row r="1954" spans="5:8">
      <c r="E1954" s="477"/>
      <c r="F1954" s="477"/>
      <c r="G1954" s="642"/>
      <c r="H1954" s="642"/>
    </row>
    <row r="1955" spans="5:8">
      <c r="E1955" s="477"/>
      <c r="F1955" s="477"/>
      <c r="G1955" s="642"/>
      <c r="H1955" s="642"/>
    </row>
    <row r="1956" spans="5:8">
      <c r="E1956" s="477"/>
      <c r="F1956" s="477"/>
      <c r="G1956" s="642"/>
      <c r="H1956" s="642"/>
    </row>
    <row r="1957" spans="5:8">
      <c r="E1957" s="477"/>
      <c r="F1957" s="477"/>
      <c r="G1957" s="642"/>
      <c r="H1957" s="642"/>
    </row>
    <row r="1958" spans="5:8">
      <c r="E1958" s="477"/>
      <c r="F1958" s="477"/>
      <c r="G1958" s="642"/>
      <c r="H1958" s="642"/>
    </row>
    <row r="1959" spans="5:8">
      <c r="E1959" s="477"/>
      <c r="F1959" s="477"/>
      <c r="G1959" s="642"/>
      <c r="H1959" s="642"/>
    </row>
    <row r="1960" spans="5:8">
      <c r="E1960" s="477"/>
      <c r="F1960" s="477"/>
      <c r="G1960" s="642"/>
      <c r="H1960" s="642"/>
    </row>
    <row r="1961" spans="5:8">
      <c r="E1961" s="477"/>
      <c r="F1961" s="477"/>
      <c r="G1961" s="642"/>
      <c r="H1961" s="642"/>
    </row>
    <row r="1962" spans="5:8">
      <c r="E1962" s="477"/>
      <c r="F1962" s="477"/>
      <c r="G1962" s="642"/>
      <c r="H1962" s="642"/>
    </row>
    <row r="1963" spans="5:8">
      <c r="E1963" s="477"/>
      <c r="F1963" s="477"/>
      <c r="G1963" s="642"/>
      <c r="H1963" s="642"/>
    </row>
    <row r="1964" spans="5:8">
      <c r="E1964" s="477"/>
      <c r="F1964" s="477"/>
      <c r="G1964" s="642"/>
      <c r="H1964" s="642"/>
    </row>
    <row r="1965" spans="5:8">
      <c r="E1965" s="477"/>
      <c r="F1965" s="477"/>
      <c r="G1965" s="642"/>
      <c r="H1965" s="642"/>
    </row>
    <row r="1966" spans="5:8">
      <c r="E1966" s="477"/>
      <c r="F1966" s="477"/>
      <c r="G1966" s="642"/>
      <c r="H1966" s="642"/>
    </row>
    <row r="1967" spans="5:8">
      <c r="E1967" s="477"/>
      <c r="F1967" s="477"/>
      <c r="G1967" s="642"/>
      <c r="H1967" s="642"/>
    </row>
    <row r="1968" spans="5:8">
      <c r="E1968" s="477"/>
      <c r="F1968" s="477"/>
      <c r="G1968" s="642"/>
      <c r="H1968" s="642"/>
    </row>
    <row r="1969" spans="5:8">
      <c r="E1969" s="477"/>
      <c r="F1969" s="477"/>
      <c r="G1969" s="642"/>
      <c r="H1969" s="642"/>
    </row>
    <row r="1970" spans="5:8">
      <c r="E1970" s="477"/>
      <c r="F1970" s="477"/>
      <c r="G1970" s="642"/>
      <c r="H1970" s="642"/>
    </row>
    <row r="1971" spans="5:8">
      <c r="E1971" s="477"/>
      <c r="F1971" s="477"/>
      <c r="G1971" s="642"/>
      <c r="H1971" s="642"/>
    </row>
    <row r="1972" spans="5:8">
      <c r="E1972" s="477"/>
      <c r="F1972" s="477"/>
      <c r="G1972" s="642"/>
      <c r="H1972" s="642"/>
    </row>
    <row r="1973" spans="5:8">
      <c r="E1973" s="477"/>
      <c r="F1973" s="477"/>
      <c r="G1973" s="642"/>
      <c r="H1973" s="642"/>
    </row>
    <row r="1974" spans="5:8">
      <c r="E1974" s="477"/>
      <c r="F1974" s="477"/>
      <c r="G1974" s="642"/>
      <c r="H1974" s="642"/>
    </row>
    <row r="1975" spans="5:8">
      <c r="E1975" s="477"/>
      <c r="F1975" s="477"/>
      <c r="G1975" s="642"/>
      <c r="H1975" s="642"/>
    </row>
    <row r="1976" spans="5:8">
      <c r="E1976" s="477"/>
      <c r="F1976" s="477"/>
      <c r="G1976" s="642"/>
      <c r="H1976" s="642"/>
    </row>
    <row r="1977" spans="5:8">
      <c r="E1977" s="477"/>
      <c r="F1977" s="477"/>
      <c r="G1977" s="642"/>
      <c r="H1977" s="642"/>
    </row>
    <row r="1978" spans="5:8">
      <c r="E1978" s="477"/>
      <c r="F1978" s="477"/>
      <c r="G1978" s="642"/>
      <c r="H1978" s="642"/>
    </row>
    <row r="1979" spans="5:8">
      <c r="E1979" s="477"/>
      <c r="F1979" s="477"/>
      <c r="G1979" s="642"/>
      <c r="H1979" s="642"/>
    </row>
    <row r="1980" spans="5:8">
      <c r="E1980" s="477"/>
      <c r="F1980" s="477"/>
      <c r="G1980" s="642"/>
      <c r="H1980" s="642"/>
    </row>
    <row r="1981" spans="5:8">
      <c r="E1981" s="477"/>
      <c r="F1981" s="477"/>
      <c r="G1981" s="642"/>
      <c r="H1981" s="642"/>
    </row>
    <row r="1982" spans="5:8">
      <c r="E1982" s="477"/>
      <c r="F1982" s="477"/>
      <c r="G1982" s="642"/>
      <c r="H1982" s="642"/>
    </row>
    <row r="1983" spans="5:8">
      <c r="E1983" s="477"/>
      <c r="F1983" s="477"/>
      <c r="G1983" s="642"/>
      <c r="H1983" s="642"/>
    </row>
    <row r="1984" spans="5:8">
      <c r="E1984" s="477"/>
      <c r="F1984" s="477"/>
      <c r="G1984" s="642"/>
      <c r="H1984" s="642"/>
    </row>
    <row r="1985" spans="5:8">
      <c r="E1985" s="477"/>
      <c r="F1985" s="477"/>
      <c r="G1985" s="642"/>
      <c r="H1985" s="642"/>
    </row>
    <row r="1986" spans="5:8">
      <c r="E1986" s="477"/>
      <c r="F1986" s="477"/>
      <c r="G1986" s="642"/>
      <c r="H1986" s="642"/>
    </row>
    <row r="1987" spans="5:8">
      <c r="E1987" s="477"/>
      <c r="F1987" s="477"/>
      <c r="G1987" s="642"/>
      <c r="H1987" s="642"/>
    </row>
    <row r="1988" spans="5:8">
      <c r="E1988" s="477"/>
      <c r="F1988" s="477"/>
      <c r="G1988" s="642"/>
      <c r="H1988" s="642"/>
    </row>
    <row r="1989" spans="5:8">
      <c r="E1989" s="477"/>
      <c r="F1989" s="477"/>
      <c r="G1989" s="642"/>
      <c r="H1989" s="642"/>
    </row>
    <row r="1990" spans="5:8">
      <c r="E1990" s="477"/>
      <c r="F1990" s="477"/>
      <c r="G1990" s="642"/>
      <c r="H1990" s="642"/>
    </row>
    <row r="1991" spans="5:8">
      <c r="E1991" s="477"/>
      <c r="F1991" s="477"/>
      <c r="G1991" s="642"/>
      <c r="H1991" s="642"/>
    </row>
    <row r="1992" spans="5:8">
      <c r="E1992" s="477"/>
      <c r="F1992" s="477"/>
      <c r="G1992" s="642"/>
      <c r="H1992" s="642"/>
    </row>
    <row r="1993" spans="5:8">
      <c r="E1993" s="477"/>
      <c r="F1993" s="477"/>
      <c r="G1993" s="642"/>
      <c r="H1993" s="642"/>
    </row>
    <row r="1994" spans="5:8">
      <c r="E1994" s="477"/>
      <c r="F1994" s="477"/>
      <c r="G1994" s="642"/>
      <c r="H1994" s="642"/>
    </row>
    <row r="1995" spans="5:8">
      <c r="E1995" s="477"/>
      <c r="F1995" s="477"/>
      <c r="G1995" s="642"/>
      <c r="H1995" s="642"/>
    </row>
    <row r="1996" spans="5:8">
      <c r="E1996" s="477"/>
      <c r="F1996" s="477"/>
      <c r="G1996" s="642"/>
      <c r="H1996" s="642"/>
    </row>
    <row r="1997" spans="5:8">
      <c r="E1997" s="477"/>
      <c r="F1997" s="477"/>
      <c r="G1997" s="642"/>
      <c r="H1997" s="642"/>
    </row>
    <row r="1998" spans="5:8">
      <c r="E1998" s="477"/>
      <c r="F1998" s="477"/>
      <c r="G1998" s="642"/>
      <c r="H1998" s="642"/>
    </row>
    <row r="1999" spans="5:8">
      <c r="E1999" s="477"/>
      <c r="F1999" s="477"/>
      <c r="G1999" s="642"/>
      <c r="H1999" s="642"/>
    </row>
    <row r="2000" spans="5:8">
      <c r="E2000" s="477"/>
      <c r="F2000" s="477"/>
      <c r="G2000" s="642"/>
      <c r="H2000" s="642"/>
    </row>
    <row r="2001" spans="5:8">
      <c r="E2001" s="477"/>
      <c r="F2001" s="477"/>
      <c r="G2001" s="642"/>
      <c r="H2001" s="642"/>
    </row>
    <row r="2002" spans="5:8">
      <c r="E2002" s="477"/>
      <c r="F2002" s="477"/>
      <c r="G2002" s="642"/>
      <c r="H2002" s="642"/>
    </row>
    <row r="2003" spans="5:8">
      <c r="E2003" s="477"/>
      <c r="F2003" s="477"/>
      <c r="G2003" s="642"/>
      <c r="H2003" s="642"/>
    </row>
    <row r="2004" spans="5:8">
      <c r="E2004" s="477"/>
      <c r="F2004" s="477"/>
      <c r="G2004" s="642"/>
      <c r="H2004" s="642"/>
    </row>
    <row r="2005" spans="5:8">
      <c r="E2005" s="477"/>
      <c r="F2005" s="477"/>
      <c r="G2005" s="642"/>
      <c r="H2005" s="642"/>
    </row>
    <row r="2006" spans="5:8">
      <c r="E2006" s="477"/>
      <c r="F2006" s="477"/>
      <c r="G2006" s="642"/>
      <c r="H2006" s="642"/>
    </row>
    <row r="2007" spans="5:8">
      <c r="E2007" s="477"/>
      <c r="F2007" s="477"/>
      <c r="G2007" s="642"/>
      <c r="H2007" s="642"/>
    </row>
    <row r="2008" spans="5:8">
      <c r="E2008" s="477"/>
      <c r="F2008" s="477"/>
      <c r="G2008" s="642"/>
      <c r="H2008" s="642"/>
    </row>
    <row r="2009" spans="5:8">
      <c r="E2009" s="477"/>
      <c r="F2009" s="477"/>
      <c r="G2009" s="642"/>
      <c r="H2009" s="642"/>
    </row>
    <row r="2010" spans="5:8">
      <c r="E2010" s="477"/>
      <c r="F2010" s="477"/>
      <c r="G2010" s="642"/>
      <c r="H2010" s="642"/>
    </row>
    <row r="2011" spans="5:8">
      <c r="E2011" s="477"/>
      <c r="F2011" s="477"/>
      <c r="G2011" s="642"/>
      <c r="H2011" s="642"/>
    </row>
    <row r="2012" spans="5:8">
      <c r="E2012" s="477"/>
      <c r="F2012" s="477"/>
      <c r="G2012" s="642"/>
      <c r="H2012" s="642"/>
    </row>
    <row r="2013" spans="5:8">
      <c r="E2013" s="477"/>
      <c r="F2013" s="477"/>
      <c r="G2013" s="642"/>
      <c r="H2013" s="642"/>
    </row>
    <row r="2014" spans="5:8">
      <c r="E2014" s="477"/>
      <c r="F2014" s="477"/>
      <c r="G2014" s="642"/>
      <c r="H2014" s="642"/>
    </row>
    <row r="2015" spans="5:8">
      <c r="E2015" s="477"/>
      <c r="F2015" s="477"/>
      <c r="G2015" s="642"/>
      <c r="H2015" s="642"/>
    </row>
    <row r="2016" spans="5:8">
      <c r="E2016" s="477"/>
      <c r="F2016" s="477"/>
      <c r="G2016" s="642"/>
      <c r="H2016" s="642"/>
    </row>
    <row r="2017" spans="5:8">
      <c r="E2017" s="477"/>
      <c r="F2017" s="477"/>
      <c r="G2017" s="642"/>
      <c r="H2017" s="642"/>
    </row>
    <row r="2018" spans="5:8">
      <c r="E2018" s="477"/>
      <c r="F2018" s="477"/>
      <c r="G2018" s="642"/>
      <c r="H2018" s="642"/>
    </row>
    <row r="2019" spans="5:8">
      <c r="E2019" s="477"/>
      <c r="F2019" s="477"/>
      <c r="G2019" s="642"/>
      <c r="H2019" s="642"/>
    </row>
    <row r="2020" spans="5:8">
      <c r="E2020" s="477"/>
      <c r="F2020" s="477"/>
      <c r="G2020" s="642"/>
      <c r="H2020" s="642"/>
    </row>
    <row r="2021" spans="5:8">
      <c r="E2021" s="477"/>
      <c r="F2021" s="477"/>
      <c r="G2021" s="642"/>
      <c r="H2021" s="642"/>
    </row>
    <row r="2022" spans="5:8">
      <c r="E2022" s="477"/>
      <c r="F2022" s="477"/>
      <c r="G2022" s="642"/>
      <c r="H2022" s="642"/>
    </row>
    <row r="2023" spans="5:8">
      <c r="E2023" s="477"/>
      <c r="F2023" s="477"/>
      <c r="G2023" s="642"/>
      <c r="H2023" s="642"/>
    </row>
    <row r="2024" spans="5:8">
      <c r="E2024" s="477"/>
      <c r="F2024" s="477"/>
      <c r="G2024" s="642"/>
      <c r="H2024" s="642"/>
    </row>
    <row r="2025" spans="5:8">
      <c r="E2025" s="477"/>
      <c r="F2025" s="477"/>
      <c r="G2025" s="642"/>
      <c r="H2025" s="642"/>
    </row>
    <row r="2026" spans="5:8">
      <c r="E2026" s="477"/>
      <c r="F2026" s="477"/>
      <c r="G2026" s="642"/>
      <c r="H2026" s="642"/>
    </row>
    <row r="2027" spans="5:8">
      <c r="E2027" s="477"/>
      <c r="F2027" s="477"/>
      <c r="G2027" s="642"/>
      <c r="H2027" s="642"/>
    </row>
    <row r="2028" spans="5:8">
      <c r="E2028" s="477"/>
      <c r="F2028" s="477"/>
      <c r="G2028" s="642"/>
      <c r="H2028" s="642"/>
    </row>
    <row r="2029" spans="5:8">
      <c r="E2029" s="477"/>
      <c r="F2029" s="477"/>
      <c r="G2029" s="642"/>
      <c r="H2029" s="642"/>
    </row>
    <row r="2030" spans="5:8">
      <c r="E2030" s="477"/>
      <c r="F2030" s="477"/>
      <c r="G2030" s="642"/>
      <c r="H2030" s="642"/>
    </row>
    <row r="2031" spans="5:8">
      <c r="E2031" s="477"/>
      <c r="F2031" s="477"/>
      <c r="G2031" s="642"/>
      <c r="H2031" s="642"/>
    </row>
    <row r="2032" spans="5:8">
      <c r="E2032" s="477"/>
      <c r="F2032" s="477"/>
      <c r="G2032" s="642"/>
      <c r="H2032" s="642"/>
    </row>
    <row r="2033" spans="5:8">
      <c r="E2033" s="477"/>
      <c r="F2033" s="477"/>
      <c r="G2033" s="642"/>
      <c r="H2033" s="642"/>
    </row>
    <row r="2034" spans="5:8">
      <c r="E2034" s="477"/>
      <c r="F2034" s="477"/>
      <c r="G2034" s="642"/>
      <c r="H2034" s="642"/>
    </row>
    <row r="2035" spans="5:8">
      <c r="E2035" s="477"/>
      <c r="F2035" s="477"/>
      <c r="G2035" s="642"/>
      <c r="H2035" s="642"/>
    </row>
    <row r="2036" spans="5:8">
      <c r="E2036" s="477"/>
      <c r="F2036" s="477"/>
      <c r="G2036" s="642"/>
      <c r="H2036" s="642"/>
    </row>
    <row r="2037" spans="5:8">
      <c r="E2037" s="477"/>
      <c r="F2037" s="477"/>
      <c r="G2037" s="642"/>
      <c r="H2037" s="642"/>
    </row>
    <row r="2038" spans="5:8">
      <c r="E2038" s="477"/>
      <c r="F2038" s="477"/>
      <c r="G2038" s="642"/>
      <c r="H2038" s="642"/>
    </row>
    <row r="2039" spans="5:8">
      <c r="E2039" s="477"/>
      <c r="F2039" s="477"/>
      <c r="G2039" s="642"/>
      <c r="H2039" s="642"/>
    </row>
    <row r="2040" spans="5:8">
      <c r="E2040" s="477"/>
      <c r="F2040" s="477"/>
      <c r="G2040" s="642"/>
      <c r="H2040" s="642"/>
    </row>
    <row r="2041" spans="5:8">
      <c r="E2041" s="477"/>
      <c r="F2041" s="477"/>
      <c r="G2041" s="642"/>
      <c r="H2041" s="642"/>
    </row>
    <row r="2042" spans="5:8">
      <c r="E2042" s="477"/>
      <c r="F2042" s="477"/>
      <c r="G2042" s="642"/>
      <c r="H2042" s="642"/>
    </row>
    <row r="2043" spans="5:8">
      <c r="E2043" s="477"/>
      <c r="F2043" s="477"/>
      <c r="G2043" s="642"/>
      <c r="H2043" s="642"/>
    </row>
    <row r="2044" spans="5:8">
      <c r="E2044" s="477"/>
      <c r="F2044" s="477"/>
      <c r="G2044" s="642"/>
      <c r="H2044" s="642"/>
    </row>
    <row r="2045" spans="5:8">
      <c r="E2045" s="477"/>
      <c r="F2045" s="477"/>
      <c r="G2045" s="642"/>
      <c r="H2045" s="642"/>
    </row>
    <row r="2046" spans="5:8">
      <c r="E2046" s="477"/>
      <c r="F2046" s="477"/>
      <c r="G2046" s="642"/>
      <c r="H2046" s="642"/>
    </row>
    <row r="2047" spans="5:8">
      <c r="E2047" s="477"/>
      <c r="F2047" s="477"/>
      <c r="G2047" s="642"/>
      <c r="H2047" s="642"/>
    </row>
    <row r="2048" spans="5:8">
      <c r="E2048" s="477"/>
      <c r="F2048" s="477"/>
      <c r="G2048" s="642"/>
      <c r="H2048" s="642"/>
    </row>
    <row r="2049" spans="5:8">
      <c r="E2049" s="477"/>
      <c r="F2049" s="477"/>
      <c r="G2049" s="642"/>
      <c r="H2049" s="642"/>
    </row>
    <row r="2050" spans="5:8">
      <c r="E2050" s="477"/>
      <c r="F2050" s="477"/>
      <c r="G2050" s="642"/>
      <c r="H2050" s="642"/>
    </row>
    <row r="2051" spans="5:8">
      <c r="E2051" s="477"/>
      <c r="F2051" s="477"/>
      <c r="G2051" s="642"/>
      <c r="H2051" s="642"/>
    </row>
    <row r="2052" spans="5:8">
      <c r="E2052" s="477"/>
      <c r="F2052" s="477"/>
      <c r="G2052" s="642"/>
      <c r="H2052" s="642"/>
    </row>
    <row r="2053" spans="5:8">
      <c r="E2053" s="477"/>
      <c r="F2053" s="477"/>
      <c r="G2053" s="642"/>
      <c r="H2053" s="642"/>
    </row>
    <row r="2054" spans="5:8">
      <c r="E2054" s="477"/>
      <c r="F2054" s="477"/>
      <c r="G2054" s="642"/>
      <c r="H2054" s="642"/>
    </row>
    <row r="2055" spans="5:8">
      <c r="E2055" s="477"/>
      <c r="F2055" s="477"/>
      <c r="G2055" s="642"/>
      <c r="H2055" s="642"/>
    </row>
    <row r="2056" spans="5:8">
      <c r="E2056" s="477"/>
      <c r="F2056" s="477"/>
      <c r="G2056" s="642"/>
      <c r="H2056" s="642"/>
    </row>
    <row r="2057" spans="5:8">
      <c r="E2057" s="477"/>
      <c r="F2057" s="477"/>
      <c r="G2057" s="642"/>
      <c r="H2057" s="642"/>
    </row>
    <row r="2058" spans="5:8">
      <c r="E2058" s="477"/>
      <c r="F2058" s="477"/>
      <c r="G2058" s="642"/>
      <c r="H2058" s="642"/>
    </row>
    <row r="2059" spans="5:8">
      <c r="E2059" s="477"/>
      <c r="F2059" s="477"/>
      <c r="G2059" s="642"/>
      <c r="H2059" s="642"/>
    </row>
    <row r="2060" spans="5:8">
      <c r="E2060" s="477"/>
      <c r="F2060" s="477"/>
      <c r="G2060" s="642"/>
      <c r="H2060" s="642"/>
    </row>
    <row r="2061" spans="5:8">
      <c r="E2061" s="477"/>
      <c r="F2061" s="477"/>
      <c r="G2061" s="642"/>
      <c r="H2061" s="642"/>
    </row>
    <row r="2062" spans="5:8">
      <c r="E2062" s="477"/>
      <c r="F2062" s="477"/>
      <c r="G2062" s="642"/>
      <c r="H2062" s="642"/>
    </row>
    <row r="2063" spans="5:8">
      <c r="E2063" s="477"/>
      <c r="F2063" s="477"/>
      <c r="G2063" s="642"/>
      <c r="H2063" s="642"/>
    </row>
    <row r="2064" spans="5:8">
      <c r="E2064" s="477"/>
      <c r="F2064" s="477"/>
      <c r="G2064" s="642"/>
      <c r="H2064" s="642"/>
    </row>
    <row r="2065" spans="5:8">
      <c r="E2065" s="477"/>
      <c r="F2065" s="477"/>
      <c r="G2065" s="642"/>
      <c r="H2065" s="642"/>
    </row>
    <row r="2066" spans="5:8">
      <c r="E2066" s="477"/>
      <c r="F2066" s="477"/>
      <c r="G2066" s="642"/>
      <c r="H2066" s="642"/>
    </row>
    <row r="2067" spans="5:8">
      <c r="E2067" s="477"/>
      <c r="F2067" s="477"/>
      <c r="G2067" s="642"/>
      <c r="H2067" s="642"/>
    </row>
    <row r="2068" spans="5:8">
      <c r="E2068" s="477"/>
      <c r="F2068" s="477"/>
      <c r="G2068" s="642"/>
      <c r="H2068" s="642"/>
    </row>
    <row r="2069" spans="5:8">
      <c r="E2069" s="477"/>
      <c r="F2069" s="477"/>
      <c r="G2069" s="642"/>
      <c r="H2069" s="642"/>
    </row>
    <row r="2070" spans="5:8">
      <c r="E2070" s="477"/>
      <c r="F2070" s="477"/>
      <c r="G2070" s="642"/>
      <c r="H2070" s="642"/>
    </row>
    <row r="2071" spans="5:8">
      <c r="E2071" s="477"/>
      <c r="F2071" s="477"/>
      <c r="G2071" s="642"/>
      <c r="H2071" s="642"/>
    </row>
    <row r="2072" spans="5:8">
      <c r="E2072" s="477"/>
      <c r="F2072" s="477"/>
      <c r="G2072" s="642"/>
      <c r="H2072" s="642"/>
    </row>
    <row r="2073" spans="5:8">
      <c r="E2073" s="477"/>
      <c r="F2073" s="477"/>
      <c r="G2073" s="642"/>
      <c r="H2073" s="642"/>
    </row>
    <row r="2074" spans="5:8">
      <c r="E2074" s="477"/>
      <c r="F2074" s="477"/>
      <c r="G2074" s="642"/>
      <c r="H2074" s="642"/>
    </row>
    <row r="2075" spans="5:8">
      <c r="E2075" s="477"/>
      <c r="F2075" s="477"/>
      <c r="G2075" s="642"/>
      <c r="H2075" s="642"/>
    </row>
    <row r="2076" spans="5:8">
      <c r="E2076" s="477"/>
      <c r="F2076" s="477"/>
      <c r="G2076" s="642"/>
      <c r="H2076" s="642"/>
    </row>
    <row r="2077" spans="5:8">
      <c r="E2077" s="477"/>
      <c r="F2077" s="477"/>
      <c r="G2077" s="642"/>
      <c r="H2077" s="642"/>
    </row>
    <row r="2078" spans="5:8">
      <c r="E2078" s="477"/>
      <c r="F2078" s="477"/>
      <c r="G2078" s="642"/>
      <c r="H2078" s="642"/>
    </row>
    <row r="2079" spans="5:8">
      <c r="E2079" s="477"/>
      <c r="F2079" s="477"/>
      <c r="G2079" s="642"/>
      <c r="H2079" s="642"/>
    </row>
    <row r="2080" spans="5:8">
      <c r="E2080" s="477"/>
      <c r="F2080" s="477"/>
      <c r="G2080" s="642"/>
      <c r="H2080" s="642"/>
    </row>
    <row r="2081" spans="5:8">
      <c r="E2081" s="477"/>
      <c r="F2081" s="477"/>
      <c r="G2081" s="642"/>
      <c r="H2081" s="642"/>
    </row>
    <row r="2082" spans="5:8">
      <c r="E2082" s="477"/>
      <c r="F2082" s="477"/>
      <c r="G2082" s="642"/>
      <c r="H2082" s="642"/>
    </row>
    <row r="2083" spans="5:8">
      <c r="E2083" s="477"/>
      <c r="F2083" s="477"/>
      <c r="G2083" s="642"/>
      <c r="H2083" s="642"/>
    </row>
    <row r="2084" spans="5:8">
      <c r="E2084" s="477"/>
      <c r="F2084" s="477"/>
      <c r="G2084" s="642"/>
      <c r="H2084" s="642"/>
    </row>
    <row r="2085" spans="5:8">
      <c r="E2085" s="477"/>
      <c r="F2085" s="477"/>
      <c r="G2085" s="642"/>
      <c r="H2085" s="642"/>
    </row>
    <row r="2086" spans="5:8">
      <c r="E2086" s="477"/>
      <c r="F2086" s="477"/>
      <c r="G2086" s="642"/>
      <c r="H2086" s="642"/>
    </row>
    <row r="2087" spans="5:8">
      <c r="E2087" s="477"/>
      <c r="F2087" s="477"/>
      <c r="G2087" s="642"/>
      <c r="H2087" s="642"/>
    </row>
    <row r="2088" spans="5:8">
      <c r="E2088" s="477"/>
      <c r="F2088" s="477"/>
      <c r="G2088" s="642"/>
      <c r="H2088" s="642"/>
    </row>
    <row r="2089" spans="5:8">
      <c r="E2089" s="477"/>
      <c r="F2089" s="477"/>
      <c r="G2089" s="642"/>
      <c r="H2089" s="642"/>
    </row>
    <row r="2090" spans="5:8">
      <c r="E2090" s="477"/>
      <c r="F2090" s="477"/>
      <c r="G2090" s="642"/>
      <c r="H2090" s="642"/>
    </row>
    <row r="2091" spans="5:8">
      <c r="E2091" s="477"/>
      <c r="F2091" s="477"/>
      <c r="G2091" s="642"/>
      <c r="H2091" s="642"/>
    </row>
    <row r="2092" spans="5:8">
      <c r="E2092" s="477"/>
      <c r="F2092" s="477"/>
      <c r="G2092" s="642"/>
      <c r="H2092" s="642"/>
    </row>
    <row r="2093" spans="5:8">
      <c r="E2093" s="477"/>
      <c r="F2093" s="477"/>
      <c r="G2093" s="642"/>
      <c r="H2093" s="642"/>
    </row>
    <row r="2094" spans="5:8">
      <c r="E2094" s="477"/>
      <c r="F2094" s="477"/>
      <c r="G2094" s="642"/>
      <c r="H2094" s="642"/>
    </row>
    <row r="2095" spans="5:8">
      <c r="E2095" s="477"/>
      <c r="F2095" s="477"/>
      <c r="G2095" s="642"/>
      <c r="H2095" s="642"/>
    </row>
    <row r="2096" spans="5:8">
      <c r="E2096" s="477"/>
      <c r="F2096" s="477"/>
      <c r="G2096" s="642"/>
      <c r="H2096" s="642"/>
    </row>
    <row r="2097" spans="5:8">
      <c r="E2097" s="477"/>
      <c r="F2097" s="477"/>
      <c r="G2097" s="642"/>
      <c r="H2097" s="642"/>
    </row>
    <row r="2098" spans="5:8">
      <c r="E2098" s="477"/>
      <c r="F2098" s="477"/>
      <c r="G2098" s="642"/>
      <c r="H2098" s="642"/>
    </row>
    <row r="2099" spans="5:8">
      <c r="E2099" s="477"/>
      <c r="F2099" s="477"/>
      <c r="G2099" s="642"/>
      <c r="H2099" s="642"/>
    </row>
    <row r="2100" spans="5:8">
      <c r="E2100" s="477"/>
      <c r="F2100" s="477"/>
      <c r="G2100" s="642"/>
      <c r="H2100" s="642"/>
    </row>
    <row r="2101" spans="5:8">
      <c r="E2101" s="477"/>
      <c r="F2101" s="477"/>
      <c r="G2101" s="642"/>
      <c r="H2101" s="642"/>
    </row>
    <row r="2102" spans="5:8">
      <c r="E2102" s="477"/>
      <c r="F2102" s="477"/>
      <c r="G2102" s="642"/>
      <c r="H2102" s="642"/>
    </row>
    <row r="2103" spans="5:8">
      <c r="E2103" s="477"/>
      <c r="F2103" s="477"/>
      <c r="G2103" s="642"/>
      <c r="H2103" s="642"/>
    </row>
    <row r="2104" spans="5:8">
      <c r="E2104" s="477"/>
      <c r="F2104" s="477"/>
      <c r="G2104" s="642"/>
      <c r="H2104" s="642"/>
    </row>
    <row r="2105" spans="5:8">
      <c r="E2105" s="477"/>
      <c r="F2105" s="477"/>
      <c r="G2105" s="642"/>
      <c r="H2105" s="642"/>
    </row>
    <row r="2106" spans="5:8">
      <c r="E2106" s="477"/>
      <c r="F2106" s="477"/>
      <c r="G2106" s="642"/>
      <c r="H2106" s="642"/>
    </row>
    <row r="2107" spans="5:8">
      <c r="E2107" s="477"/>
      <c r="F2107" s="477"/>
      <c r="G2107" s="642"/>
      <c r="H2107" s="642"/>
    </row>
    <row r="2108" spans="5:8">
      <c r="E2108" s="477"/>
      <c r="F2108" s="477"/>
      <c r="G2108" s="642"/>
      <c r="H2108" s="642"/>
    </row>
    <row r="2109" spans="5:8">
      <c r="E2109" s="477"/>
      <c r="F2109" s="477"/>
      <c r="G2109" s="642"/>
      <c r="H2109" s="642"/>
    </row>
    <row r="2110" spans="5:8">
      <c r="E2110" s="477"/>
      <c r="F2110" s="477"/>
      <c r="G2110" s="642"/>
      <c r="H2110" s="642"/>
    </row>
    <row r="2111" spans="5:8">
      <c r="E2111" s="477"/>
      <c r="F2111" s="477"/>
      <c r="G2111" s="642"/>
      <c r="H2111" s="642"/>
    </row>
    <row r="2112" spans="5:8">
      <c r="E2112" s="477"/>
      <c r="F2112" s="477"/>
      <c r="G2112" s="642"/>
      <c r="H2112" s="642"/>
    </row>
    <row r="2113" spans="5:8">
      <c r="E2113" s="477"/>
      <c r="F2113" s="477"/>
      <c r="G2113" s="642"/>
      <c r="H2113" s="642"/>
    </row>
    <row r="2114" spans="5:8">
      <c r="E2114" s="477"/>
      <c r="F2114" s="477"/>
      <c r="G2114" s="642"/>
      <c r="H2114" s="642"/>
    </row>
    <row r="2115" spans="5:8">
      <c r="E2115" s="477"/>
      <c r="F2115" s="477"/>
      <c r="G2115" s="642"/>
      <c r="H2115" s="642"/>
    </row>
    <row r="2116" spans="5:8">
      <c r="E2116" s="477"/>
      <c r="F2116" s="477"/>
      <c r="G2116" s="642"/>
      <c r="H2116" s="642"/>
    </row>
    <row r="2117" spans="5:8">
      <c r="E2117" s="477"/>
      <c r="F2117" s="477"/>
      <c r="G2117" s="642"/>
      <c r="H2117" s="642"/>
    </row>
    <row r="2118" spans="5:8">
      <c r="E2118" s="477"/>
      <c r="F2118" s="477"/>
      <c r="G2118" s="642"/>
      <c r="H2118" s="642"/>
    </row>
    <row r="2119" spans="5:8">
      <c r="E2119" s="477"/>
      <c r="F2119" s="477"/>
      <c r="G2119" s="642"/>
      <c r="H2119" s="642"/>
    </row>
    <row r="2120" spans="5:8">
      <c r="E2120" s="477"/>
      <c r="F2120" s="477"/>
      <c r="G2120" s="642"/>
      <c r="H2120" s="642"/>
    </row>
    <row r="2121" spans="5:8">
      <c r="E2121" s="477"/>
      <c r="F2121" s="477"/>
      <c r="G2121" s="642"/>
      <c r="H2121" s="642"/>
    </row>
    <row r="2122" spans="5:8">
      <c r="E2122" s="477"/>
      <c r="F2122" s="477"/>
      <c r="G2122" s="642"/>
      <c r="H2122" s="642"/>
    </row>
    <row r="2123" spans="5:8">
      <c r="E2123" s="477"/>
      <c r="F2123" s="477"/>
      <c r="G2123" s="642"/>
      <c r="H2123" s="642"/>
    </row>
    <row r="2124" spans="5:8">
      <c r="E2124" s="477"/>
      <c r="F2124" s="477"/>
      <c r="G2124" s="642"/>
      <c r="H2124" s="642"/>
    </row>
    <row r="2125" spans="5:8">
      <c r="E2125" s="477"/>
      <c r="F2125" s="477"/>
      <c r="G2125" s="642"/>
      <c r="H2125" s="642"/>
    </row>
    <row r="2126" spans="5:8">
      <c r="E2126" s="477"/>
      <c r="F2126" s="477"/>
      <c r="G2126" s="642"/>
      <c r="H2126" s="642"/>
    </row>
    <row r="2127" spans="5:8">
      <c r="E2127" s="477"/>
      <c r="F2127" s="477"/>
      <c r="G2127" s="642"/>
      <c r="H2127" s="642"/>
    </row>
    <row r="2128" spans="5:8">
      <c r="E2128" s="477"/>
      <c r="F2128" s="477"/>
      <c r="G2128" s="642"/>
      <c r="H2128" s="642"/>
    </row>
    <row r="2129" spans="5:8">
      <c r="E2129" s="477"/>
      <c r="F2129" s="477"/>
      <c r="G2129" s="642"/>
      <c r="H2129" s="642"/>
    </row>
    <row r="2130" spans="5:8">
      <c r="E2130" s="477"/>
      <c r="F2130" s="477"/>
      <c r="G2130" s="642"/>
      <c r="H2130" s="642"/>
    </row>
    <row r="2131" spans="5:8">
      <c r="E2131" s="477"/>
      <c r="F2131" s="477"/>
      <c r="G2131" s="642"/>
      <c r="H2131" s="642"/>
    </row>
    <row r="2132" spans="5:8">
      <c r="E2132" s="477"/>
      <c r="F2132" s="477"/>
      <c r="G2132" s="642"/>
      <c r="H2132" s="642"/>
    </row>
    <row r="2133" spans="5:8">
      <c r="E2133" s="477"/>
      <c r="F2133" s="477"/>
      <c r="G2133" s="642"/>
      <c r="H2133" s="642"/>
    </row>
    <row r="2134" spans="5:8">
      <c r="E2134" s="477"/>
      <c r="F2134" s="477"/>
      <c r="G2134" s="642"/>
      <c r="H2134" s="642"/>
    </row>
    <row r="2135" spans="5:8">
      <c r="E2135" s="477"/>
      <c r="F2135" s="477"/>
      <c r="G2135" s="642"/>
      <c r="H2135" s="642"/>
    </row>
    <row r="2136" spans="5:8">
      <c r="E2136" s="477"/>
      <c r="F2136" s="477"/>
      <c r="G2136" s="642"/>
      <c r="H2136" s="642"/>
    </row>
    <row r="2137" spans="5:8">
      <c r="E2137" s="477"/>
      <c r="F2137" s="477"/>
      <c r="G2137" s="642"/>
      <c r="H2137" s="642"/>
    </row>
  </sheetData>
  <mergeCells count="3">
    <mergeCell ref="AC3:AL3"/>
    <mergeCell ref="AC64:AL64"/>
    <mergeCell ref="C118:AL118"/>
  </mergeCells>
  <pageMargins left="0.78740157480314965" right="0.23622047244094491" top="0.27559055118110237" bottom="0.27559055118110237" header="0" footer="0"/>
  <pageSetup scale="95" fitToHeight="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C2:AO62"/>
  <sheetViews>
    <sheetView showGridLines="0" zoomScale="115" zoomScaleNormal="115" zoomScalePageLayoutView="115" workbookViewId="0">
      <pane xSplit="11" ySplit="5" topLeftCell="L6" activePane="bottomRight" state="frozen"/>
      <selection activeCell="S18" sqref="S18"/>
      <selection pane="topRight" activeCell="S18" sqref="S18"/>
      <selection pane="bottomLeft" activeCell="S18" sqref="S18"/>
      <selection pane="bottomRight" activeCell="C2" sqref="C2"/>
    </sheetView>
  </sheetViews>
  <sheetFormatPr baseColWidth="10" defaultColWidth="13.3984375" defaultRowHeight="12"/>
  <cols>
    <col min="1" max="1" width="1.59765625" style="446" customWidth="1"/>
    <col min="2" max="2" width="2.3984375" style="446" customWidth="1"/>
    <col min="3" max="3" width="4.796875" style="446" customWidth="1"/>
    <col min="4" max="4" width="39" style="446" customWidth="1"/>
    <col min="5" max="5" width="4.3984375" style="446" hidden="1" customWidth="1"/>
    <col min="6" max="6" width="11.3984375" style="448" hidden="1" customWidth="1"/>
    <col min="7" max="8" width="8.59765625" style="448" hidden="1" customWidth="1"/>
    <col min="9" max="9" width="8.3984375" style="448" hidden="1" customWidth="1"/>
    <col min="10" max="10" width="8.59765625" style="448" hidden="1" customWidth="1"/>
    <col min="11" max="11" width="13" style="448" hidden="1" customWidth="1"/>
    <col min="12" max="12" width="8.59765625" style="448" customWidth="1"/>
    <col min="13" max="13" width="10.19921875" style="448" hidden="1" customWidth="1"/>
    <col min="14" max="14" width="10.3984375" style="448" hidden="1" customWidth="1"/>
    <col min="15" max="15" width="10.19921875" style="448" customWidth="1"/>
    <col min="16" max="18" width="10.19921875" style="448" hidden="1" customWidth="1"/>
    <col min="19" max="19" width="10.19921875" style="448" customWidth="1"/>
    <col min="20" max="22" width="10.19921875" style="448" hidden="1" customWidth="1"/>
    <col min="23" max="23" width="10.19921875" style="448" customWidth="1"/>
    <col min="24" max="24" width="8.59765625" style="448" customWidth="1"/>
    <col min="25" max="25" width="8.59765625" style="448" hidden="1" customWidth="1"/>
    <col min="26" max="26" width="9.796875" style="448" customWidth="1"/>
    <col min="27" max="27" width="8.59765625" style="448" hidden="1" customWidth="1"/>
    <col min="28" max="28" width="10.19921875" style="448" customWidth="1"/>
    <col min="29" max="38" width="8.59765625" style="448" customWidth="1"/>
    <col min="39" max="16384" width="13.3984375" style="446"/>
  </cols>
  <sheetData>
    <row r="2" spans="3:41" ht="18">
      <c r="C2" s="438" t="s">
        <v>405</v>
      </c>
      <c r="D2" s="742"/>
      <c r="E2" s="742"/>
      <c r="F2" s="743"/>
      <c r="G2" s="743"/>
      <c r="H2" s="743"/>
    </row>
    <row r="3" spans="3:41" ht="18">
      <c r="C3" s="438" t="s">
        <v>358</v>
      </c>
      <c r="D3" s="742"/>
      <c r="E3" s="742"/>
      <c r="F3" s="743"/>
      <c r="G3" s="743"/>
      <c r="H3" s="743"/>
      <c r="Y3" s="444"/>
      <c r="Z3" s="445"/>
      <c r="AA3" s="445"/>
      <c r="AC3" s="809" t="s">
        <v>276</v>
      </c>
      <c r="AD3" s="809"/>
      <c r="AE3" s="809"/>
      <c r="AF3" s="809"/>
      <c r="AG3" s="809"/>
      <c r="AH3" s="809"/>
      <c r="AI3" s="809"/>
      <c r="AJ3" s="809"/>
      <c r="AK3" s="809"/>
      <c r="AL3" s="809"/>
    </row>
    <row r="4" spans="3:41" ht="14">
      <c r="C4" s="744"/>
    </row>
    <row r="5" spans="3:41" s="745" customFormat="1" ht="26">
      <c r="F5" s="451" t="s">
        <v>171</v>
      </c>
      <c r="G5" s="451" t="s">
        <v>172</v>
      </c>
      <c r="H5" s="453" t="s">
        <v>277</v>
      </c>
      <c r="I5" s="453" t="s">
        <v>278</v>
      </c>
      <c r="J5" s="453" t="s">
        <v>279</v>
      </c>
      <c r="K5" s="451" t="s">
        <v>176</v>
      </c>
      <c r="L5" s="639" t="s">
        <v>177</v>
      </c>
      <c r="M5" s="451" t="s">
        <v>178</v>
      </c>
      <c r="N5" s="451" t="s">
        <v>179</v>
      </c>
      <c r="O5" s="639" t="s">
        <v>180</v>
      </c>
      <c r="P5" s="451" t="s">
        <v>181</v>
      </c>
      <c r="Q5" s="451" t="s">
        <v>182</v>
      </c>
      <c r="R5" s="456" t="s">
        <v>183</v>
      </c>
      <c r="S5" s="639" t="s">
        <v>184</v>
      </c>
      <c r="T5" s="639" t="s">
        <v>185</v>
      </c>
      <c r="U5" s="639" t="s">
        <v>186</v>
      </c>
      <c r="V5" s="639" t="s">
        <v>187</v>
      </c>
      <c r="W5" s="639" t="s">
        <v>188</v>
      </c>
      <c r="X5" s="639" t="s">
        <v>189</v>
      </c>
      <c r="Y5" s="639" t="s">
        <v>190</v>
      </c>
      <c r="Z5" s="639" t="s">
        <v>191</v>
      </c>
      <c r="AA5" s="639" t="s">
        <v>192</v>
      </c>
      <c r="AB5" s="639" t="s">
        <v>280</v>
      </c>
      <c r="AC5" s="639" t="s">
        <v>194</v>
      </c>
      <c r="AD5" s="639" t="s">
        <v>195</v>
      </c>
      <c r="AE5" s="639" t="s">
        <v>196</v>
      </c>
      <c r="AF5" s="639" t="s">
        <v>197</v>
      </c>
      <c r="AG5" s="639" t="s">
        <v>198</v>
      </c>
      <c r="AH5" s="639" t="s">
        <v>199</v>
      </c>
      <c r="AI5" s="639" t="s">
        <v>200</v>
      </c>
      <c r="AJ5" s="639" t="s">
        <v>201</v>
      </c>
      <c r="AK5" s="639" t="s">
        <v>202</v>
      </c>
      <c r="AL5" s="639" t="s">
        <v>203</v>
      </c>
    </row>
    <row r="6" spans="3:41">
      <c r="F6" s="746"/>
      <c r="G6" s="746"/>
      <c r="H6" s="746"/>
      <c r="I6" s="746"/>
      <c r="J6" s="746"/>
      <c r="K6" s="746"/>
      <c r="L6" s="746"/>
      <c r="M6" s="746"/>
      <c r="N6" s="746"/>
      <c r="O6" s="746"/>
      <c r="P6" s="746"/>
      <c r="Q6" s="746"/>
      <c r="R6" s="746"/>
      <c r="S6" s="746"/>
      <c r="T6" s="746"/>
      <c r="U6" s="746"/>
      <c r="V6" s="746"/>
      <c r="W6" s="746"/>
      <c r="X6" s="746"/>
      <c r="Y6" s="746"/>
      <c r="Z6" s="746"/>
      <c r="AA6" s="746"/>
      <c r="AB6" s="746"/>
      <c r="AC6" s="746"/>
      <c r="AD6" s="746"/>
      <c r="AE6" s="746"/>
      <c r="AF6" s="746"/>
      <c r="AG6" s="746"/>
      <c r="AH6" s="746"/>
      <c r="AI6" s="746"/>
      <c r="AJ6" s="746"/>
      <c r="AK6" s="746"/>
      <c r="AL6" s="746"/>
    </row>
    <row r="7" spans="3:41">
      <c r="C7" s="747" t="s">
        <v>359</v>
      </c>
      <c r="D7" s="748"/>
      <c r="E7" s="748"/>
      <c r="F7" s="665"/>
      <c r="G7" s="665"/>
      <c r="H7" s="665"/>
      <c r="I7" s="665"/>
      <c r="J7" s="665"/>
      <c r="K7" s="665"/>
      <c r="L7" s="665"/>
      <c r="M7" s="665"/>
      <c r="N7" s="665"/>
      <c r="O7" s="665"/>
      <c r="P7" s="665"/>
      <c r="Q7" s="665"/>
      <c r="R7" s="665"/>
      <c r="S7" s="665"/>
      <c r="T7" s="665"/>
      <c r="U7" s="665"/>
      <c r="V7" s="665"/>
      <c r="W7" s="665"/>
      <c r="X7" s="665"/>
      <c r="Y7" s="665"/>
      <c r="Z7" s="665"/>
      <c r="AA7" s="665"/>
      <c r="AB7" s="665"/>
      <c r="AC7" s="665"/>
      <c r="AD7" s="665"/>
      <c r="AE7" s="665"/>
      <c r="AF7" s="665"/>
      <c r="AG7" s="665"/>
      <c r="AH7" s="665"/>
      <c r="AI7" s="665"/>
      <c r="AJ7" s="665"/>
      <c r="AK7" s="665"/>
      <c r="AL7" s="665"/>
    </row>
    <row r="8" spans="3:41">
      <c r="C8" s="696" t="s">
        <v>360</v>
      </c>
      <c r="D8" s="696"/>
      <c r="E8" s="696"/>
      <c r="F8" s="665">
        <f>+BS!F49</f>
        <v>5605.4792632724002</v>
      </c>
      <c r="G8" s="665">
        <f>+BS!G49</f>
        <v>7245.6170551441373</v>
      </c>
      <c r="H8" s="665">
        <f>+BS!H49</f>
        <v>17705.923427753791</v>
      </c>
      <c r="I8" s="665">
        <f>+BS!I49</f>
        <v>34730.581085397484</v>
      </c>
      <c r="J8" s="665">
        <f>+BS!J49</f>
        <v>8241</v>
      </c>
      <c r="K8" s="665">
        <f>+BS!K49</f>
        <v>5404.1513122572233</v>
      </c>
      <c r="L8" s="665">
        <f>+BS!L49</f>
        <v>9057</v>
      </c>
      <c r="M8" s="665">
        <f>+BS!M49</f>
        <v>6854.9288478093713</v>
      </c>
      <c r="N8" s="665">
        <f>+BS!N49</f>
        <v>283.97661960505883</v>
      </c>
      <c r="O8" s="665">
        <f>+BS!O49</f>
        <v>8548.543070231095</v>
      </c>
      <c r="P8" s="665">
        <f>+BS!P49</f>
        <v>5620.9317375680384</v>
      </c>
      <c r="Q8" s="665">
        <f>+BS!Q49</f>
        <v>6541.4580315312851</v>
      </c>
      <c r="R8" s="665">
        <f>+BS!R49</f>
        <v>11803.712779192452</v>
      </c>
      <c r="S8" s="665">
        <f>+BS!S49</f>
        <v>11912.822480663401</v>
      </c>
      <c r="T8" s="665">
        <f>+BS!T49</f>
        <v>311</v>
      </c>
      <c r="U8" s="665">
        <f>+BS!U49</f>
        <v>8063.4500000000007</v>
      </c>
      <c r="V8" s="665">
        <f>+BS!V49</f>
        <v>400.85776364263717</v>
      </c>
      <c r="W8" s="665">
        <f>+BS!W49</f>
        <v>8008</v>
      </c>
      <c r="X8" s="665">
        <f>+BS!X49</f>
        <v>21813</v>
      </c>
      <c r="Y8" s="665">
        <f>+BS!Y49</f>
        <v>8190</v>
      </c>
      <c r="Z8" s="665">
        <f>+BS!Z49</f>
        <v>850</v>
      </c>
      <c r="AA8" s="665">
        <f>+BS!AA49</f>
        <v>17986</v>
      </c>
      <c r="AB8" s="665">
        <f>+BS!AB49</f>
        <v>5101</v>
      </c>
      <c r="AC8" s="665">
        <f>+BS!AC49</f>
        <v>5953.9406535575717</v>
      </c>
      <c r="AD8" s="665">
        <f>+BS!AD49</f>
        <v>7938.1056281761084</v>
      </c>
      <c r="AE8" s="665">
        <f>+BS!AE49</f>
        <v>10397.423112881293</v>
      </c>
      <c r="AF8" s="665">
        <f>+BS!AF49</f>
        <v>13059.131443486665</v>
      </c>
      <c r="AG8" s="665">
        <f>+BS!AG49</f>
        <v>15948.386654021344</v>
      </c>
      <c r="AH8" s="665">
        <f>+BS!AH49</f>
        <v>18199.047055111016</v>
      </c>
      <c r="AI8" s="665">
        <f>+BS!AI49</f>
        <v>19909.832262815518</v>
      </c>
      <c r="AJ8" s="665">
        <f>+BS!AJ49</f>
        <v>21717.760739765854</v>
      </c>
      <c r="AK8" s="665">
        <f>+BS!AK49</f>
        <v>23628.329379269697</v>
      </c>
      <c r="AL8" s="665">
        <f>+BS!AL49</f>
        <v>25657.677782676295</v>
      </c>
      <c r="AM8" s="749"/>
      <c r="AN8" s="749"/>
      <c r="AO8" s="749"/>
    </row>
    <row r="9" spans="3:41">
      <c r="C9" s="696" t="s">
        <v>361</v>
      </c>
      <c r="D9" s="696"/>
      <c r="E9" s="696"/>
      <c r="F9" s="665">
        <f>+'Inc St'!F30</f>
        <v>4249</v>
      </c>
      <c r="G9" s="665">
        <f>+'Inc St'!G30</f>
        <v>4338</v>
      </c>
      <c r="H9" s="665">
        <f>+'Inc St'!H30</f>
        <v>3799</v>
      </c>
      <c r="I9" s="665">
        <f>+'Inc St'!I30</f>
        <v>5031</v>
      </c>
      <c r="J9" s="665">
        <f>+'Inc St'!J30</f>
        <v>5605</v>
      </c>
      <c r="K9" s="665">
        <f>+'Inc St'!K30</f>
        <v>4825</v>
      </c>
      <c r="L9" s="665">
        <f>+'Inc St'!L30</f>
        <v>6532</v>
      </c>
      <c r="M9" s="665">
        <f>+'Inc St'!M30</f>
        <v>6286</v>
      </c>
      <c r="N9" s="665">
        <f>+'Inc St'!N30</f>
        <v>1507.1595472826807</v>
      </c>
      <c r="O9" s="665">
        <f>+'Inc St'!O30</f>
        <v>6860</v>
      </c>
      <c r="P9" s="665">
        <f>+'Inc St'!P30</f>
        <v>3552</v>
      </c>
      <c r="Q9" s="665">
        <f>+'Inc St'!Q30</f>
        <v>5611</v>
      </c>
      <c r="R9" s="665">
        <f>+'Inc St'!R30</f>
        <v>7269.1212594871804</v>
      </c>
      <c r="S9" s="665">
        <f>+'Inc St'!S30</f>
        <v>7684</v>
      </c>
      <c r="T9" s="665">
        <f>+'Inc St'!T30</f>
        <v>3602</v>
      </c>
      <c r="U9" s="665">
        <f>+'Inc St'!U30</f>
        <v>8237</v>
      </c>
      <c r="V9" s="665">
        <f>+'Inc St'!V30</f>
        <v>8250.3329230769232</v>
      </c>
      <c r="W9" s="665">
        <f>+'Inc St'!W30</f>
        <v>7562.9731895011155</v>
      </c>
      <c r="X9" s="665">
        <f>+'Inc St'!X30</f>
        <v>9739.5173132739565</v>
      </c>
      <c r="Y9" s="665">
        <f>+'Inc St'!Y30</f>
        <v>8254</v>
      </c>
      <c r="Z9" s="665">
        <f>+'Inc St'!Z30</f>
        <v>8320</v>
      </c>
      <c r="AA9" s="665">
        <f>+'Inc St'!AA30</f>
        <v>8333</v>
      </c>
      <c r="AB9" s="665">
        <f>+'Inc St'!AB30</f>
        <v>8258</v>
      </c>
      <c r="AC9" s="665">
        <f>+'Inc St'!AC30</f>
        <v>8868</v>
      </c>
      <c r="AD9" s="665">
        <f>+'Inc St'!AD30</f>
        <v>9478</v>
      </c>
      <c r="AE9" s="665">
        <f>+'Inc St'!AE30</f>
        <v>10088</v>
      </c>
      <c r="AF9" s="665">
        <f>+'Inc St'!AF30</f>
        <v>10698</v>
      </c>
      <c r="AG9" s="665">
        <f>+'Inc St'!AG30</f>
        <v>11308</v>
      </c>
      <c r="AH9" s="665">
        <f>+'Inc St'!AH30</f>
        <v>11816.333333333334</v>
      </c>
      <c r="AI9" s="665">
        <f>+'Inc St'!AI30</f>
        <v>12400.948717948719</v>
      </c>
      <c r="AJ9" s="665">
        <f>+'Inc St'!AJ30</f>
        <v>12985.564102564103</v>
      </c>
      <c r="AK9" s="665">
        <f>+'Inc St'!AK30</f>
        <v>13570.179487179488</v>
      </c>
      <c r="AL9" s="665">
        <f>+'Inc St'!AL30</f>
        <v>14154.794871794873</v>
      </c>
      <c r="AM9" s="749"/>
      <c r="AN9" s="749"/>
      <c r="AO9" s="749"/>
    </row>
    <row r="10" spans="3:41" hidden="1">
      <c r="C10" s="696" t="s">
        <v>362</v>
      </c>
      <c r="D10" s="696"/>
      <c r="E10" s="696"/>
      <c r="F10" s="665">
        <v>0</v>
      </c>
      <c r="G10" s="665">
        <v>0</v>
      </c>
      <c r="H10" s="665">
        <v>0</v>
      </c>
      <c r="I10" s="665">
        <v>0</v>
      </c>
      <c r="J10" s="665">
        <v>0</v>
      </c>
      <c r="K10" s="665">
        <v>0</v>
      </c>
      <c r="L10" s="665">
        <v>0</v>
      </c>
      <c r="M10" s="665">
        <v>0</v>
      </c>
      <c r="N10" s="665">
        <v>0</v>
      </c>
      <c r="O10" s="665">
        <v>0</v>
      </c>
      <c r="P10" s="665">
        <v>0</v>
      </c>
      <c r="Q10" s="665">
        <v>0</v>
      </c>
      <c r="R10" s="665">
        <v>0</v>
      </c>
      <c r="S10" s="665">
        <v>0</v>
      </c>
      <c r="T10" s="665">
        <v>0</v>
      </c>
      <c r="U10" s="665">
        <v>0</v>
      </c>
      <c r="V10" s="665">
        <v>0</v>
      </c>
      <c r="W10" s="665">
        <v>0</v>
      </c>
      <c r="X10" s="665">
        <v>0</v>
      </c>
      <c r="Y10" s="665">
        <v>0</v>
      </c>
      <c r="Z10" s="665">
        <v>0</v>
      </c>
      <c r="AA10" s="665">
        <v>0</v>
      </c>
      <c r="AB10" s="665">
        <v>0</v>
      </c>
      <c r="AC10" s="665">
        <v>0</v>
      </c>
      <c r="AD10" s="665">
        <v>0</v>
      </c>
      <c r="AE10" s="665">
        <v>0</v>
      </c>
      <c r="AF10" s="665">
        <v>0</v>
      </c>
      <c r="AG10" s="665">
        <v>0</v>
      </c>
      <c r="AH10" s="665">
        <v>0</v>
      </c>
      <c r="AI10" s="665">
        <v>0</v>
      </c>
      <c r="AJ10" s="665">
        <v>0</v>
      </c>
      <c r="AK10" s="665">
        <v>0</v>
      </c>
      <c r="AL10" s="665">
        <v>0</v>
      </c>
      <c r="AM10" s="749"/>
      <c r="AN10" s="749"/>
      <c r="AO10" s="749"/>
    </row>
    <row r="11" spans="3:41" hidden="1">
      <c r="C11" s="696" t="s">
        <v>363</v>
      </c>
      <c r="D11" s="696"/>
      <c r="E11" s="696"/>
      <c r="F11" s="665">
        <v>0</v>
      </c>
      <c r="G11" s="665">
        <v>0</v>
      </c>
      <c r="H11" s="665">
        <v>0</v>
      </c>
      <c r="I11" s="665">
        <v>0</v>
      </c>
      <c r="J11" s="665">
        <v>0</v>
      </c>
      <c r="K11" s="665">
        <v>0</v>
      </c>
      <c r="L11" s="665">
        <v>0</v>
      </c>
      <c r="M11" s="665">
        <v>0</v>
      </c>
      <c r="N11" s="665">
        <v>0</v>
      </c>
      <c r="O11" s="665">
        <v>0</v>
      </c>
      <c r="P11" s="665">
        <v>0</v>
      </c>
      <c r="Q11" s="665">
        <v>0</v>
      </c>
      <c r="R11" s="665">
        <v>0</v>
      </c>
      <c r="S11" s="665">
        <v>0</v>
      </c>
      <c r="T11" s="665">
        <v>0</v>
      </c>
      <c r="U11" s="665">
        <v>0</v>
      </c>
      <c r="V11" s="665">
        <v>0</v>
      </c>
      <c r="W11" s="665">
        <v>0</v>
      </c>
      <c r="X11" s="665">
        <v>0</v>
      </c>
      <c r="Y11" s="665">
        <v>0</v>
      </c>
      <c r="Z11" s="665">
        <v>0</v>
      </c>
      <c r="AA11" s="665">
        <v>0</v>
      </c>
      <c r="AB11" s="665">
        <v>0</v>
      </c>
      <c r="AC11" s="665">
        <v>0</v>
      </c>
      <c r="AD11" s="665">
        <v>0</v>
      </c>
      <c r="AE11" s="665">
        <v>0</v>
      </c>
      <c r="AF11" s="665">
        <v>0</v>
      </c>
      <c r="AG11" s="665">
        <v>0</v>
      </c>
      <c r="AH11" s="665">
        <v>0</v>
      </c>
      <c r="AI11" s="665">
        <v>0</v>
      </c>
      <c r="AJ11" s="665">
        <v>0</v>
      </c>
      <c r="AK11" s="665">
        <v>0</v>
      </c>
      <c r="AL11" s="665">
        <v>0</v>
      </c>
      <c r="AM11" s="749"/>
      <c r="AN11" s="749"/>
      <c r="AO11" s="749"/>
    </row>
    <row r="12" spans="3:41" hidden="1">
      <c r="C12" s="696" t="s">
        <v>364</v>
      </c>
      <c r="D12" s="696"/>
      <c r="E12" s="696"/>
      <c r="F12" s="665">
        <v>0</v>
      </c>
      <c r="G12" s="665">
        <v>0</v>
      </c>
      <c r="H12" s="665">
        <v>0</v>
      </c>
      <c r="I12" s="665">
        <v>0</v>
      </c>
      <c r="J12" s="665">
        <v>335</v>
      </c>
      <c r="K12" s="665">
        <v>0</v>
      </c>
      <c r="L12" s="665">
        <v>-465</v>
      </c>
      <c r="M12" s="665">
        <v>0</v>
      </c>
      <c r="N12" s="665">
        <v>-157</v>
      </c>
      <c r="O12" s="665">
        <v>0</v>
      </c>
      <c r="P12" s="665">
        <v>-356</v>
      </c>
      <c r="Q12" s="665">
        <v>0</v>
      </c>
      <c r="R12" s="665">
        <v>0</v>
      </c>
      <c r="S12" s="665">
        <v>0</v>
      </c>
      <c r="T12" s="665">
        <v>0</v>
      </c>
      <c r="U12" s="665">
        <v>0</v>
      </c>
      <c r="V12" s="665">
        <v>0</v>
      </c>
      <c r="W12" s="665">
        <v>0</v>
      </c>
      <c r="X12" s="665">
        <v>0</v>
      </c>
      <c r="Y12" s="665">
        <v>0</v>
      </c>
      <c r="Z12" s="665">
        <v>0</v>
      </c>
      <c r="AA12" s="665">
        <v>0</v>
      </c>
      <c r="AB12" s="665">
        <v>0</v>
      </c>
      <c r="AC12" s="665">
        <v>0</v>
      </c>
      <c r="AD12" s="665">
        <v>0</v>
      </c>
      <c r="AE12" s="665">
        <v>0</v>
      </c>
      <c r="AF12" s="665">
        <v>0</v>
      </c>
      <c r="AG12" s="665">
        <v>0</v>
      </c>
      <c r="AH12" s="665">
        <v>0</v>
      </c>
      <c r="AI12" s="665">
        <v>0</v>
      </c>
      <c r="AJ12" s="665">
        <v>0</v>
      </c>
      <c r="AK12" s="665">
        <v>0</v>
      </c>
      <c r="AL12" s="665">
        <v>0</v>
      </c>
      <c r="AM12" s="749"/>
      <c r="AN12" s="749"/>
      <c r="AO12" s="749"/>
    </row>
    <row r="13" spans="3:41">
      <c r="C13" s="696" t="s">
        <v>365</v>
      </c>
      <c r="D13" s="696"/>
      <c r="E13" s="696"/>
      <c r="F13" s="750">
        <f>+'Inc St'!F26</f>
        <v>276</v>
      </c>
      <c r="G13" s="750">
        <f>+'Inc St'!G26</f>
        <v>-90</v>
      </c>
      <c r="H13" s="750">
        <f>+'Inc St'!H26</f>
        <v>-121</v>
      </c>
      <c r="I13" s="750">
        <f>+'Inc St'!I26</f>
        <v>843.13355748014942</v>
      </c>
      <c r="J13" s="750">
        <f>+'Inc St'!J26</f>
        <v>390</v>
      </c>
      <c r="K13" s="750">
        <f>+'Inc St'!K26</f>
        <v>378</v>
      </c>
      <c r="L13" s="750">
        <f>+'Inc St'!L26</f>
        <v>449</v>
      </c>
      <c r="M13" s="750">
        <f>+'Inc St'!M26</f>
        <v>474</v>
      </c>
      <c r="N13" s="750">
        <f>+'Inc St'!N26</f>
        <v>131.58594357736166</v>
      </c>
      <c r="O13" s="750">
        <f>+'Inc St'!O26</f>
        <v>905</v>
      </c>
      <c r="P13" s="750">
        <v>172</v>
      </c>
      <c r="Q13" s="750">
        <f>+'Inc St'!Q26</f>
        <v>231</v>
      </c>
      <c r="R13" s="750">
        <f>+'Inc St'!R26</f>
        <v>350</v>
      </c>
      <c r="S13" s="750">
        <v>402</v>
      </c>
      <c r="T13" s="750">
        <f>+'Inc St'!T26</f>
        <v>244</v>
      </c>
      <c r="U13" s="750">
        <f>+'Inc St'!U26</f>
        <v>262</v>
      </c>
      <c r="V13" s="750">
        <f>+'Inc St'!V26</f>
        <v>10.302759709348708</v>
      </c>
      <c r="W13" s="750">
        <f>+'Inc St'!W26</f>
        <v>558.45000000000005</v>
      </c>
      <c r="X13" s="750">
        <f>+'Inc St'!X26</f>
        <v>786</v>
      </c>
      <c r="Y13" s="750">
        <f>+'Inc St'!Y26</f>
        <v>1146</v>
      </c>
      <c r="Z13" s="750">
        <f>+'Inc St'!Z26</f>
        <v>729</v>
      </c>
      <c r="AA13" s="750">
        <f>+'Inc St'!AA26</f>
        <v>261</v>
      </c>
      <c r="AB13" s="750">
        <f>+'Inc St'!AB26</f>
        <v>1225</v>
      </c>
      <c r="AC13" s="750">
        <f>+'Inc St'!AC26</f>
        <v>636.48665552706302</v>
      </c>
      <c r="AD13" s="750">
        <f>+'Inc St'!AD26</f>
        <v>731.5049293047889</v>
      </c>
      <c r="AE13" s="750">
        <f>+'Inc St'!AE26</f>
        <v>841.65337095873792</v>
      </c>
      <c r="AF13" s="750">
        <f>+'Inc St'!AF26</f>
        <v>969.4931956386356</v>
      </c>
      <c r="AG13" s="750">
        <f>+'Inc St'!AG26</f>
        <v>1118.0420833130906</v>
      </c>
      <c r="AH13" s="750">
        <f>+'Inc St'!AH26</f>
        <v>1290.8587783480448</v>
      </c>
      <c r="AI13" s="750">
        <f>+'Inc St'!AI26</f>
        <v>1492.1438057946698</v>
      </c>
      <c r="AJ13" s="750">
        <f>+'Inc St'!AJ26</f>
        <v>1726.8594313438612</v>
      </c>
      <c r="AK13" s="750">
        <f>+'Inc St'!AK26</f>
        <v>2000.8726057297222</v>
      </c>
      <c r="AL13" s="750">
        <f>+'Inc St'!AL26</f>
        <v>2321.1253695668056</v>
      </c>
      <c r="AM13" s="749"/>
      <c r="AN13" s="749"/>
      <c r="AO13" s="749"/>
    </row>
    <row r="14" spans="3:41" s="465" customFormat="1">
      <c r="C14" s="751" t="s">
        <v>366</v>
      </c>
      <c r="D14" s="751"/>
      <c r="E14" s="751"/>
      <c r="F14" s="699">
        <f t="shared" ref="F14:AG14" si="0">SUM(F8:F13)</f>
        <v>10130.4792632724</v>
      </c>
      <c r="G14" s="699">
        <f t="shared" si="0"/>
        <v>11493.617055144137</v>
      </c>
      <c r="H14" s="699">
        <f t="shared" si="0"/>
        <v>21383.923427753791</v>
      </c>
      <c r="I14" s="699">
        <f t="shared" si="0"/>
        <v>40604.714642877632</v>
      </c>
      <c r="J14" s="699">
        <f t="shared" si="0"/>
        <v>14571</v>
      </c>
      <c r="K14" s="699">
        <f t="shared" si="0"/>
        <v>10607.151312257223</v>
      </c>
      <c r="L14" s="699">
        <f t="shared" si="0"/>
        <v>15573</v>
      </c>
      <c r="M14" s="699">
        <f t="shared" si="0"/>
        <v>13614.928847809371</v>
      </c>
      <c r="N14" s="699">
        <f t="shared" si="0"/>
        <v>1765.7221104651012</v>
      </c>
      <c r="O14" s="699">
        <f t="shared" si="0"/>
        <v>16313.543070231095</v>
      </c>
      <c r="P14" s="699">
        <f t="shared" si="0"/>
        <v>8988.9317375680384</v>
      </c>
      <c r="Q14" s="699">
        <f t="shared" si="0"/>
        <v>12383.458031531285</v>
      </c>
      <c r="R14" s="699">
        <f t="shared" si="0"/>
        <v>19422.834038679634</v>
      </c>
      <c r="S14" s="699">
        <f t="shared" si="0"/>
        <v>19998.822480663403</v>
      </c>
      <c r="T14" s="699">
        <f t="shared" si="0"/>
        <v>4157</v>
      </c>
      <c r="U14" s="699">
        <f t="shared" si="0"/>
        <v>16562.45</v>
      </c>
      <c r="V14" s="699">
        <f t="shared" si="0"/>
        <v>8661.493446428909</v>
      </c>
      <c r="W14" s="699">
        <f t="shared" si="0"/>
        <v>16129.423189501116</v>
      </c>
      <c r="X14" s="699">
        <f t="shared" si="0"/>
        <v>32338.517313273958</v>
      </c>
      <c r="Y14" s="699">
        <f t="shared" si="0"/>
        <v>17590</v>
      </c>
      <c r="Z14" s="699">
        <f t="shared" si="0"/>
        <v>9899</v>
      </c>
      <c r="AA14" s="699">
        <f t="shared" si="0"/>
        <v>26580</v>
      </c>
      <c r="AB14" s="699">
        <f t="shared" si="0"/>
        <v>14584</v>
      </c>
      <c r="AC14" s="699">
        <f t="shared" si="0"/>
        <v>15458.427309084636</v>
      </c>
      <c r="AD14" s="699">
        <f t="shared" si="0"/>
        <v>18147.610557480897</v>
      </c>
      <c r="AE14" s="699">
        <f t="shared" si="0"/>
        <v>21327.076483840032</v>
      </c>
      <c r="AF14" s="699">
        <f t="shared" si="0"/>
        <v>24726.624639125301</v>
      </c>
      <c r="AG14" s="699">
        <f t="shared" si="0"/>
        <v>28374.428737334434</v>
      </c>
      <c r="AH14" s="699">
        <f>SUM(AH8:AH13)</f>
        <v>31306.239166792391</v>
      </c>
      <c r="AI14" s="699">
        <f>SUM(AI8:AI13)</f>
        <v>33802.924786558906</v>
      </c>
      <c r="AJ14" s="699">
        <f>SUM(AJ8:AJ13)</f>
        <v>36430.184273673818</v>
      </c>
      <c r="AK14" s="699">
        <f>SUM(AK8:AK13)</f>
        <v>39199.381472178909</v>
      </c>
      <c r="AL14" s="699">
        <f>SUM(AL8:AL13)</f>
        <v>42133.598024037972</v>
      </c>
      <c r="AM14" s="749"/>
      <c r="AN14" s="749"/>
      <c r="AO14" s="749"/>
    </row>
    <row r="15" spans="3:41">
      <c r="C15" s="696"/>
      <c r="D15" s="696"/>
      <c r="E15" s="696"/>
      <c r="F15" s="665"/>
      <c r="G15" s="665"/>
      <c r="H15" s="665"/>
      <c r="I15" s="665"/>
      <c r="J15" s="665"/>
      <c r="K15" s="665"/>
      <c r="L15" s="665"/>
      <c r="M15" s="665"/>
      <c r="N15" s="665"/>
      <c r="O15" s="665"/>
      <c r="P15" s="665"/>
      <c r="Q15" s="665"/>
      <c r="R15" s="665"/>
      <c r="S15" s="665"/>
      <c r="T15" s="665"/>
      <c r="U15" s="665"/>
      <c r="V15" s="665"/>
      <c r="W15" s="665"/>
      <c r="X15" s="665"/>
      <c r="Y15" s="665"/>
      <c r="Z15" s="665"/>
      <c r="AA15" s="665"/>
      <c r="AB15" s="665"/>
      <c r="AC15" s="665"/>
      <c r="AD15" s="665"/>
      <c r="AE15" s="665"/>
      <c r="AF15" s="665"/>
      <c r="AG15" s="665"/>
      <c r="AH15" s="665"/>
      <c r="AI15" s="665"/>
      <c r="AJ15" s="665"/>
      <c r="AK15" s="665"/>
      <c r="AL15" s="665"/>
      <c r="AM15" s="749"/>
      <c r="AN15" s="749"/>
      <c r="AO15" s="749"/>
    </row>
    <row r="16" spans="3:41">
      <c r="C16" s="751" t="s">
        <v>367</v>
      </c>
      <c r="D16" s="696"/>
      <c r="E16" s="696"/>
      <c r="F16" s="665"/>
      <c r="G16" s="665"/>
      <c r="H16" s="665"/>
      <c r="I16" s="665"/>
      <c r="J16" s="665"/>
      <c r="K16" s="665"/>
      <c r="L16" s="665"/>
      <c r="M16" s="665"/>
      <c r="N16" s="665"/>
      <c r="O16" s="665"/>
      <c r="P16" s="665"/>
      <c r="Q16" s="665"/>
      <c r="R16" s="665"/>
      <c r="S16" s="665"/>
      <c r="T16" s="665"/>
      <c r="U16" s="665"/>
      <c r="V16" s="665"/>
      <c r="W16" s="665"/>
      <c r="X16" s="665"/>
      <c r="Y16" s="665"/>
      <c r="Z16" s="665"/>
      <c r="AA16" s="665"/>
      <c r="AB16" s="665"/>
      <c r="AC16" s="665"/>
      <c r="AD16" s="665"/>
      <c r="AE16" s="665"/>
      <c r="AF16" s="665"/>
      <c r="AG16" s="665"/>
      <c r="AH16" s="665"/>
      <c r="AI16" s="665"/>
      <c r="AJ16" s="665"/>
      <c r="AK16" s="665"/>
      <c r="AL16" s="665"/>
      <c r="AM16" s="749"/>
      <c r="AN16" s="749"/>
      <c r="AO16" s="749"/>
    </row>
    <row r="17" spans="3:41">
      <c r="C17" s="696" t="s">
        <v>368</v>
      </c>
      <c r="D17" s="696"/>
      <c r="E17" s="696"/>
      <c r="F17" s="665">
        <f>+BS!E10-BS!F10</f>
        <v>-14441</v>
      </c>
      <c r="G17" s="665">
        <f>+BS!F10-BS!G10</f>
        <v>-12977.123510673468</v>
      </c>
      <c r="H17" s="665">
        <f>+BS!G10-BS!H10</f>
        <v>-11224.199627217167</v>
      </c>
      <c r="I17" s="665">
        <f>+BS!H10-BS!I10</f>
        <v>-34634.676862109365</v>
      </c>
      <c r="J17" s="665">
        <f>+BS!I10-BS!J10</f>
        <v>32814</v>
      </c>
      <c r="K17" s="665">
        <f>+BS!J10-BS!K10</f>
        <v>-11115.727270106465</v>
      </c>
      <c r="L17" s="665">
        <f>+BS!J10-BS!L10</f>
        <v>-14306.231140062271</v>
      </c>
      <c r="M17" s="665">
        <f>+BS!J10-BS!M10</f>
        <v>-12129.564880626553</v>
      </c>
      <c r="N17" s="665">
        <f>+BS!L10-BS!N10</f>
        <v>5461.0292875627056</v>
      </c>
      <c r="O17" s="665">
        <f>+BS!L10-BS!O10</f>
        <v>-22914.37879848585</v>
      </c>
      <c r="P17" s="665">
        <f>+BS!O10-BS!P10</f>
        <v>25388.628933743617</v>
      </c>
      <c r="Q17" s="665">
        <f>+BS!O10-BS!Q10</f>
        <v>-2871.1844203770306</v>
      </c>
      <c r="R17" s="665">
        <f>+BS!O10-BS!R10</f>
        <v>8569.2432197080198</v>
      </c>
      <c r="S17" s="665">
        <f>+BS!O10-BS!S10</f>
        <v>-13980.628604947822</v>
      </c>
      <c r="T17" s="665">
        <f>+BS!S10-BS!T10</f>
        <v>30376.238543495943</v>
      </c>
      <c r="U17" s="665">
        <f>+BS!S10-BS!U10</f>
        <v>10890.98511883842</v>
      </c>
      <c r="V17" s="665">
        <f>+BS!S10-BS!V10</f>
        <v>5455.5995496076357</v>
      </c>
      <c r="W17" s="665">
        <f>+BS!S10-BS!W10</f>
        <v>25174.120891630548</v>
      </c>
      <c r="X17" s="665">
        <f>+BS!W10-BS!X10</f>
        <v>-2497.8823481346044</v>
      </c>
      <c r="Y17" s="665">
        <f>+BS!X10-BS!Y10</f>
        <v>-8615</v>
      </c>
      <c r="Z17" s="665">
        <f>+BS!X10-BS!Z10</f>
        <v>4188</v>
      </c>
      <c r="AA17" s="665">
        <f>+BS!Z10-BS!AA10</f>
        <v>-24472</v>
      </c>
      <c r="AB17" s="665">
        <f>+BS!Z10-BS!AB10</f>
        <v>-8838</v>
      </c>
      <c r="AC17" s="665">
        <f>+BS!AB10-BS!AC10</f>
        <v>-9919.3682114597759</v>
      </c>
      <c r="AD17" s="665">
        <f>+BS!AC10-BS!AD10</f>
        <v>-9421.8098637869989</v>
      </c>
      <c r="AE17" s="665">
        <f>+BS!AD10-BS!AE10</f>
        <v>-12767.098316313248</v>
      </c>
      <c r="AF17" s="665">
        <f>+BS!AE10-BS!AF10</f>
        <v>-14370.598336897892</v>
      </c>
      <c r="AG17" s="665">
        <f>+BS!AF10-BS!AG10</f>
        <v>-16210.351887081837</v>
      </c>
      <c r="AH17" s="665">
        <f>+BS!AG10-BS!AH10</f>
        <v>-11642.525996476295</v>
      </c>
      <c r="AI17" s="665">
        <f>+BS!AH10-BS!AI10</f>
        <v>-13850.36736279467</v>
      </c>
      <c r="AJ17" s="665">
        <f>+BS!AI10-BS!AJ10</f>
        <v>-15445.481639384932</v>
      </c>
      <c r="AK17" s="665">
        <f>+BS!AJ10-BS!AK10</f>
        <v>-17278.223268656759</v>
      </c>
      <c r="AL17" s="665">
        <f>+BS!AK10-BS!AL10</f>
        <v>-19389.097096864774</v>
      </c>
      <c r="AM17" s="749"/>
      <c r="AN17" s="749"/>
      <c r="AO17" s="749"/>
    </row>
    <row r="18" spans="3:41">
      <c r="C18" s="696" t="s">
        <v>369</v>
      </c>
      <c r="D18" s="696"/>
      <c r="E18" s="696"/>
      <c r="F18" s="665">
        <f>+BS!E11-BS!F11</f>
        <v>-255</v>
      </c>
      <c r="G18" s="665">
        <f>+BS!F11-BS!G11</f>
        <v>1124.8062725762522</v>
      </c>
      <c r="H18" s="665">
        <f>+BS!G11-BS!H11</f>
        <v>-227.72032604294057</v>
      </c>
      <c r="I18" s="665">
        <f>+BS!H11-BS!I11</f>
        <v>-875.08594653331158</v>
      </c>
      <c r="J18" s="665">
        <f>+BS!I11-BS!J11</f>
        <v>481</v>
      </c>
      <c r="K18" s="665">
        <f>+BS!J11-BS!K11</f>
        <v>-1494.7690909371145</v>
      </c>
      <c r="L18" s="665">
        <f>+BS!J11-BS!L11</f>
        <v>-1476.5445243442641</v>
      </c>
      <c r="M18" s="665">
        <f>+BS!J11-BS!M11</f>
        <v>-1380.2306363902585</v>
      </c>
      <c r="N18" s="665">
        <f>+BS!L11-BS!N11</f>
        <v>-13980.416053344075</v>
      </c>
      <c r="O18" s="665">
        <f>+BS!L11-BS!O11</f>
        <v>-14955.463845255477</v>
      </c>
      <c r="P18" s="665">
        <f>+BS!O11-BS!P11</f>
        <v>-15244.991630400258</v>
      </c>
      <c r="Q18" s="665">
        <f>+BS!O11-BS!Q11</f>
        <v>-14007.991630400258</v>
      </c>
      <c r="R18" s="665">
        <f>+BS!O11-BS!R11</f>
        <v>-15244.991630400258</v>
      </c>
      <c r="S18" s="665">
        <f>+BS!O11-BS!S11</f>
        <v>13407.008369599742</v>
      </c>
      <c r="T18" s="665">
        <f>+BS!S11-BS!T11</f>
        <v>524.59999999999991</v>
      </c>
      <c r="U18" s="665">
        <f>+BS!S11-BS!U11</f>
        <v>305.67999999999984</v>
      </c>
      <c r="V18" s="665">
        <f>+BS!S11-BS!V11</f>
        <v>305.67999999999984</v>
      </c>
      <c r="W18" s="665">
        <f>+BS!S11-BS!W11</f>
        <v>1831</v>
      </c>
      <c r="X18" s="665">
        <f>+BS!W11-BS!X11</f>
        <v>-401</v>
      </c>
      <c r="Y18" s="665">
        <f>+BS!X11-BS!Y11</f>
        <v>308</v>
      </c>
      <c r="Z18" s="665">
        <f>+BS!X11-BS!Z11</f>
        <v>1035</v>
      </c>
      <c r="AA18" s="665">
        <f>+BS!Z11-BS!AA11</f>
        <v>-962</v>
      </c>
      <c r="AB18" s="665">
        <f>+BS!Z11-BS!AB11</f>
        <v>-2983</v>
      </c>
      <c r="AC18" s="665">
        <f>+BS!AB11-BS!AC11</f>
        <v>216.94999999999982</v>
      </c>
      <c r="AD18" s="665">
        <f>+BS!AC11-BS!AD11</f>
        <v>206.10250000000042</v>
      </c>
      <c r="AE18" s="665">
        <f>+BS!AD11-BS!AE11</f>
        <v>195.7973750000001</v>
      </c>
      <c r="AF18" s="665">
        <f>+BS!AE11-BS!AF11</f>
        <v>186.00750625000001</v>
      </c>
      <c r="AG18" s="665">
        <f>+BS!AF11-BS!AG11</f>
        <v>176.7071309375001</v>
      </c>
      <c r="AH18" s="665">
        <f>+BS!AG11-BS!AH11</f>
        <v>167.87177439062498</v>
      </c>
      <c r="AI18" s="665">
        <f>+BS!AH11-BS!AI11</f>
        <v>159.4781856710938</v>
      </c>
      <c r="AJ18" s="665">
        <f>+BS!AI11-BS!AJ11</f>
        <v>151.50427638753899</v>
      </c>
      <c r="AK18" s="665">
        <f>+BS!AJ11-BS!AK11</f>
        <v>143.92906256816241</v>
      </c>
      <c r="AL18" s="665">
        <f>+BS!AK11-BS!AL11</f>
        <v>136.73260943975401</v>
      </c>
      <c r="AM18" s="749"/>
      <c r="AN18" s="749"/>
      <c r="AO18" s="749"/>
    </row>
    <row r="19" spans="3:41">
      <c r="C19" s="696" t="s">
        <v>370</v>
      </c>
      <c r="D19" s="696"/>
      <c r="E19" s="696"/>
      <c r="F19" s="665">
        <f>+BS!E12-BS!F12</f>
        <v>0</v>
      </c>
      <c r="G19" s="665">
        <f>+BS!F12-BS!G12</f>
        <v>0</v>
      </c>
      <c r="H19" s="665">
        <f>+BS!G12-BS!H12</f>
        <v>0</v>
      </c>
      <c r="I19" s="665">
        <f>+BS!H12-BS!I12</f>
        <v>0</v>
      </c>
      <c r="J19" s="665">
        <f>+BS!I12-BS!J12</f>
        <v>0</v>
      </c>
      <c r="K19" s="665">
        <f>+BS!J12-BS!K12</f>
        <v>0</v>
      </c>
      <c r="L19" s="665">
        <f>+BS!J12-BS!L12</f>
        <v>0</v>
      </c>
      <c r="M19" s="665">
        <f>+BS!J12-BS!M12</f>
        <v>0</v>
      </c>
      <c r="N19" s="665">
        <f>+BS!L12-BS!N12</f>
        <v>0</v>
      </c>
      <c r="O19" s="665">
        <f>+BS!L12-BS!O12</f>
        <v>0</v>
      </c>
      <c r="P19" s="665">
        <f>+BS!O12-BS!P12</f>
        <v>0</v>
      </c>
      <c r="Q19" s="665">
        <f>+BS!O12-BS!Q12</f>
        <v>0</v>
      </c>
      <c r="R19" s="665">
        <f>+BS!O12-BS!R12</f>
        <v>0</v>
      </c>
      <c r="S19" s="665">
        <f>+BS!O12-BS!S12</f>
        <v>0</v>
      </c>
      <c r="T19" s="665">
        <f>+BS!S12-BS!T12</f>
        <v>0</v>
      </c>
      <c r="U19" s="665">
        <f>+BS!S12-BS!U12</f>
        <v>0</v>
      </c>
      <c r="V19" s="665">
        <f>+BS!S12-BS!V12</f>
        <v>0</v>
      </c>
      <c r="W19" s="665">
        <f>+BS!S12-BS!W12</f>
        <v>0</v>
      </c>
      <c r="X19" s="665">
        <f>+BS!W12-BS!X12</f>
        <v>0</v>
      </c>
      <c r="Y19" s="665">
        <f>+BS!X12-BS!Y12</f>
        <v>0</v>
      </c>
      <c r="Z19" s="665">
        <f>+BS!X12-BS!Z12</f>
        <v>0</v>
      </c>
      <c r="AA19" s="665">
        <f>+BS!Z12-BS!AA12</f>
        <v>0</v>
      </c>
      <c r="AB19" s="665">
        <f>+BS!Z12-BS!AB12</f>
        <v>0</v>
      </c>
      <c r="AC19" s="665">
        <f>+BS!AB12-BS!AC12</f>
        <v>0</v>
      </c>
      <c r="AD19" s="665">
        <f>+BS!AC12-BS!AD12</f>
        <v>0</v>
      </c>
      <c r="AE19" s="665">
        <f>+BS!AD12-BS!AE12</f>
        <v>0</v>
      </c>
      <c r="AF19" s="665">
        <f>+BS!AE12-BS!AF12</f>
        <v>0</v>
      </c>
      <c r="AG19" s="665">
        <f>+BS!AF12-BS!AG12</f>
        <v>0</v>
      </c>
      <c r="AH19" s="665">
        <f>+BS!AG12-BS!AH12</f>
        <v>0</v>
      </c>
      <c r="AI19" s="665">
        <f>+BS!AH12-BS!AI12</f>
        <v>0</v>
      </c>
      <c r="AJ19" s="665">
        <f>+BS!AI12-BS!AJ12</f>
        <v>0</v>
      </c>
      <c r="AK19" s="665">
        <f>+BS!AJ12-BS!AK12</f>
        <v>0</v>
      </c>
      <c r="AL19" s="665">
        <f>+BS!AK12-BS!AL12</f>
        <v>0</v>
      </c>
      <c r="AM19" s="749"/>
      <c r="AN19" s="749"/>
      <c r="AO19" s="749"/>
    </row>
    <row r="20" spans="3:41">
      <c r="C20" s="696" t="s">
        <v>371</v>
      </c>
      <c r="D20" s="696"/>
      <c r="E20" s="696"/>
      <c r="F20" s="665">
        <f>+BS!E15-BS!F15</f>
        <v>-8549</v>
      </c>
      <c r="G20" s="665">
        <f>+BS!F15-BS!G15</f>
        <v>-3678.802670130859</v>
      </c>
      <c r="H20" s="665">
        <f>+BS!G15-BS!H15</f>
        <v>9315.1068078631833</v>
      </c>
      <c r="I20" s="665">
        <f>+BS!H15-BS!I15</f>
        <v>13270.695862267676</v>
      </c>
      <c r="J20" s="665">
        <f>+BS!I15-BS!J15</f>
        <v>-13808</v>
      </c>
      <c r="K20" s="665">
        <f>+BS!J15-BS!K15</f>
        <v>-6841.7095205709556</v>
      </c>
      <c r="L20" s="665">
        <f>+BS!J15-BS!L15</f>
        <v>-7536.4718865318755</v>
      </c>
      <c r="M20" s="665">
        <f>+BS!J15-BS!M15</f>
        <v>-6674.9326838641973</v>
      </c>
      <c r="N20" s="665">
        <f>+BS!L15-BS!N15</f>
        <v>-9548.103177540801</v>
      </c>
      <c r="O20" s="665">
        <f>+BS!L15-BS!O15</f>
        <v>8002.4607610727435</v>
      </c>
      <c r="P20" s="665">
        <f>+BS!O15-BS!P15</f>
        <v>-25228.988874540868</v>
      </c>
      <c r="Q20" s="665">
        <f>+BS!O15-BS!Q15</f>
        <v>-25655.988874540868</v>
      </c>
      <c r="R20" s="665">
        <f>+BS!O15-BS!R15</f>
        <v>-25798.672233960919</v>
      </c>
      <c r="S20" s="665">
        <f>+BS!O15-BS!S15</f>
        <v>-5478.1972285769698</v>
      </c>
      <c r="T20" s="665">
        <f>+BS!S15-BS!T15</f>
        <v>-12182.791645963898</v>
      </c>
      <c r="U20" s="665">
        <f>+BS!S15-BS!U15</f>
        <v>-8443.1971254159544</v>
      </c>
      <c r="V20" s="665">
        <f>+BS!S15-BS!V15</f>
        <v>-3899.5113715697989</v>
      </c>
      <c r="W20" s="665">
        <f>+BS!S15-BS!W15</f>
        <v>15305.712793099588</v>
      </c>
      <c r="X20" s="665">
        <f>+BS!W15-BS!X15</f>
        <v>-2510.5044390634866</v>
      </c>
      <c r="Y20" s="665">
        <f>+BS!X15-BS!Y15</f>
        <v>396</v>
      </c>
      <c r="Z20" s="665">
        <f>+BS!X15-BS!Z15</f>
        <v>-18098</v>
      </c>
      <c r="AA20" s="665">
        <f>+BS!Z15-BS!AA15</f>
        <v>-3338</v>
      </c>
      <c r="AB20" s="665">
        <f>+BS!Z15-BS!AB15</f>
        <v>9007</v>
      </c>
      <c r="AC20" s="665">
        <f>+BS!AB15-BS!AC15</f>
        <v>-6505.7914415468622</v>
      </c>
      <c r="AD20" s="665">
        <f>+BS!AC15-BS!AD15</f>
        <v>-2536.6411171734217</v>
      </c>
      <c r="AE20" s="665">
        <f>+BS!AD15-BS!AE15</f>
        <v>-3437.2957005458738</v>
      </c>
      <c r="AF20" s="665">
        <f>+BS!AE15-BS!AF15</f>
        <v>-3869.007244549437</v>
      </c>
      <c r="AG20" s="665">
        <f>+BS!AF15-BS!AG15</f>
        <v>-4364.325508060494</v>
      </c>
      <c r="AH20" s="665">
        <f>+BS!AG15-BS!AH15</f>
        <v>-3134.5262298205416</v>
      </c>
      <c r="AI20" s="665">
        <f>+BS!AH15-BS!AI15</f>
        <v>-3728.9450592139474</v>
      </c>
      <c r="AJ20" s="665">
        <f>+BS!AI15-BS!AJ15</f>
        <v>-4158.3989029113291</v>
      </c>
      <c r="AK20" s="665">
        <f>+BS!AJ15-BS!AK15</f>
        <v>-4651.8293415614316</v>
      </c>
      <c r="AL20" s="665">
        <f>+BS!AK15-BS!AL15</f>
        <v>-5220.14152607898</v>
      </c>
      <c r="AM20" s="749"/>
      <c r="AN20" s="749"/>
      <c r="AO20" s="749"/>
    </row>
    <row r="21" spans="3:41">
      <c r="C21" s="696" t="s">
        <v>372</v>
      </c>
      <c r="D21" s="696"/>
      <c r="E21" s="696"/>
      <c r="F21" s="665">
        <f>+BS!E18-BS!F18</f>
        <v>-2613</v>
      </c>
      <c r="G21" s="665">
        <f>+BS!F18-BS!G18</f>
        <v>-1613.0294946836275</v>
      </c>
      <c r="H21" s="665">
        <f>+BS!G18-BS!H18</f>
        <v>-476.66305292814468</v>
      </c>
      <c r="I21" s="665">
        <f>+BS!H18-BS!I18</f>
        <v>-1142.3074523882278</v>
      </c>
      <c r="J21" s="665">
        <f>+BS!I18-BS!J18</f>
        <v>-351</v>
      </c>
      <c r="K21" s="665">
        <f>+BS!J18-BS!K18</f>
        <v>-5196.9322600804244</v>
      </c>
      <c r="L21" s="665">
        <f>+BS!J18-BS!L18</f>
        <v>-1933.0886102452459</v>
      </c>
      <c r="M21" s="665">
        <f>+BS!J18-BS!M18</f>
        <v>-3306.7003888707732</v>
      </c>
      <c r="N21" s="665">
        <f>+BS!L18-BS!N18</f>
        <v>-3452.1878219858809</v>
      </c>
      <c r="O21" s="665">
        <f>+BS!L18-BS!O18</f>
        <v>-10423.48125454866</v>
      </c>
      <c r="P21" s="665">
        <f>+BS!O18-BS!P18</f>
        <v>-8411.4301352060938</v>
      </c>
      <c r="Q21" s="665">
        <f>+BS!O18-BS!Q18</f>
        <v>4312.5698647939062</v>
      </c>
      <c r="R21" s="665">
        <f>+BS!O18-BS!R18</f>
        <v>1806.5698647939062</v>
      </c>
      <c r="S21" s="665">
        <f>+BS!O18-BS!S18</f>
        <v>3546.3761896058058</v>
      </c>
      <c r="T21" s="665">
        <f>+BS!S18-BS!T18</f>
        <v>-14306.8063248119</v>
      </c>
      <c r="U21" s="665">
        <f>+BS!S18-BS!U18</f>
        <v>1169.2596837594065</v>
      </c>
      <c r="V21" s="665">
        <f>+BS!S18-BS!V18</f>
        <v>1169.2596837594065</v>
      </c>
      <c r="W21" s="665">
        <f>+BS!S18-BS!W18</f>
        <v>-15692.811066566122</v>
      </c>
      <c r="X21" s="665">
        <f>+BS!W18-BS!X18</f>
        <v>6236.0047417542228</v>
      </c>
      <c r="Y21" s="665">
        <f>+BS!X18-BS!Y18</f>
        <v>-10103</v>
      </c>
      <c r="Z21" s="665">
        <f>+BS!X18-BS!Z18</f>
        <v>-4293</v>
      </c>
      <c r="AA21" s="665">
        <f>+BS!Z18-BS!AA18</f>
        <v>8906</v>
      </c>
      <c r="AB21" s="665">
        <f>+BS!Z18-BS!AB18</f>
        <v>-4095</v>
      </c>
      <c r="AC21" s="665">
        <f>+BS!AB18-BS!AC18</f>
        <v>1860.5</v>
      </c>
      <c r="AD21" s="665">
        <f>+BS!AC18-BS!AD18</f>
        <v>1767.4749999999985</v>
      </c>
      <c r="AE21" s="665">
        <f>+BS!AD18-BS!AE18</f>
        <v>1679.1012500000033</v>
      </c>
      <c r="AF21" s="665">
        <f>+BS!AE18-BS!AF18</f>
        <v>1595.1461875000023</v>
      </c>
      <c r="AG21" s="665">
        <f>+BS!AF18-BS!AG18</f>
        <v>1515.3888781250025</v>
      </c>
      <c r="AH21" s="665">
        <f>+BS!AG18-BS!AH18</f>
        <v>1439.6194342187518</v>
      </c>
      <c r="AI21" s="665">
        <f>+BS!AH18-BS!AI18</f>
        <v>1367.6384625078135</v>
      </c>
      <c r="AJ21" s="665">
        <f>+BS!AI18-BS!AJ18</f>
        <v>1299.2565393824225</v>
      </c>
      <c r="AK21" s="665">
        <f>+BS!AJ18-BS!AK18</f>
        <v>1234.2937124133023</v>
      </c>
      <c r="AL21" s="665">
        <f>+BS!AK18-BS!AL18</f>
        <v>1172.579026792635</v>
      </c>
      <c r="AM21" s="749"/>
      <c r="AN21" s="749"/>
      <c r="AO21" s="749"/>
    </row>
    <row r="22" spans="3:41">
      <c r="C22" s="696" t="s">
        <v>373</v>
      </c>
      <c r="D22" s="696"/>
      <c r="E22" s="696"/>
      <c r="F22" s="665">
        <f>+BS!F29-BS!E29</f>
        <v>6250</v>
      </c>
      <c r="G22" s="665">
        <f>+BS!G29-BS!F29</f>
        <v>6035.9359225525404</v>
      </c>
      <c r="H22" s="665">
        <f>+BS!H29-BS!G29</f>
        <v>2923.698229037891</v>
      </c>
      <c r="I22" s="665">
        <f>+BS!I29-BS!H29</f>
        <v>-2976.23415159043</v>
      </c>
      <c r="J22" s="665">
        <f>+BS!J29-BS!I29</f>
        <v>-4219.4000000000015</v>
      </c>
      <c r="K22" s="665">
        <f>+BS!K29-BS!J29</f>
        <v>1619.9963835487215</v>
      </c>
      <c r="L22" s="665">
        <f>+BS!L29-BS!J29</f>
        <v>8327</v>
      </c>
      <c r="M22" s="665">
        <f>+BS!M29-BS!J29</f>
        <v>3328.1927812845715</v>
      </c>
      <c r="N22" s="665">
        <f>+BS!N29-BS!L29</f>
        <v>-11567.747540698456</v>
      </c>
      <c r="O22" s="665">
        <f>+BS!O29-BS!L29</f>
        <v>-9538.6628654748783</v>
      </c>
      <c r="P22" s="665">
        <f>+BS!P29-BS!O29</f>
        <v>1526.6628654748783</v>
      </c>
      <c r="Q22" s="665">
        <f>+BS!Q29-BS!O29</f>
        <v>4590.6628654748783</v>
      </c>
      <c r="R22" s="665">
        <f>+BS!R29-BS!O29</f>
        <v>1526.6628654748783</v>
      </c>
      <c r="S22" s="665">
        <f>+BS!S29-BS!O29</f>
        <v>-1402.566933110822</v>
      </c>
      <c r="T22" s="665">
        <f>+BS!T29-BS!S29</f>
        <v>6621.2297985857003</v>
      </c>
      <c r="U22" s="665">
        <f>+BS!U29-BS!S29</f>
        <v>5985.1914424213173</v>
      </c>
      <c r="V22" s="665">
        <f>+BS!V29-BS!S29</f>
        <v>12337.949524191601</v>
      </c>
      <c r="W22" s="665">
        <f>+BS!W29-BS!S29</f>
        <v>6686.7685543472471</v>
      </c>
      <c r="X22" s="665">
        <f>+BS!X29-BS!W29</f>
        <v>2362.4612442384532</v>
      </c>
      <c r="Y22" s="665">
        <f>+BS!Y29-BS!X29</f>
        <v>4218</v>
      </c>
      <c r="Z22" s="665">
        <f>+BS!Z29-BS!X29</f>
        <v>1736</v>
      </c>
      <c r="AA22" s="665">
        <f>+BS!AA29-BS!Z29</f>
        <v>-1307</v>
      </c>
      <c r="AB22" s="665">
        <f>+BS!AB29-BS!Z29</f>
        <v>-11586</v>
      </c>
      <c r="AC22" s="665">
        <f>+BS!AC29-BS!AB29</f>
        <v>20287.588996274535</v>
      </c>
      <c r="AD22" s="665">
        <f>+BS!AD29-BS!AC29</f>
        <v>3261.3957220801167</v>
      </c>
      <c r="AE22" s="665">
        <f>+BS!AE29-BS!AD29</f>
        <v>4419.3801864161287</v>
      </c>
      <c r="AF22" s="665">
        <f>+BS!AF29-BS!AE29</f>
        <v>4974.4378858492637</v>
      </c>
      <c r="AG22" s="665">
        <f>+BS!AG29-BS!AF29</f>
        <v>5611.2756532206404</v>
      </c>
      <c r="AH22" s="665">
        <f>+BS!AH29-BS!AG29</f>
        <v>4030.1051526264127</v>
      </c>
      <c r="AI22" s="665">
        <f>+BS!AI29-BS!AH29</f>
        <v>4794.3579332750742</v>
      </c>
      <c r="AJ22" s="665">
        <f>+BS!AJ29-BS!AI29</f>
        <v>5346.5128751717129</v>
      </c>
      <c r="AK22" s="665">
        <f>+BS!AK29-BS!AJ29</f>
        <v>5980.9234391504142</v>
      </c>
      <c r="AL22" s="665">
        <f>+BS!AL29-BS!AK29</f>
        <v>6711.6105335301108</v>
      </c>
      <c r="AM22" s="749"/>
      <c r="AN22" s="749"/>
      <c r="AO22" s="749"/>
    </row>
    <row r="23" spans="3:41">
      <c r="C23" s="696" t="s">
        <v>374</v>
      </c>
      <c r="D23" s="696"/>
      <c r="E23" s="696"/>
      <c r="F23" s="665">
        <f>+BS!F31-BS!E31</f>
        <v>5988</v>
      </c>
      <c r="G23" s="665">
        <f>+BS!G31-BS!F31</f>
        <v>1596.8618044192663</v>
      </c>
      <c r="H23" s="665">
        <f>+BS!H31-BS!G31</f>
        <v>1597.8760580999115</v>
      </c>
      <c r="I23" s="665">
        <f>+BS!I31-BS!H31</f>
        <v>3049.6621374808237</v>
      </c>
      <c r="J23" s="665">
        <f>+BS!J31-BS!I31</f>
        <v>-2975.4000000000015</v>
      </c>
      <c r="K23" s="665">
        <f>+BS!K31-BS!J31</f>
        <v>582.76896222149662</v>
      </c>
      <c r="L23" s="665">
        <f>+BS!L31-BS!J31</f>
        <v>-250</v>
      </c>
      <c r="M23" s="665">
        <f>+BS!M31-BS!J31</f>
        <v>-1652</v>
      </c>
      <c r="N23" s="665">
        <f>+BS!N31-BS!L31</f>
        <v>1114.8552483587264</v>
      </c>
      <c r="O23" s="665">
        <f>+BS!O31-BS!L31</f>
        <v>4481.00055403847</v>
      </c>
      <c r="P23" s="665">
        <f>+BS!P31-BS!O31</f>
        <v>2586.99944596153</v>
      </c>
      <c r="Q23" s="665">
        <f>+BS!Q31-BS!O31</f>
        <v>6524.99944596153</v>
      </c>
      <c r="R23" s="665">
        <f>+BS!R31-BS!O31</f>
        <v>2586.99944596153</v>
      </c>
      <c r="S23" s="665">
        <f>+BS!S31-BS!O31</f>
        <v>2098.5841729900312</v>
      </c>
      <c r="T23" s="665">
        <f>+BS!T31-BS!S31</f>
        <v>-6701.5847270285012</v>
      </c>
      <c r="U23" s="665">
        <f>+BS!U31-BS!S31</f>
        <v>-1944.4467781622807</v>
      </c>
      <c r="V23" s="665">
        <f>+BS!V31-BS!S31</f>
        <v>-1944.4467781622807</v>
      </c>
      <c r="W23" s="665">
        <f>+BS!W31-BS!S31</f>
        <v>1433.6520269719658</v>
      </c>
      <c r="X23" s="665">
        <f>+BS!X31-BS!W31</f>
        <v>-14388.236754000467</v>
      </c>
      <c r="Y23" s="665">
        <f>+BS!Y31-BS!X31</f>
        <v>707</v>
      </c>
      <c r="Z23" s="665">
        <f>+BS!Z31-BS!X31</f>
        <v>1654</v>
      </c>
      <c r="AA23" s="665">
        <f>+BS!AA31-BS!Z31</f>
        <v>-3812</v>
      </c>
      <c r="AB23" s="665">
        <f>+BS!AB31-BS!Z31</f>
        <v>3906</v>
      </c>
      <c r="AC23" s="665">
        <f>+BS!AC31-BS!AB31</f>
        <v>-338.22000000000116</v>
      </c>
      <c r="AD23" s="665">
        <f>+BS!AD31-BS!AC31</f>
        <v>-331.45560000000114</v>
      </c>
      <c r="AE23" s="665">
        <f>+BS!AE31-BS!AD31</f>
        <v>-324.82648800000061</v>
      </c>
      <c r="AF23" s="665">
        <f>+BS!AF31-BS!AE31</f>
        <v>-318.32995823999954</v>
      </c>
      <c r="AG23" s="665">
        <f>+BS!AG31-BS!AF31</f>
        <v>-311.96335907520006</v>
      </c>
      <c r="AH23" s="665">
        <f>+BS!AH31-BS!AG31</f>
        <v>-305.72409189369682</v>
      </c>
      <c r="AI23" s="665">
        <f>+BS!AI31-BS!AH31</f>
        <v>-299.60961005582249</v>
      </c>
      <c r="AJ23" s="665">
        <f>+BS!AJ31-BS!AI31</f>
        <v>-293.61741785470622</v>
      </c>
      <c r="AK23" s="665">
        <f>+BS!AK31-BS!AJ31</f>
        <v>-287.74506949761235</v>
      </c>
      <c r="AL23" s="665">
        <f>+BS!AL31-BS!AK31</f>
        <v>-281.99016810765897</v>
      </c>
      <c r="AM23" s="749"/>
      <c r="AN23" s="749"/>
      <c r="AO23" s="749"/>
    </row>
    <row r="24" spans="3:41">
      <c r="C24" s="696" t="s">
        <v>375</v>
      </c>
      <c r="D24" s="696"/>
      <c r="E24" s="696"/>
      <c r="F24" s="665">
        <f>+BS!F32-BS!E32</f>
        <v>-51</v>
      </c>
      <c r="G24" s="665">
        <f>+BS!G32-BS!F32</f>
        <v>1495.4196113910027</v>
      </c>
      <c r="H24" s="665">
        <f>+BS!H32-BS!G32</f>
        <v>2088.9160207465511</v>
      </c>
      <c r="I24" s="665">
        <f>+BS!I32-BS!H32</f>
        <v>2888.064367862446</v>
      </c>
      <c r="J24" s="665">
        <f>+BS!J32-BS!I32</f>
        <v>-2754.3999999999996</v>
      </c>
      <c r="K24" s="665">
        <f>+BS!K32-BS!J32</f>
        <v>-4727.5745295582819</v>
      </c>
      <c r="L24" s="665">
        <f>+BS!L32-BS!J32</f>
        <v>-3150</v>
      </c>
      <c r="M24" s="665">
        <f>+BS!M32-BS!J32</f>
        <v>-2556</v>
      </c>
      <c r="N24" s="665">
        <f>+BS!N32-BS!L32</f>
        <v>-1252.5241271143659</v>
      </c>
      <c r="O24" s="665">
        <f>+BS!O32-BS!L32</f>
        <v>2350.0092168618435</v>
      </c>
      <c r="P24" s="665">
        <f>+BS!P32-BS!O32</f>
        <v>-2034.0092168618435</v>
      </c>
      <c r="Q24" s="665">
        <f>+BS!Q32-BS!O32</f>
        <v>-1292.0092168618435</v>
      </c>
      <c r="R24" s="665">
        <f>+BS!R32-BS!O32</f>
        <v>-1496.0092168618435</v>
      </c>
      <c r="S24" s="665">
        <f>+BS!S32-BS!O32</f>
        <v>3401.8520853567065</v>
      </c>
      <c r="T24" s="665">
        <f>+BS!T32-BS!S32</f>
        <v>-4552.4613022185495</v>
      </c>
      <c r="U24" s="665">
        <f>+BS!U32-BS!S32</f>
        <v>-5292.86130221855</v>
      </c>
      <c r="V24" s="665">
        <f>+BS!V32-BS!S32</f>
        <v>-5292.86130221855</v>
      </c>
      <c r="W24" s="665">
        <f>+BS!W32-BS!S32</f>
        <v>-4925.86130221855</v>
      </c>
      <c r="X24" s="665">
        <f>+BS!X32-BS!W32</f>
        <v>-3739</v>
      </c>
      <c r="Y24" s="665">
        <f>+BS!Y32-BS!X32</f>
        <v>3372</v>
      </c>
      <c r="Z24" s="665">
        <f>+BS!Z32-BS!X32</f>
        <v>-30</v>
      </c>
      <c r="AA24" s="665">
        <f>+BS!AA32-BS!Z32</f>
        <v>-1012</v>
      </c>
      <c r="AB24" s="665">
        <f>+BS!AB32-BS!Z32</f>
        <v>933</v>
      </c>
      <c r="AC24" s="665">
        <f>+BS!AC32-BS!AB32</f>
        <v>-62.700000000000045</v>
      </c>
      <c r="AD24" s="665">
        <f>+BS!AD32-BS!AC32</f>
        <v>-65.835000000000036</v>
      </c>
      <c r="AE24" s="665">
        <f>+BS!AE32-BS!AD32</f>
        <v>-69.126750000000129</v>
      </c>
      <c r="AF24" s="665">
        <f>+BS!AF32-BS!AE32</f>
        <v>-72.583087500000147</v>
      </c>
      <c r="AG24" s="665">
        <f>+BS!AG32-BS!AF32</f>
        <v>-76.212241875000018</v>
      </c>
      <c r="AH24" s="665">
        <f>+BS!AH32-BS!AG32</f>
        <v>-80.022853968750042</v>
      </c>
      <c r="AI24" s="665">
        <f>+BS!AI32-BS!AH32</f>
        <v>-84.023996667187703</v>
      </c>
      <c r="AJ24" s="665">
        <f>+BS!AJ32-BS!AI32</f>
        <v>-88.225196500546872</v>
      </c>
      <c r="AK24" s="665">
        <f>+BS!AK32-BS!AJ32</f>
        <v>-92.636456325574272</v>
      </c>
      <c r="AL24" s="665">
        <f>+BS!AL32-BS!AK32</f>
        <v>-97.2682791418531</v>
      </c>
      <c r="AM24" s="749"/>
      <c r="AN24" s="749"/>
      <c r="AO24" s="749"/>
    </row>
    <row r="25" spans="3:41">
      <c r="C25" s="446" t="s">
        <v>376</v>
      </c>
      <c r="D25" s="696"/>
      <c r="E25" s="696"/>
      <c r="F25" s="665">
        <f>+BS!F30-BS!E30</f>
        <v>4898</v>
      </c>
      <c r="G25" s="665">
        <f>+BS!G30-BS!F30</f>
        <v>4900.9879939605817</v>
      </c>
      <c r="H25" s="665">
        <f>+BS!H30-BS!G30</f>
        <v>-2773.2289902356897</v>
      </c>
      <c r="I25" s="665">
        <f>+BS!I30-BS!H30</f>
        <v>-3194.759003724892</v>
      </c>
      <c r="J25" s="665">
        <f>+BS!J30-BS!I30</f>
        <v>-6726</v>
      </c>
      <c r="K25" s="665">
        <f>+BS!K30-BS!J30</f>
        <v>13110.601138897982</v>
      </c>
      <c r="L25" s="665">
        <f>+BS!L30-BS!J30</f>
        <v>11215</v>
      </c>
      <c r="M25" s="665">
        <f>+BS!M30-BS!J30</f>
        <v>14411</v>
      </c>
      <c r="N25" s="665">
        <f>+BS!N30-BS!L30</f>
        <v>10940.511856018646</v>
      </c>
      <c r="O25" s="665">
        <f>+BS!O30-BS!L30</f>
        <v>27484.815205944753</v>
      </c>
      <c r="P25" s="665">
        <f>+BS!P30-BS!O30</f>
        <v>5537.184794055247</v>
      </c>
      <c r="Q25" s="665">
        <f>+BS!Q30-BS!O30</f>
        <v>17242.184794055247</v>
      </c>
      <c r="R25" s="665">
        <f>+BS!R30-BS!O30</f>
        <v>16742.184794055247</v>
      </c>
      <c r="S25" s="665">
        <f>+BS!S30-BS!O30</f>
        <v>-12126.827365097251</v>
      </c>
      <c r="T25" s="665">
        <f>+BS!T30-BS!S30</f>
        <v>6113.0121591524985</v>
      </c>
      <c r="U25" s="665">
        <f>+BS!U30-BS!S30</f>
        <v>6113.0121591524985</v>
      </c>
      <c r="V25" s="665">
        <f>+BS!V30-BS!S30</f>
        <v>5743.0121591524985</v>
      </c>
      <c r="W25" s="665">
        <f>+BS!W30-BS!S30</f>
        <v>-1141.9020704213763</v>
      </c>
      <c r="X25" s="665">
        <f>+BS!X30-BS!W30</f>
        <v>-23379.085770426125</v>
      </c>
      <c r="Y25" s="665">
        <f>+BS!Y30-BS!X30</f>
        <v>14586</v>
      </c>
      <c r="Z25" s="665">
        <f>+BS!Z30-BS!X30</f>
        <v>1324</v>
      </c>
      <c r="AA25" s="665">
        <f>+BS!AA30-BS!Z30</f>
        <v>-110</v>
      </c>
      <c r="AB25" s="665">
        <f>+BS!AB30-BS!Z30</f>
        <v>7913</v>
      </c>
      <c r="AC25" s="665">
        <f>+BS!AC30-BS!AB30</f>
        <v>-1000</v>
      </c>
      <c r="AD25" s="665">
        <f>+BS!AD30-BS!AC30</f>
        <v>-1000</v>
      </c>
      <c r="AE25" s="665">
        <f>+BS!AE30-BS!AD30</f>
        <v>-1000</v>
      </c>
      <c r="AF25" s="665">
        <f>+BS!AF30-BS!AE30</f>
        <v>-1000</v>
      </c>
      <c r="AG25" s="665">
        <f>+BS!AG30-BS!AF30</f>
        <v>-1000</v>
      </c>
      <c r="AH25" s="665">
        <f>+BS!AH30-BS!AG30</f>
        <v>-1000</v>
      </c>
      <c r="AI25" s="665">
        <f>+BS!AI30-BS!AH30</f>
        <v>-1000</v>
      </c>
      <c r="AJ25" s="665">
        <f>+BS!AJ30-BS!AI30</f>
        <v>-1000</v>
      </c>
      <c r="AK25" s="665">
        <f>+BS!AK30-BS!AJ30</f>
        <v>-1000</v>
      </c>
      <c r="AL25" s="665">
        <f>+BS!AL30-BS!AK30</f>
        <v>-1000</v>
      </c>
      <c r="AM25" s="749"/>
      <c r="AN25" s="749"/>
      <c r="AO25" s="749"/>
    </row>
    <row r="26" spans="3:41">
      <c r="C26" s="696" t="s">
        <v>377</v>
      </c>
      <c r="D26" s="696"/>
      <c r="E26" s="696"/>
      <c r="F26" s="750">
        <f>+BS!F36-BS!E36</f>
        <v>362</v>
      </c>
      <c r="G26" s="750">
        <f>+BS!G36-BS!F36</f>
        <v>-251</v>
      </c>
      <c r="H26" s="750">
        <f>+BS!H36-BS!G36</f>
        <v>-1221</v>
      </c>
      <c r="I26" s="750">
        <f>+BS!I36-BS!H36</f>
        <v>-211.59999999999991</v>
      </c>
      <c r="J26" s="750">
        <f>+BS!J36-BS!I36</f>
        <v>-1188.4000000000001</v>
      </c>
      <c r="K26" s="750">
        <f>+BS!K36-BS!J36</f>
        <v>-2714</v>
      </c>
      <c r="L26" s="750">
        <f>+BS!L36-BS!J36</f>
        <v>-783</v>
      </c>
      <c r="M26" s="750">
        <f>+BS!M36-BS!J36</f>
        <v>-345</v>
      </c>
      <c r="N26" s="750">
        <f>+BS!N36-BS!L36+70</f>
        <v>604</v>
      </c>
      <c r="O26" s="750">
        <f>+BS!O36-BS!L36</f>
        <v>773</v>
      </c>
      <c r="P26" s="750">
        <f>+BS!P36-BS!O36</f>
        <v>-615</v>
      </c>
      <c r="Q26" s="750">
        <f>+BS!Q36-BS!O36</f>
        <v>-1750</v>
      </c>
      <c r="R26" s="750">
        <f>+BS!R36-BS!O36</f>
        <v>-615</v>
      </c>
      <c r="S26" s="750">
        <f>+BS!S36-BS!O36</f>
        <v>2667</v>
      </c>
      <c r="T26" s="750">
        <f>+BS!T36-BS!S36</f>
        <v>-7945</v>
      </c>
      <c r="U26" s="750">
        <f>+BS!U36-BS!S36</f>
        <v>-2637.3</v>
      </c>
      <c r="V26" s="750">
        <f>+BS!V36-BS!S36</f>
        <v>-2637.3</v>
      </c>
      <c r="W26" s="750">
        <f>+BS!W36-BS!S36</f>
        <v>-7847</v>
      </c>
      <c r="X26" s="750">
        <f>+BS!X36-BS!W36</f>
        <v>2005</v>
      </c>
      <c r="Y26" s="750">
        <f>+BS!Y36-BS!X36</f>
        <v>-628</v>
      </c>
      <c r="Z26" s="750">
        <f>+BS!Z36-BS!X36</f>
        <v>-3443</v>
      </c>
      <c r="AA26" s="750">
        <f>+BS!AA36-BS!Z36</f>
        <v>10468</v>
      </c>
      <c r="AB26" s="750">
        <f>+BS!AB36-BS!Z36</f>
        <v>494</v>
      </c>
      <c r="AC26" s="750">
        <f>+BS!AC36-BS!AB36</f>
        <v>-92.779999999999745</v>
      </c>
      <c r="AD26" s="750">
        <f>+BS!AD36-BS!AC36</f>
        <v>-94.635600000000522</v>
      </c>
      <c r="AE26" s="750">
        <f>+BS!AE36-BS!AD36</f>
        <v>-96.528312000000369</v>
      </c>
      <c r="AF26" s="750">
        <f>+BS!AF36-BS!AE36</f>
        <v>-98.458878239999649</v>
      </c>
      <c r="AG26" s="750">
        <f>+BS!AG36-BS!AF36</f>
        <v>-100.42805580480035</v>
      </c>
      <c r="AH26" s="750">
        <f>+BS!AH36-BS!AG36</f>
        <v>-102.43661692089609</v>
      </c>
      <c r="AI26" s="750">
        <f>+BS!AI36-BS!AH36</f>
        <v>-104.48534925931381</v>
      </c>
      <c r="AJ26" s="750">
        <f>+BS!AJ36-BS!AI36</f>
        <v>-106.57505624450005</v>
      </c>
      <c r="AK26" s="750">
        <f>+BS!AK36-BS!AJ36</f>
        <v>-108.70655736938988</v>
      </c>
      <c r="AL26" s="750">
        <f>+BS!AL36-BS!AK36</f>
        <v>-110.88068851677781</v>
      </c>
      <c r="AM26" s="749"/>
      <c r="AN26" s="749"/>
      <c r="AO26" s="749"/>
    </row>
    <row r="27" spans="3:41" s="465" customFormat="1">
      <c r="C27" s="751" t="s">
        <v>378</v>
      </c>
      <c r="D27" s="751"/>
      <c r="E27" s="751"/>
      <c r="F27" s="699">
        <f t="shared" ref="F27:N27" si="1">SUM(F17:F26)</f>
        <v>-8411</v>
      </c>
      <c r="G27" s="699">
        <f t="shared" si="1"/>
        <v>-3365.9440705883108</v>
      </c>
      <c r="H27" s="699">
        <f t="shared" si="1"/>
        <v>2.7851193235937899</v>
      </c>
      <c r="I27" s="699">
        <f t="shared" si="1"/>
        <v>-23826.241048735279</v>
      </c>
      <c r="J27" s="699">
        <f t="shared" si="1"/>
        <v>1272.3999999999974</v>
      </c>
      <c r="K27" s="699">
        <f t="shared" si="1"/>
        <v>-16777.34618658504</v>
      </c>
      <c r="L27" s="699">
        <f t="shared" si="1"/>
        <v>-9893.3361611836553</v>
      </c>
      <c r="M27" s="699">
        <f t="shared" si="1"/>
        <v>-10305.235808467209</v>
      </c>
      <c r="N27" s="699">
        <f t="shared" si="1"/>
        <v>-21680.582328743505</v>
      </c>
      <c r="O27" s="699">
        <f t="shared" ref="O27:AG27" si="2">SUM(O17:O26)</f>
        <v>-14740.701025847062</v>
      </c>
      <c r="P27" s="699">
        <f t="shared" si="2"/>
        <v>-16494.94381777379</v>
      </c>
      <c r="Q27" s="699">
        <f t="shared" si="2"/>
        <v>-12906.757171894435</v>
      </c>
      <c r="R27" s="699">
        <f t="shared" si="2"/>
        <v>-11923.012891229439</v>
      </c>
      <c r="S27" s="699">
        <f t="shared" si="2"/>
        <v>-7867.3993141805804</v>
      </c>
      <c r="T27" s="699">
        <f t="shared" si="2"/>
        <v>-2053.5634987887079</v>
      </c>
      <c r="U27" s="699">
        <f t="shared" si="2"/>
        <v>6146.3231983748583</v>
      </c>
      <c r="V27" s="699">
        <f t="shared" si="2"/>
        <v>11237.381464760514</v>
      </c>
      <c r="W27" s="699">
        <f t="shared" si="2"/>
        <v>20823.679826843301</v>
      </c>
      <c r="X27" s="699">
        <f t="shared" si="2"/>
        <v>-36312.243325632007</v>
      </c>
      <c r="Y27" s="699">
        <f t="shared" si="2"/>
        <v>4241</v>
      </c>
      <c r="Z27" s="699">
        <f t="shared" si="2"/>
        <v>-15927</v>
      </c>
      <c r="AA27" s="699">
        <f t="shared" si="2"/>
        <v>-15639</v>
      </c>
      <c r="AB27" s="699">
        <f t="shared" si="2"/>
        <v>-5249</v>
      </c>
      <c r="AC27" s="699">
        <f t="shared" si="2"/>
        <v>4446.1793432678969</v>
      </c>
      <c r="AD27" s="699">
        <f t="shared" si="2"/>
        <v>-8215.4039588803062</v>
      </c>
      <c r="AE27" s="699">
        <f t="shared" si="2"/>
        <v>-11400.59675544299</v>
      </c>
      <c r="AF27" s="699">
        <f t="shared" si="2"/>
        <v>-12973.385925828061</v>
      </c>
      <c r="AG27" s="699">
        <f t="shared" si="2"/>
        <v>-14759.909389614186</v>
      </c>
      <c r="AH27" s="699">
        <f>SUM(AH17:AH26)</f>
        <v>-10627.639427844391</v>
      </c>
      <c r="AI27" s="699">
        <f>SUM(AI17:AI26)</f>
        <v>-12745.956796536959</v>
      </c>
      <c r="AJ27" s="699">
        <f>SUM(AJ17:AJ26)</f>
        <v>-14295.024521954339</v>
      </c>
      <c r="AK27" s="699">
        <f>SUM(AK17:AK26)</f>
        <v>-16059.994479278888</v>
      </c>
      <c r="AL27" s="699">
        <f>SUM(AL17:AL26)</f>
        <v>-18078.455588947545</v>
      </c>
      <c r="AM27" s="749"/>
      <c r="AN27" s="749"/>
      <c r="AO27" s="749"/>
    </row>
    <row r="28" spans="3:41" s="465" customFormat="1">
      <c r="C28" s="751"/>
      <c r="D28" s="751"/>
      <c r="E28" s="751"/>
      <c r="F28" s="699"/>
      <c r="G28" s="699"/>
      <c r="H28" s="699"/>
      <c r="I28" s="699"/>
      <c r="J28" s="699"/>
      <c r="K28" s="699"/>
      <c r="L28" s="699"/>
      <c r="M28" s="699"/>
      <c r="N28" s="699"/>
      <c r="O28" s="699"/>
      <c r="P28" s="699"/>
      <c r="Q28" s="699"/>
      <c r="R28" s="699"/>
      <c r="S28" s="699"/>
      <c r="T28" s="699"/>
      <c r="U28" s="699"/>
      <c r="V28" s="699"/>
      <c r="W28" s="699"/>
      <c r="X28" s="699"/>
      <c r="Y28" s="699"/>
      <c r="Z28" s="699"/>
      <c r="AA28" s="699"/>
      <c r="AB28" s="699"/>
      <c r="AC28" s="699"/>
      <c r="AD28" s="699"/>
      <c r="AE28" s="699"/>
      <c r="AF28" s="699"/>
      <c r="AG28" s="699"/>
      <c r="AH28" s="699"/>
      <c r="AI28" s="699"/>
      <c r="AJ28" s="699"/>
      <c r="AK28" s="699"/>
      <c r="AL28" s="699"/>
      <c r="AM28" s="749"/>
      <c r="AN28" s="749"/>
      <c r="AO28" s="749"/>
    </row>
    <row r="29" spans="3:41">
      <c r="C29" s="696"/>
      <c r="D29" s="696"/>
      <c r="E29" s="696"/>
      <c r="F29" s="665"/>
      <c r="G29" s="665"/>
      <c r="H29" s="665"/>
      <c r="I29" s="665"/>
      <c r="J29" s="665"/>
      <c r="K29" s="665"/>
      <c r="L29" s="665"/>
      <c r="M29" s="665"/>
      <c r="N29" s="665"/>
      <c r="O29" s="665"/>
      <c r="P29" s="665"/>
      <c r="Q29" s="665"/>
      <c r="R29" s="665"/>
      <c r="S29" s="665"/>
      <c r="T29" s="665"/>
      <c r="U29" s="665"/>
      <c r="V29" s="665"/>
      <c r="W29" s="665"/>
      <c r="X29" s="665"/>
      <c r="Y29" s="665"/>
      <c r="Z29" s="665"/>
      <c r="AA29" s="665"/>
      <c r="AB29" s="665"/>
      <c r="AC29" s="665"/>
      <c r="AD29" s="665"/>
      <c r="AE29" s="665"/>
      <c r="AF29" s="665"/>
      <c r="AG29" s="665"/>
      <c r="AH29" s="665"/>
      <c r="AI29" s="665"/>
      <c r="AJ29" s="665"/>
      <c r="AK29" s="665"/>
      <c r="AL29" s="665"/>
      <c r="AM29" s="749"/>
      <c r="AN29" s="749"/>
      <c r="AO29" s="749"/>
    </row>
    <row r="30" spans="3:41">
      <c r="C30" s="751" t="s">
        <v>379</v>
      </c>
      <c r="D30" s="696"/>
      <c r="E30" s="696"/>
      <c r="F30" s="665"/>
      <c r="G30" s="665"/>
      <c r="H30" s="665"/>
      <c r="I30" s="665"/>
      <c r="J30" s="665"/>
      <c r="K30" s="665"/>
      <c r="L30" s="665"/>
      <c r="M30" s="665"/>
      <c r="N30" s="665"/>
      <c r="O30" s="665"/>
      <c r="P30" s="665"/>
      <c r="Q30" s="665"/>
      <c r="R30" s="665"/>
      <c r="S30" s="665"/>
      <c r="T30" s="665"/>
      <c r="U30" s="665"/>
      <c r="V30" s="665"/>
      <c r="W30" s="665"/>
      <c r="X30" s="665"/>
      <c r="Y30" s="665"/>
      <c r="Z30" s="665"/>
      <c r="AA30" s="665"/>
      <c r="AB30" s="665"/>
      <c r="AC30" s="665"/>
      <c r="AD30" s="665"/>
      <c r="AE30" s="665"/>
      <c r="AF30" s="665"/>
      <c r="AG30" s="665"/>
      <c r="AH30" s="665"/>
      <c r="AI30" s="665"/>
      <c r="AJ30" s="665"/>
      <c r="AK30" s="665"/>
      <c r="AL30" s="665"/>
      <c r="AM30" s="749"/>
      <c r="AN30" s="749"/>
      <c r="AO30" s="749"/>
    </row>
    <row r="31" spans="3:41">
      <c r="C31" s="696" t="s">
        <v>380</v>
      </c>
      <c r="D31" s="696"/>
      <c r="E31" s="696"/>
      <c r="F31" s="665">
        <f>-BS!F79</f>
        <v>-5260</v>
      </c>
      <c r="G31" s="665">
        <f>-BS!G79</f>
        <v>-6960</v>
      </c>
      <c r="H31" s="665">
        <f>-BS!H79</f>
        <v>-7698</v>
      </c>
      <c r="I31" s="665">
        <f>-BS!I79</f>
        <v>-5351</v>
      </c>
      <c r="J31" s="665">
        <f>-BS!J79+4039-7950</f>
        <v>-7950</v>
      </c>
      <c r="K31" s="665">
        <f>-BS!K79</f>
        <v>-10745</v>
      </c>
      <c r="L31" s="665">
        <f>-BS!L79</f>
        <v>-14173</v>
      </c>
      <c r="M31" s="665">
        <f>-BS!M79</f>
        <v>-11745</v>
      </c>
      <c r="N31" s="665">
        <f>-BS!N79</f>
        <v>-4924</v>
      </c>
      <c r="O31" s="665">
        <f>-BS!O79-BS!N79</f>
        <v>-17093</v>
      </c>
      <c r="P31" s="665">
        <f>-BS!P79</f>
        <v>-6730</v>
      </c>
      <c r="Q31" s="665">
        <f>-BS!Q79</f>
        <v>-7597</v>
      </c>
      <c r="R31" s="665">
        <f>-BS!R79</f>
        <v>-8097</v>
      </c>
      <c r="S31" s="665">
        <f>-BS!S79</f>
        <v>-8951</v>
      </c>
      <c r="T31" s="665">
        <f>-BS!T79</f>
        <v>-3293</v>
      </c>
      <c r="U31" s="665">
        <f>-BS!U79</f>
        <v>-15450</v>
      </c>
      <c r="V31" s="665">
        <f>-BS!V79</f>
        <v>-15450</v>
      </c>
      <c r="W31" s="665">
        <f>-BS!W79</f>
        <v>-7486</v>
      </c>
      <c r="X31" s="665">
        <f>-BS!X79</f>
        <v>-11486</v>
      </c>
      <c r="Y31" s="665">
        <f>-BS!Y79</f>
        <v>-13788</v>
      </c>
      <c r="Z31" s="665">
        <f>-BS!Z79</f>
        <v>-9937</v>
      </c>
      <c r="AA31" s="665">
        <f>-BS!AA79</f>
        <v>-5010</v>
      </c>
      <c r="AB31" s="665">
        <f>-BS!AB79</f>
        <v>-5873</v>
      </c>
      <c r="AC31" s="665">
        <f>-BS!AC79</f>
        <v>-6100</v>
      </c>
      <c r="AD31" s="665">
        <f>-BS!AD79</f>
        <v>-6100</v>
      </c>
      <c r="AE31" s="665">
        <f>-BS!AE79</f>
        <v>-6100</v>
      </c>
      <c r="AF31" s="665">
        <f>-BS!AF79</f>
        <v>-6100</v>
      </c>
      <c r="AG31" s="665">
        <f>-BS!AG79</f>
        <v>-6100</v>
      </c>
      <c r="AH31" s="665">
        <f>-BS!AH79</f>
        <v>-6100</v>
      </c>
      <c r="AI31" s="665">
        <f>-BS!AI79</f>
        <v>-7600</v>
      </c>
      <c r="AJ31" s="665">
        <f>-BS!AJ79</f>
        <v>-7600</v>
      </c>
      <c r="AK31" s="665">
        <f>-BS!AK79</f>
        <v>-7600</v>
      </c>
      <c r="AL31" s="665">
        <f>-BS!AL79</f>
        <v>-7600</v>
      </c>
      <c r="AM31" s="749"/>
      <c r="AN31" s="749"/>
      <c r="AO31" s="749"/>
    </row>
    <row r="32" spans="3:41">
      <c r="C32" s="696" t="s">
        <v>381</v>
      </c>
      <c r="D32" s="696"/>
      <c r="E32" s="696"/>
      <c r="F32" s="665">
        <v>0</v>
      </c>
      <c r="G32" s="665">
        <v>0</v>
      </c>
      <c r="H32" s="665">
        <v>0</v>
      </c>
      <c r="I32" s="665">
        <v>0</v>
      </c>
      <c r="J32" s="665">
        <v>0</v>
      </c>
      <c r="K32" s="665">
        <v>0</v>
      </c>
      <c r="L32" s="665">
        <v>0</v>
      </c>
      <c r="M32" s="665">
        <v>0</v>
      </c>
      <c r="N32" s="665">
        <v>0</v>
      </c>
      <c r="O32" s="665">
        <v>0</v>
      </c>
      <c r="P32" s="665">
        <v>0</v>
      </c>
      <c r="Q32" s="665">
        <v>0</v>
      </c>
      <c r="R32" s="665">
        <v>0</v>
      </c>
      <c r="S32" s="665">
        <v>0</v>
      </c>
      <c r="T32" s="665">
        <v>0</v>
      </c>
      <c r="U32" s="665">
        <v>0</v>
      </c>
      <c r="V32" s="665">
        <v>0</v>
      </c>
      <c r="W32" s="665">
        <v>0</v>
      </c>
      <c r="X32" s="665">
        <v>0</v>
      </c>
      <c r="Y32" s="665">
        <v>0</v>
      </c>
      <c r="Z32" s="665">
        <v>0</v>
      </c>
      <c r="AA32" s="665">
        <v>0</v>
      </c>
      <c r="AB32" s="665">
        <v>0</v>
      </c>
      <c r="AC32" s="665">
        <v>0</v>
      </c>
      <c r="AD32" s="665">
        <v>0</v>
      </c>
      <c r="AE32" s="665">
        <v>0</v>
      </c>
      <c r="AF32" s="665">
        <v>0</v>
      </c>
      <c r="AG32" s="665">
        <v>0</v>
      </c>
      <c r="AH32" s="665">
        <v>0</v>
      </c>
      <c r="AI32" s="665">
        <v>0</v>
      </c>
      <c r="AJ32" s="665">
        <v>0</v>
      </c>
      <c r="AK32" s="665">
        <v>0</v>
      </c>
      <c r="AL32" s="665">
        <v>0</v>
      </c>
      <c r="AM32" s="749"/>
      <c r="AN32" s="749"/>
      <c r="AO32" s="749"/>
    </row>
    <row r="33" spans="3:41" hidden="1">
      <c r="C33" s="696" t="s">
        <v>382</v>
      </c>
      <c r="D33" s="696"/>
      <c r="E33" s="696"/>
      <c r="F33" s="665">
        <v>0</v>
      </c>
      <c r="G33" s="665">
        <v>0</v>
      </c>
      <c r="H33" s="665">
        <v>0</v>
      </c>
      <c r="I33" s="665">
        <v>0</v>
      </c>
      <c r="J33" s="665">
        <v>0</v>
      </c>
      <c r="K33" s="665">
        <v>0</v>
      </c>
      <c r="L33" s="665">
        <v>0</v>
      </c>
      <c r="M33" s="665">
        <v>0</v>
      </c>
      <c r="N33" s="665">
        <v>0</v>
      </c>
      <c r="O33" s="665">
        <v>0</v>
      </c>
      <c r="P33" s="665">
        <v>0</v>
      </c>
      <c r="Q33" s="665">
        <v>0</v>
      </c>
      <c r="R33" s="665">
        <v>0</v>
      </c>
      <c r="S33" s="665">
        <v>0</v>
      </c>
      <c r="T33" s="665">
        <v>0</v>
      </c>
      <c r="U33" s="665">
        <v>0</v>
      </c>
      <c r="V33" s="665">
        <v>0</v>
      </c>
      <c r="W33" s="665">
        <v>0</v>
      </c>
      <c r="X33" s="665">
        <v>0</v>
      </c>
      <c r="Y33" s="665">
        <v>0</v>
      </c>
      <c r="Z33" s="665">
        <v>0</v>
      </c>
      <c r="AA33" s="665">
        <v>0</v>
      </c>
      <c r="AB33" s="665">
        <v>0</v>
      </c>
      <c r="AC33" s="665">
        <v>0</v>
      </c>
      <c r="AD33" s="665">
        <v>0</v>
      </c>
      <c r="AE33" s="665">
        <v>0</v>
      </c>
      <c r="AF33" s="665">
        <v>0</v>
      </c>
      <c r="AG33" s="665">
        <v>0</v>
      </c>
      <c r="AH33" s="665">
        <v>0</v>
      </c>
      <c r="AI33" s="665">
        <v>0</v>
      </c>
      <c r="AJ33" s="665">
        <v>0</v>
      </c>
      <c r="AK33" s="665">
        <v>0</v>
      </c>
      <c r="AL33" s="665">
        <v>0</v>
      </c>
      <c r="AM33" s="749"/>
      <c r="AN33" s="749"/>
      <c r="AO33" s="749"/>
    </row>
    <row r="34" spans="3:41">
      <c r="C34" s="696" t="s">
        <v>294</v>
      </c>
      <c r="D34" s="696"/>
      <c r="E34" s="696"/>
      <c r="F34" s="750">
        <f>+BS!E24-BS!F24</f>
        <v>-1733</v>
      </c>
      <c r="G34" s="750">
        <f>+BS!F24-BS!G24</f>
        <v>757.63625875293133</v>
      </c>
      <c r="H34" s="750">
        <f>+BS!G24-BS!H24</f>
        <v>-1007.6483328027396</v>
      </c>
      <c r="I34" s="750">
        <f>+BS!H24-BS!I24</f>
        <v>-445.13079129478183</v>
      </c>
      <c r="J34" s="750">
        <f>+BS!I24-BS!J24</f>
        <v>471.14286534459006</v>
      </c>
      <c r="K34" s="750">
        <f>+BS!J24-BS!K24</f>
        <v>-7997.9944267820192</v>
      </c>
      <c r="L34" s="750">
        <f>+BS!J24-BS!L24</f>
        <v>-6792</v>
      </c>
      <c r="M34" s="750">
        <f>+BS!J24-BS!M24</f>
        <v>-6639</v>
      </c>
      <c r="N34" s="750">
        <v>0</v>
      </c>
      <c r="O34" s="750">
        <f>+BS!L24-BS!O24</f>
        <v>-874</v>
      </c>
      <c r="P34" s="750">
        <f>+BS!O24-BS!P24</f>
        <v>226</v>
      </c>
      <c r="Q34" s="750">
        <f>+BS!O24-BS!Q24</f>
        <v>997</v>
      </c>
      <c r="R34" s="750">
        <f>+BS!O24-BS!R24</f>
        <v>226</v>
      </c>
      <c r="S34" s="750">
        <f>+BS!O24-BS!S24</f>
        <v>992.90374183202948</v>
      </c>
      <c r="T34" s="750">
        <f>+BS!S24-BS!T24</f>
        <v>39.096258167970518</v>
      </c>
      <c r="U34" s="750">
        <f>+BS!S24-BS!U24</f>
        <v>176.12192516335926</v>
      </c>
      <c r="V34" s="750">
        <f>+BS!S24-BS!V24</f>
        <v>176.12192516335926</v>
      </c>
      <c r="W34" s="750">
        <f>+BS!S24-BS!W24</f>
        <v>-6430.1154225394421</v>
      </c>
      <c r="X34" s="750">
        <f>+BS!W24-BS!X24</f>
        <v>5959.2116807074126</v>
      </c>
      <c r="Y34" s="750">
        <f>+BS!X24-BS!Y24</f>
        <v>977</v>
      </c>
      <c r="Z34" s="750">
        <f>+BS!X24-BS!Z24</f>
        <v>7208</v>
      </c>
      <c r="AA34" s="750">
        <f>+BS!Z24-BS!AA24</f>
        <v>231</v>
      </c>
      <c r="AB34" s="750">
        <f>+BS!Z24-BS!AB24</f>
        <v>-82</v>
      </c>
      <c r="AC34" s="750">
        <f>+BS!AB24-BS!AC24</f>
        <v>21.510000000000218</v>
      </c>
      <c r="AD34" s="750">
        <f>+BS!AC24-BS!AD24</f>
        <v>21.29489999999987</v>
      </c>
      <c r="AE34" s="750">
        <f>+BS!AD24-BS!AE24</f>
        <v>21.081951000000117</v>
      </c>
      <c r="AF34" s="750">
        <f>+BS!AE24-BS!AF24</f>
        <v>20.871131490000153</v>
      </c>
      <c r="AG34" s="750">
        <f>+BS!AF24-BS!AG24</f>
        <v>20.662420175100124</v>
      </c>
      <c r="AH34" s="750">
        <f>+BS!AG24-BS!AH24</f>
        <v>20.455795973349041</v>
      </c>
      <c r="AI34" s="750">
        <f>+BS!AH24-BS!AI24</f>
        <v>20.251238013615421</v>
      </c>
      <c r="AJ34" s="750">
        <f>+BS!AI24-BS!AJ24</f>
        <v>20.048725633479307</v>
      </c>
      <c r="AK34" s="750">
        <f>+BS!AJ24-BS!AK24</f>
        <v>19.848238377144526</v>
      </c>
      <c r="AL34" s="750">
        <f>+BS!AK24-BS!AL24</f>
        <v>19.649755993373219</v>
      </c>
      <c r="AM34" s="749"/>
      <c r="AN34" s="749"/>
      <c r="AO34" s="749"/>
    </row>
    <row r="35" spans="3:41">
      <c r="C35" s="751" t="s">
        <v>383</v>
      </c>
      <c r="D35" s="696"/>
      <c r="E35" s="696"/>
      <c r="F35" s="699">
        <f t="shared" ref="F35:AL35" si="3">SUM(F31:F34)</f>
        <v>-6993</v>
      </c>
      <c r="G35" s="699">
        <f t="shared" si="3"/>
        <v>-6202.3637412470689</v>
      </c>
      <c r="H35" s="699">
        <f t="shared" si="3"/>
        <v>-8705.6483328027389</v>
      </c>
      <c r="I35" s="699">
        <f t="shared" si="3"/>
        <v>-5796.1307912947814</v>
      </c>
      <c r="J35" s="699">
        <f t="shared" si="3"/>
        <v>-7478.8571346554099</v>
      </c>
      <c r="K35" s="699">
        <f t="shared" si="3"/>
        <v>-18742.994426782017</v>
      </c>
      <c r="L35" s="699">
        <f t="shared" si="3"/>
        <v>-20965</v>
      </c>
      <c r="M35" s="699">
        <f t="shared" si="3"/>
        <v>-18384</v>
      </c>
      <c r="N35" s="699">
        <f t="shared" si="3"/>
        <v>-4924</v>
      </c>
      <c r="O35" s="699">
        <f t="shared" si="3"/>
        <v>-17967</v>
      </c>
      <c r="P35" s="699">
        <f t="shared" si="3"/>
        <v>-6504</v>
      </c>
      <c r="Q35" s="699">
        <f t="shared" si="3"/>
        <v>-6600</v>
      </c>
      <c r="R35" s="699">
        <f t="shared" si="3"/>
        <v>-7871</v>
      </c>
      <c r="S35" s="699">
        <f t="shared" si="3"/>
        <v>-7958.0962581679705</v>
      </c>
      <c r="T35" s="699">
        <f t="shared" si="3"/>
        <v>-3253.9037418320295</v>
      </c>
      <c r="U35" s="699">
        <f t="shared" si="3"/>
        <v>-15273.878074836641</v>
      </c>
      <c r="V35" s="699">
        <f t="shared" si="3"/>
        <v>-15273.878074836641</v>
      </c>
      <c r="W35" s="699">
        <f t="shared" si="3"/>
        <v>-13916.115422539442</v>
      </c>
      <c r="X35" s="699">
        <f t="shared" si="3"/>
        <v>-5526.7883192925874</v>
      </c>
      <c r="Y35" s="699">
        <f t="shared" si="3"/>
        <v>-12811</v>
      </c>
      <c r="Z35" s="699">
        <f t="shared" si="3"/>
        <v>-2729</v>
      </c>
      <c r="AA35" s="699">
        <f t="shared" si="3"/>
        <v>-4779</v>
      </c>
      <c r="AB35" s="699">
        <f t="shared" si="3"/>
        <v>-5955</v>
      </c>
      <c r="AC35" s="699">
        <f t="shared" si="3"/>
        <v>-6078.49</v>
      </c>
      <c r="AD35" s="699">
        <f t="shared" si="3"/>
        <v>-6078.7051000000001</v>
      </c>
      <c r="AE35" s="699">
        <f t="shared" si="3"/>
        <v>-6078.9180489999999</v>
      </c>
      <c r="AF35" s="699">
        <f t="shared" si="3"/>
        <v>-6079.1288685099998</v>
      </c>
      <c r="AG35" s="699">
        <f t="shared" si="3"/>
        <v>-6079.3375798248999</v>
      </c>
      <c r="AH35" s="699">
        <f t="shared" si="3"/>
        <v>-6079.5442040266507</v>
      </c>
      <c r="AI35" s="699">
        <f t="shared" si="3"/>
        <v>-7579.7487619863841</v>
      </c>
      <c r="AJ35" s="699">
        <f t="shared" si="3"/>
        <v>-7579.9512743665209</v>
      </c>
      <c r="AK35" s="699">
        <f t="shared" si="3"/>
        <v>-7580.1517616228557</v>
      </c>
      <c r="AL35" s="699">
        <f t="shared" si="3"/>
        <v>-7580.3502440066268</v>
      </c>
      <c r="AM35" s="749"/>
      <c r="AN35" s="749"/>
      <c r="AO35" s="749"/>
    </row>
    <row r="36" spans="3:41">
      <c r="C36" s="751"/>
      <c r="D36" s="771" t="s">
        <v>398</v>
      </c>
      <c r="E36" s="771"/>
      <c r="F36" s="772"/>
      <c r="G36" s="772"/>
      <c r="H36" s="772"/>
      <c r="I36" s="772"/>
      <c r="J36" s="772"/>
      <c r="K36" s="772"/>
      <c r="L36" s="772"/>
      <c r="M36" s="772"/>
      <c r="N36" s="772"/>
      <c r="O36" s="772"/>
      <c r="P36" s="772"/>
      <c r="Q36" s="772"/>
      <c r="R36" s="772"/>
      <c r="S36" s="772"/>
      <c r="T36" s="772"/>
      <c r="U36" s="772"/>
      <c r="V36" s="772"/>
      <c r="W36" s="772"/>
      <c r="X36" s="772"/>
      <c r="Y36" s="772"/>
      <c r="Z36" s="772"/>
      <c r="AA36" s="772"/>
      <c r="AB36" s="773">
        <f>-AB31/'Inc St'!AB7</f>
        <v>2.3531110272179447E-2</v>
      </c>
      <c r="AC36" s="773">
        <f>-AC31/'Inc St'!AC7</f>
        <v>2.026523466377872E-2</v>
      </c>
      <c r="AD36" s="773">
        <f>-AD31/'Inc St'!AD7</f>
        <v>1.8628135321240101E-2</v>
      </c>
      <c r="AE36" s="773">
        <f>-AE31/'Inc St'!AE7</f>
        <v>1.6790173644394696E-2</v>
      </c>
      <c r="AF36" s="773">
        <f>-AF31/'Inc St'!AF7</f>
        <v>1.5111879088631855E-2</v>
      </c>
      <c r="AG36" s="773">
        <f>-AG31/'Inc St'!AG7</f>
        <v>1.3580615223015529E-2</v>
      </c>
      <c r="AH36" s="773">
        <f>-AH31/'Inc St'!AH7</f>
        <v>1.2659324158994E-2</v>
      </c>
      <c r="AI36" s="773">
        <f>-AI31/'Inc St'!AI7</f>
        <v>1.4594451769289562E-2</v>
      </c>
      <c r="AJ36" s="773">
        <f>-AJ31/'Inc St'!AJ7</f>
        <v>1.3472501989986087E-2</v>
      </c>
      <c r="AK36" s="773">
        <f>-AK31/'Inc St'!AK7</f>
        <v>1.2405653142881759E-2</v>
      </c>
      <c r="AL36" s="773">
        <f>-AL31/'Inc St'!AL7</f>
        <v>1.1393234409606134E-2</v>
      </c>
      <c r="AM36" s="749"/>
      <c r="AN36" s="749"/>
      <c r="AO36" s="749"/>
    </row>
    <row r="37" spans="3:41">
      <c r="C37" s="696"/>
      <c r="D37" s="696"/>
      <c r="E37" s="696"/>
      <c r="F37" s="665"/>
      <c r="G37" s="665"/>
      <c r="H37" s="665"/>
      <c r="I37" s="665"/>
      <c r="J37" s="665"/>
      <c r="K37" s="665"/>
      <c r="L37" s="665"/>
      <c r="M37" s="665"/>
      <c r="N37" s="665"/>
      <c r="O37" s="665"/>
      <c r="P37" s="665"/>
      <c r="Q37" s="665"/>
      <c r="R37" s="665"/>
      <c r="S37" s="665"/>
      <c r="T37" s="665"/>
      <c r="U37" s="665"/>
      <c r="V37" s="665"/>
      <c r="W37" s="665"/>
      <c r="X37" s="665"/>
      <c r="Y37" s="665"/>
      <c r="Z37" s="665"/>
      <c r="AA37" s="665"/>
      <c r="AB37" s="665"/>
      <c r="AC37" s="665"/>
      <c r="AD37" s="665"/>
      <c r="AE37" s="665"/>
      <c r="AF37" s="665"/>
      <c r="AG37" s="665"/>
      <c r="AH37" s="665"/>
      <c r="AI37" s="665"/>
      <c r="AJ37" s="665"/>
      <c r="AK37" s="665"/>
      <c r="AL37" s="665"/>
      <c r="AM37" s="749"/>
      <c r="AN37" s="749"/>
      <c r="AO37" s="749"/>
    </row>
    <row r="38" spans="3:41">
      <c r="C38" s="751" t="s">
        <v>384</v>
      </c>
      <c r="D38" s="696"/>
      <c r="E38" s="696"/>
      <c r="F38" s="665"/>
      <c r="G38" s="665"/>
      <c r="H38" s="665"/>
      <c r="I38" s="665"/>
      <c r="J38" s="665"/>
      <c r="K38" s="665"/>
      <c r="L38" s="665"/>
      <c r="M38" s="665"/>
      <c r="N38" s="665"/>
      <c r="O38" s="665"/>
      <c r="P38" s="665"/>
      <c r="Q38" s="665"/>
      <c r="R38" s="665"/>
      <c r="S38" s="665"/>
      <c r="T38" s="665"/>
      <c r="U38" s="665"/>
      <c r="V38" s="665"/>
      <c r="W38" s="665"/>
      <c r="X38" s="665"/>
      <c r="Y38" s="665"/>
      <c r="Z38" s="665"/>
      <c r="AA38" s="665"/>
      <c r="AB38" s="665"/>
      <c r="AC38" s="665"/>
      <c r="AD38" s="665"/>
      <c r="AE38" s="665"/>
      <c r="AF38" s="665"/>
      <c r="AG38" s="665"/>
      <c r="AH38" s="665"/>
      <c r="AI38" s="665"/>
      <c r="AJ38" s="665"/>
      <c r="AK38" s="665"/>
      <c r="AL38" s="665"/>
      <c r="AM38" s="749"/>
      <c r="AN38" s="749"/>
      <c r="AO38" s="749"/>
    </row>
    <row r="39" spans="3:41">
      <c r="C39" s="696" t="s">
        <v>385</v>
      </c>
      <c r="D39" s="696"/>
      <c r="E39" s="696"/>
      <c r="F39" s="665">
        <f>+BS!F35-BS!E35</f>
        <v>2014</v>
      </c>
      <c r="G39" s="665">
        <f>+BS!G35-BS!F35</f>
        <v>-2257.7101974918733</v>
      </c>
      <c r="H39" s="665">
        <f>+BS!H35-BS!G35</f>
        <v>9174.3908333449945</v>
      </c>
      <c r="I39" s="665">
        <f>+BS!I35-BS!H35</f>
        <v>-1343.2806358531197</v>
      </c>
      <c r="J39" s="665">
        <f>+BS!J35-BS!I35</f>
        <v>-1175.4000000000015</v>
      </c>
      <c r="K39" s="665">
        <f>+BS!K35-BS!J35</f>
        <v>5312.2827923156656</v>
      </c>
      <c r="L39" s="665">
        <f>+BS!L35-BS!J35</f>
        <v>5119</v>
      </c>
      <c r="M39" s="665">
        <f>+BS!M35-BS!J35</f>
        <v>3222</v>
      </c>
      <c r="N39" s="665">
        <f>+BS!N35-BS!L35</f>
        <v>14162.158153891978</v>
      </c>
      <c r="O39" s="665">
        <f>+BS!O35-BS!L35</f>
        <v>18349.139708777555</v>
      </c>
      <c r="P39" s="665">
        <f>+BS!P35-BS!O35</f>
        <v>6562.8602912224451</v>
      </c>
      <c r="Q39" s="665">
        <f>+BS!Q35-BS!O35</f>
        <v>4734.8602912224451</v>
      </c>
      <c r="R39" s="665">
        <f>+BS!R35-BS!O35</f>
        <v>2014.8602912224451</v>
      </c>
      <c r="S39" s="665">
        <f>+BS!S35-BS!O35</f>
        <v>25761.86296358968</v>
      </c>
      <c r="T39" s="665">
        <f>+BS!T35-BS!S35</f>
        <v>3683.9973276327655</v>
      </c>
      <c r="U39" s="665">
        <f>+BS!U35-BS!S35</f>
        <v>-6516.0026723672345</v>
      </c>
      <c r="V39" s="665">
        <f>+BS!V35-BS!S35</f>
        <v>-5783.0026723672345</v>
      </c>
      <c r="W39" s="665">
        <f>+BS!W35-BS!S35</f>
        <v>2681.9973276327655</v>
      </c>
      <c r="X39" s="665">
        <f>+BS!X35-BS!W35</f>
        <v>16506</v>
      </c>
      <c r="Y39" s="665">
        <f>+BS!Y35-BS!X35</f>
        <v>-10304</v>
      </c>
      <c r="Z39" s="665">
        <f>+BS!Z35-BS!X35</f>
        <v>2611</v>
      </c>
      <c r="AA39" s="665">
        <f>+BS!AA35-BS!Z35</f>
        <v>-13403</v>
      </c>
      <c r="AB39" s="665">
        <f>+BS!AB35-BS!Z35</f>
        <v>1715</v>
      </c>
      <c r="AC39" s="665">
        <f>+BS!AC35-BS!AB35</f>
        <v>-9178</v>
      </c>
      <c r="AD39" s="665">
        <f>+BS!AD35-BS!AC35</f>
        <v>-9178</v>
      </c>
      <c r="AE39" s="665">
        <f>+BS!AE35-BS!AD35</f>
        <v>-14914</v>
      </c>
      <c r="AF39" s="665">
        <f>+BS!AF35-BS!AE35</f>
        <v>-14914</v>
      </c>
      <c r="AG39" s="665">
        <f>+BS!AG35-BS!AF35</f>
        <v>-14914</v>
      </c>
      <c r="AH39" s="665">
        <f>+BS!AH35-BS!AG35</f>
        <v>-5736</v>
      </c>
      <c r="AI39" s="665">
        <f>+BS!AI35-BS!AH35</f>
        <v>-5736</v>
      </c>
      <c r="AJ39" s="665">
        <f>+BS!AJ35-BS!AI35</f>
        <v>-5736</v>
      </c>
      <c r="AK39" s="665">
        <f>+BS!AK35-BS!AJ35</f>
        <v>-5736</v>
      </c>
      <c r="AL39" s="665">
        <f>+BS!AL35-BS!AK35</f>
        <v>-5941</v>
      </c>
      <c r="AM39" s="749"/>
      <c r="AN39" s="749"/>
      <c r="AO39" s="749"/>
    </row>
    <row r="40" spans="3:41">
      <c r="C40" s="696" t="s">
        <v>386</v>
      </c>
      <c r="D40" s="696"/>
      <c r="E40" s="696"/>
      <c r="F40" s="448">
        <v>0</v>
      </c>
      <c r="G40" s="448">
        <v>0</v>
      </c>
      <c r="H40" s="448">
        <v>0</v>
      </c>
      <c r="I40" s="448">
        <v>0</v>
      </c>
      <c r="J40" s="448">
        <v>0</v>
      </c>
      <c r="K40" s="448">
        <v>0</v>
      </c>
      <c r="L40" s="448">
        <v>0</v>
      </c>
      <c r="M40" s="448">
        <v>0</v>
      </c>
      <c r="N40" s="448">
        <v>0</v>
      </c>
      <c r="O40" s="448">
        <v>0</v>
      </c>
      <c r="P40" s="448">
        <v>0</v>
      </c>
      <c r="Q40" s="448">
        <v>0</v>
      </c>
      <c r="R40" s="448">
        <v>0</v>
      </c>
      <c r="S40" s="448">
        <v>0</v>
      </c>
      <c r="T40" s="448">
        <v>0</v>
      </c>
      <c r="U40" s="448">
        <v>0</v>
      </c>
      <c r="V40" s="448">
        <v>0</v>
      </c>
      <c r="W40" s="448">
        <v>0</v>
      </c>
      <c r="X40" s="448">
        <v>0</v>
      </c>
      <c r="Y40" s="448">
        <v>0</v>
      </c>
      <c r="Z40" s="448">
        <v>0</v>
      </c>
      <c r="AA40" s="448">
        <v>0</v>
      </c>
      <c r="AB40" s="448">
        <v>0</v>
      </c>
      <c r="AC40" s="448">
        <v>0</v>
      </c>
      <c r="AD40" s="448">
        <v>0</v>
      </c>
      <c r="AE40" s="448">
        <v>0</v>
      </c>
      <c r="AF40" s="448">
        <v>0</v>
      </c>
      <c r="AG40" s="448">
        <v>0</v>
      </c>
      <c r="AH40" s="448">
        <v>0</v>
      </c>
      <c r="AI40" s="448">
        <v>0</v>
      </c>
      <c r="AJ40" s="448">
        <v>0</v>
      </c>
      <c r="AK40" s="448">
        <v>0</v>
      </c>
      <c r="AL40" s="448">
        <v>0</v>
      </c>
      <c r="AM40" s="749"/>
      <c r="AN40" s="749"/>
      <c r="AO40" s="749"/>
    </row>
    <row r="41" spans="3:41">
      <c r="C41" s="696" t="s">
        <v>387</v>
      </c>
      <c r="D41" s="696"/>
      <c r="E41" s="696"/>
      <c r="F41" s="665">
        <f>+BS!F45-BS!E45</f>
        <v>817</v>
      </c>
      <c r="G41" s="665">
        <f>+BS!G45-BS!F45</f>
        <v>0</v>
      </c>
      <c r="H41" s="665">
        <f>+BS!H45-BS!G45</f>
        <v>0</v>
      </c>
      <c r="I41" s="665">
        <f>+BS!I45-BS!H45</f>
        <v>0</v>
      </c>
      <c r="J41" s="665">
        <f>+BS!J45-BS!I45</f>
        <v>0</v>
      </c>
      <c r="K41" s="665">
        <f>+BS!K45-BS!J45</f>
        <v>0</v>
      </c>
      <c r="L41" s="665">
        <f>+BS!L45-BS!J45</f>
        <v>0</v>
      </c>
      <c r="M41" s="665">
        <f>+BS!M45-BS!J45</f>
        <v>0</v>
      </c>
      <c r="N41" s="665">
        <f>+BS!N45-BS!L45</f>
        <v>0</v>
      </c>
      <c r="O41" s="665">
        <f>+BS!O45-BS!L45</f>
        <v>0</v>
      </c>
      <c r="P41" s="665">
        <f>+BS!P45-BS!O45</f>
        <v>6986</v>
      </c>
      <c r="Q41" s="665">
        <f>+BS!Q45-BS!O45</f>
        <v>6986</v>
      </c>
      <c r="R41" s="665">
        <f>+BS!R45-BS!O45</f>
        <v>6986</v>
      </c>
      <c r="S41" s="665">
        <f>+BS!S45-BS!O45+BS!S48-BS!O48</f>
        <v>13981.272540795399</v>
      </c>
      <c r="T41" s="665">
        <f>+BS!T45-BS!S45+BS!T48-BS!S48</f>
        <v>-237.27254079539853</v>
      </c>
      <c r="U41" s="665">
        <f>+BS!U45-BS!S45+BS!U48-BS!S48</f>
        <v>-0.27254079539852683</v>
      </c>
      <c r="V41" s="665">
        <f>+BS!V45-BS!S45+BS!V48-BS!S48</f>
        <v>-0.27254079539852683</v>
      </c>
      <c r="W41" s="665">
        <f>+BS!W45-BS!S45+BS!W48-BS!S48</f>
        <v>-414.27254079539853</v>
      </c>
      <c r="X41" s="665">
        <f>+BS!X45-BS!W45+BS!X48-BS!W48</f>
        <v>-198</v>
      </c>
      <c r="Y41" s="665">
        <f>+BS!Y45-BS!X45+BS!Y48-BS!X48</f>
        <v>612</v>
      </c>
      <c r="Z41" s="665">
        <f>+BS!Z45-BS!X45+BS!Z48-BS!X48</f>
        <v>-181</v>
      </c>
      <c r="AA41" s="665">
        <f>+BS!AA45-BS!Z45+BS!AA48-BS!Z48</f>
        <v>793</v>
      </c>
      <c r="AB41" s="665">
        <f>+BS!AB45-BS!Z45</f>
        <v>0</v>
      </c>
      <c r="AC41" s="665">
        <f>+BS!AC45-BS!AB45</f>
        <v>0</v>
      </c>
      <c r="AD41" s="665">
        <f>+BS!AD45-BS!AC45</f>
        <v>0</v>
      </c>
      <c r="AE41" s="665">
        <f>+BS!AE45-BS!AD45</f>
        <v>0</v>
      </c>
      <c r="AF41" s="665">
        <f>+BS!AF45-BS!AE45</f>
        <v>0</v>
      </c>
      <c r="AG41" s="665">
        <f>+BS!AG45-BS!AF45</f>
        <v>0</v>
      </c>
      <c r="AH41" s="665">
        <f>+BS!AH45-BS!AG45</f>
        <v>0</v>
      </c>
      <c r="AI41" s="665">
        <f>+BS!AI45-BS!AH45</f>
        <v>0</v>
      </c>
      <c r="AJ41" s="665">
        <f>+BS!AJ45-BS!AI45</f>
        <v>0</v>
      </c>
      <c r="AK41" s="665">
        <f>+BS!AK45-BS!AJ45</f>
        <v>0</v>
      </c>
      <c r="AL41" s="665">
        <f>+BS!AL45-BS!AK45</f>
        <v>0</v>
      </c>
      <c r="AM41" s="749"/>
      <c r="AN41" s="749"/>
      <c r="AO41" s="749"/>
    </row>
    <row r="42" spans="3:41">
      <c r="C42" s="665" t="s">
        <v>388</v>
      </c>
      <c r="D42" s="696"/>
      <c r="E42" s="696"/>
      <c r="F42" s="665">
        <f>+BS!F50-BS!E50+366-24426</f>
        <v>-899</v>
      </c>
      <c r="G42" s="665">
        <f>+BS!G50-BS!F50+2787+1777</f>
        <v>4564</v>
      </c>
      <c r="H42" s="665">
        <f>+BS!H50-BS!G50+778-1451</f>
        <v>-3649</v>
      </c>
      <c r="I42" s="665">
        <f>+BS!I50-BS!H50-4183</f>
        <v>-4109</v>
      </c>
      <c r="J42" s="665">
        <f>+BS!J50-BS!I50-2647</f>
        <v>-5050</v>
      </c>
      <c r="K42" s="665">
        <f>+BS!K50-BS!J50-426</f>
        <v>1157</v>
      </c>
      <c r="L42" s="665">
        <f>+BS!L50-BS!J50+52</f>
        <v>492</v>
      </c>
      <c r="M42" s="665">
        <f>+BS!M50-BS!J50+779</f>
        <v>1798.7147999999997</v>
      </c>
      <c r="N42" s="665">
        <f>+BS!N50-BS!L50-815+228</f>
        <v>228</v>
      </c>
      <c r="O42" s="665">
        <f>+BS!O50-BS!L50-379</f>
        <v>-3632</v>
      </c>
      <c r="P42" s="665">
        <f>+BS!P50-BS!O50-366</f>
        <v>-3769</v>
      </c>
      <c r="Q42" s="665">
        <f>+BS!Q50-BS!O50-715</f>
        <v>-4385</v>
      </c>
      <c r="R42" s="665">
        <f>+BS!R50-BS!O50-899</f>
        <v>-4302</v>
      </c>
      <c r="S42" s="665">
        <f>+BS!S50-BS!O50-769-2852</f>
        <v>-6571</v>
      </c>
      <c r="T42" s="665">
        <f>+BS!T50-BS!S50+3559</f>
        <v>3897</v>
      </c>
      <c r="U42" s="665">
        <f>+BS!U50-BS!S50</f>
        <v>-221.36000000000058</v>
      </c>
      <c r="V42" s="665">
        <f>+BS!V50-BS!S50</f>
        <v>-221.36000000000058</v>
      </c>
      <c r="W42" s="665">
        <f>+BS!W50-BS!S50+2624+1511</f>
        <v>-975</v>
      </c>
      <c r="X42" s="665">
        <f>+BS!X50-BS!W50-1402-37</f>
        <v>-10150</v>
      </c>
      <c r="Y42" s="665">
        <f>+BS!Y50-BS!X50+1150</f>
        <v>7800</v>
      </c>
      <c r="Z42" s="665">
        <f>+BS!Z50-BS!X50-974</f>
        <v>296</v>
      </c>
      <c r="AA42" s="665">
        <f>+BS!AA50-BS!Z50</f>
        <v>5721</v>
      </c>
      <c r="AB42" s="665">
        <f>+BS!AB50-BS!Z50</f>
        <v>-1359</v>
      </c>
      <c r="AC42" s="665">
        <f>+BS!AC50-BS!AB50</f>
        <v>124.88999999999942</v>
      </c>
      <c r="AD42" s="665">
        <f>+BS!AD50-BS!AC50</f>
        <v>124.26555000000008</v>
      </c>
      <c r="AE42" s="665">
        <f>+BS!AE50-BS!AD50</f>
        <v>123.64422225000089</v>
      </c>
      <c r="AF42" s="665">
        <f>+BS!AF50-BS!AE50</f>
        <v>123.02600113875087</v>
      </c>
      <c r="AG42" s="665">
        <f>+BS!AG50-BS!AF50</f>
        <v>122.41087113305548</v>
      </c>
      <c r="AH42" s="665">
        <f>+BS!AH50-BS!AG50</f>
        <v>121.79881677739104</v>
      </c>
      <c r="AI42" s="665">
        <f>+BS!AI50-BS!AH50</f>
        <v>121.18982269350454</v>
      </c>
      <c r="AJ42" s="665">
        <f>+BS!AJ50-BS!AI50</f>
        <v>120.58387358003529</v>
      </c>
      <c r="AK42" s="665">
        <f>+BS!AK50-BS!AJ50</f>
        <v>119.98095421213657</v>
      </c>
      <c r="AL42" s="665">
        <f>+BS!AL50-BS!AK50</f>
        <v>119.38104944107545</v>
      </c>
      <c r="AM42" s="749"/>
      <c r="AN42" s="749"/>
      <c r="AO42" s="749"/>
    </row>
    <row r="43" spans="3:41">
      <c r="C43" s="696" t="s">
        <v>389</v>
      </c>
      <c r="D43" s="696"/>
      <c r="E43" s="696"/>
      <c r="F43" s="750">
        <v>0</v>
      </c>
      <c r="G43" s="750">
        <v>0</v>
      </c>
      <c r="H43" s="750">
        <v>0</v>
      </c>
      <c r="I43" s="750">
        <v>0</v>
      </c>
      <c r="J43" s="750">
        <f>+BS!J46-BS!I46-BS!I49</f>
        <v>-1399.5810853974835</v>
      </c>
      <c r="K43" s="750">
        <f>+BS!K46-BS!J46-BS!J49</f>
        <v>-1396</v>
      </c>
      <c r="L43" s="750">
        <f>+BS!L46-BS!J46-BS!J49</f>
        <v>-1396</v>
      </c>
      <c r="M43" s="750">
        <f>+BS!M46-BS!J46-BS!J49</f>
        <v>-1396</v>
      </c>
      <c r="N43" s="750">
        <f>+BS!N46-BS!L46-BS!L49</f>
        <v>-367</v>
      </c>
      <c r="O43" s="750">
        <v>0</v>
      </c>
      <c r="P43" s="750">
        <v>0</v>
      </c>
      <c r="Q43" s="750">
        <v>0</v>
      </c>
      <c r="R43" s="750">
        <v>0</v>
      </c>
      <c r="S43" s="750">
        <f>+BS!S47-BS!O47</f>
        <v>-37044.974435906071</v>
      </c>
      <c r="T43" s="750">
        <v>0</v>
      </c>
      <c r="U43" s="750">
        <v>0</v>
      </c>
      <c r="V43" s="750">
        <v>0</v>
      </c>
      <c r="W43" s="750">
        <v>0</v>
      </c>
      <c r="X43" s="750">
        <f>+BS!X47-BS!W47</f>
        <v>0</v>
      </c>
      <c r="Y43" s="750">
        <f>+BS!Y47-BS!X47</f>
        <v>0</v>
      </c>
      <c r="Z43" s="750">
        <f>+BS!Z47-BS!X47</f>
        <v>0</v>
      </c>
      <c r="AA43" s="750">
        <f>+BS!AA47-BS!Z47</f>
        <v>0</v>
      </c>
      <c r="AB43" s="750">
        <f>+BS!AB47-BS!Z438+4</f>
        <v>4</v>
      </c>
      <c r="AC43" s="750">
        <f>+BS!AC47-BS!AB47+226-56</f>
        <v>170</v>
      </c>
      <c r="AD43" s="750">
        <f>+BS!AD47-BS!AC47-582-91</f>
        <v>-673</v>
      </c>
      <c r="AE43" s="750">
        <f>+BS!AE47-BS!AD47-651-131</f>
        <v>-782</v>
      </c>
      <c r="AF43" s="750">
        <f>+BS!AF47-BS!AE47-733-176</f>
        <v>-909</v>
      </c>
      <c r="AG43" s="750">
        <f>+BS!AG47-BS!AF47-826-231</f>
        <v>-1057</v>
      </c>
      <c r="AH43" s="750">
        <f>+BS!AH47-BS!AG47-981-249</f>
        <v>-1230</v>
      </c>
      <c r="AI43" s="750">
        <f>+BS!AI47-BS!AH47-1162-268</f>
        <v>-1430</v>
      </c>
      <c r="AJ43" s="750">
        <f>+BS!AJ47-BS!AI47-1378-286</f>
        <v>-1664</v>
      </c>
      <c r="AK43" s="750">
        <f>+BS!AK47-BS!AJ47-1631-307</f>
        <v>-1938</v>
      </c>
      <c r="AL43" s="750">
        <f>+BS!AL47-BS!AK47-1929-328</f>
        <v>-2257</v>
      </c>
      <c r="AM43" s="749"/>
      <c r="AN43" s="749"/>
      <c r="AO43" s="749"/>
    </row>
    <row r="44" spans="3:41">
      <c r="C44" s="751" t="s">
        <v>390</v>
      </c>
      <c r="D44" s="696"/>
      <c r="E44" s="696"/>
      <c r="F44" s="699">
        <f t="shared" ref="F44:N44" si="4">SUM(F39:F43)</f>
        <v>1932</v>
      </c>
      <c r="G44" s="699">
        <f t="shared" si="4"/>
        <v>2306.2898025081267</v>
      </c>
      <c r="H44" s="699">
        <f t="shared" si="4"/>
        <v>5525.3908333449945</v>
      </c>
      <c r="I44" s="699">
        <f t="shared" si="4"/>
        <v>-5452.2806358531197</v>
      </c>
      <c r="J44" s="699">
        <f t="shared" si="4"/>
        <v>-7624.981085397485</v>
      </c>
      <c r="K44" s="752">
        <f t="shared" si="4"/>
        <v>5073.2827923156656</v>
      </c>
      <c r="L44" s="752">
        <f t="shared" si="4"/>
        <v>4215</v>
      </c>
      <c r="M44" s="752">
        <f t="shared" si="4"/>
        <v>3624.7147999999997</v>
      </c>
      <c r="N44" s="752">
        <f t="shared" si="4"/>
        <v>14023.158153891978</v>
      </c>
      <c r="O44" s="699">
        <f t="shared" ref="O44:AG44" si="5">SUM(O39:O43)</f>
        <v>14717.139708777555</v>
      </c>
      <c r="P44" s="699">
        <f t="shared" si="5"/>
        <v>9779.8602912224451</v>
      </c>
      <c r="Q44" s="699">
        <f t="shared" si="5"/>
        <v>7335.8602912224451</v>
      </c>
      <c r="R44" s="699">
        <f t="shared" si="5"/>
        <v>4698.8602912224451</v>
      </c>
      <c r="S44" s="699">
        <f t="shared" si="5"/>
        <v>-3872.8389315209934</v>
      </c>
      <c r="T44" s="699">
        <f t="shared" si="5"/>
        <v>7343.724786837367</v>
      </c>
      <c r="U44" s="699">
        <f t="shared" si="5"/>
        <v>-6737.6352131626336</v>
      </c>
      <c r="V44" s="699">
        <f t="shared" si="5"/>
        <v>-6004.6352131626336</v>
      </c>
      <c r="W44" s="699">
        <f t="shared" si="5"/>
        <v>1292.724786837367</v>
      </c>
      <c r="X44" s="699">
        <f t="shared" si="5"/>
        <v>6158</v>
      </c>
      <c r="Y44" s="699">
        <f t="shared" si="5"/>
        <v>-1892</v>
      </c>
      <c r="Z44" s="699">
        <f t="shared" si="5"/>
        <v>2726</v>
      </c>
      <c r="AA44" s="699">
        <f t="shared" si="5"/>
        <v>-6889</v>
      </c>
      <c r="AB44" s="699">
        <f t="shared" si="5"/>
        <v>360</v>
      </c>
      <c r="AC44" s="699">
        <f t="shared" si="5"/>
        <v>-8883.11</v>
      </c>
      <c r="AD44" s="699">
        <f t="shared" si="5"/>
        <v>-9726.7344499999999</v>
      </c>
      <c r="AE44" s="699">
        <f t="shared" si="5"/>
        <v>-15572.355777749999</v>
      </c>
      <c r="AF44" s="699">
        <f t="shared" si="5"/>
        <v>-15699.973998861249</v>
      </c>
      <c r="AG44" s="699">
        <f t="shared" si="5"/>
        <v>-15848.589128866945</v>
      </c>
      <c r="AH44" s="699">
        <f>SUM(AH39:AH43)</f>
        <v>-6844.201183222609</v>
      </c>
      <c r="AI44" s="699">
        <f>SUM(AI39:AI43)</f>
        <v>-7044.8101773064955</v>
      </c>
      <c r="AJ44" s="699">
        <f>SUM(AJ39:AJ43)</f>
        <v>-7279.4161264199647</v>
      </c>
      <c r="AK44" s="699">
        <f>SUM(AK39:AK43)</f>
        <v>-7554.0190457878634</v>
      </c>
      <c r="AL44" s="699">
        <f>SUM(AL39:AL43)</f>
        <v>-8078.6189505589246</v>
      </c>
      <c r="AM44" s="749"/>
      <c r="AN44" s="749"/>
      <c r="AO44" s="749"/>
    </row>
    <row r="45" spans="3:41">
      <c r="C45" s="696"/>
      <c r="D45" s="696"/>
      <c r="E45" s="696"/>
      <c r="F45" s="665"/>
      <c r="G45" s="665"/>
      <c r="H45" s="665"/>
      <c r="I45" s="665"/>
      <c r="J45" s="665"/>
      <c r="K45" s="753"/>
      <c r="L45" s="753"/>
      <c r="M45" s="753"/>
      <c r="N45" s="753"/>
      <c r="O45" s="753"/>
      <c r="P45" s="753"/>
      <c r="Q45" s="753"/>
      <c r="R45" s="665"/>
      <c r="S45" s="665"/>
      <c r="T45" s="665"/>
      <c r="U45" s="665"/>
      <c r="V45" s="665"/>
      <c r="W45" s="665"/>
      <c r="X45" s="753"/>
      <c r="Y45" s="665"/>
      <c r="Z45" s="665"/>
      <c r="AA45" s="665"/>
      <c r="AB45" s="665"/>
      <c r="AC45" s="665"/>
      <c r="AD45" s="665"/>
      <c r="AE45" s="665"/>
      <c r="AF45" s="665"/>
      <c r="AG45" s="665"/>
      <c r="AH45" s="665"/>
      <c r="AI45" s="665"/>
      <c r="AJ45" s="665"/>
      <c r="AK45" s="665"/>
      <c r="AL45" s="665"/>
      <c r="AM45" s="749"/>
      <c r="AN45" s="749"/>
      <c r="AO45" s="749"/>
    </row>
    <row r="46" spans="3:41" s="465" customFormat="1">
      <c r="C46" s="751" t="s">
        <v>391</v>
      </c>
      <c r="D46" s="751"/>
      <c r="E46" s="751"/>
      <c r="F46" s="754">
        <f t="shared" ref="F46:AL46" si="6">F14+F27+F35+F44</f>
        <v>-3341.5207367275998</v>
      </c>
      <c r="G46" s="754">
        <f t="shared" si="6"/>
        <v>4231.5990458168844</v>
      </c>
      <c r="H46" s="754">
        <f t="shared" si="6"/>
        <v>18206.451047619641</v>
      </c>
      <c r="I46" s="754">
        <f t="shared" si="6"/>
        <v>5530.0621669944521</v>
      </c>
      <c r="J46" s="754">
        <f t="shared" si="6"/>
        <v>739.56177994710379</v>
      </c>
      <c r="K46" s="755">
        <f t="shared" si="6"/>
        <v>-19839.906508794171</v>
      </c>
      <c r="L46" s="755">
        <f t="shared" si="6"/>
        <v>-11070.336161183655</v>
      </c>
      <c r="M46" s="755">
        <f t="shared" si="6"/>
        <v>-11449.592160657838</v>
      </c>
      <c r="N46" s="755">
        <f t="shared" si="6"/>
        <v>-10815.702064386427</v>
      </c>
      <c r="O46" s="755">
        <f t="shared" si="6"/>
        <v>-1677.0182468384119</v>
      </c>
      <c r="P46" s="755">
        <f t="shared" si="6"/>
        <v>-4230.1517889833067</v>
      </c>
      <c r="Q46" s="755">
        <f t="shared" si="6"/>
        <v>212.56115085929559</v>
      </c>
      <c r="R46" s="754">
        <f t="shared" si="6"/>
        <v>4327.6814386726401</v>
      </c>
      <c r="S46" s="754">
        <f t="shared" si="6"/>
        <v>300.48797679385825</v>
      </c>
      <c r="T46" s="754">
        <f t="shared" si="6"/>
        <v>6193.2575462166296</v>
      </c>
      <c r="U46" s="754">
        <f t="shared" si="6"/>
        <v>697.2599103755856</v>
      </c>
      <c r="V46" s="754">
        <f t="shared" si="6"/>
        <v>-1379.6383768098531</v>
      </c>
      <c r="W46" s="754">
        <f t="shared" si="6"/>
        <v>24329.712380642341</v>
      </c>
      <c r="X46" s="755">
        <f t="shared" si="6"/>
        <v>-3342.5143316506364</v>
      </c>
      <c r="Y46" s="754">
        <f t="shared" si="6"/>
        <v>7128</v>
      </c>
      <c r="Z46" s="754">
        <f t="shared" si="6"/>
        <v>-6031</v>
      </c>
      <c r="AA46" s="754">
        <f t="shared" si="6"/>
        <v>-727</v>
      </c>
      <c r="AB46" s="754">
        <f t="shared" si="6"/>
        <v>3740</v>
      </c>
      <c r="AC46" s="754">
        <f t="shared" si="6"/>
        <v>4943.0066523525329</v>
      </c>
      <c r="AD46" s="754">
        <f t="shared" si="6"/>
        <v>-5873.2329513994091</v>
      </c>
      <c r="AE46" s="754">
        <f t="shared" si="6"/>
        <v>-11724.794098352957</v>
      </c>
      <c r="AF46" s="754">
        <f t="shared" si="6"/>
        <v>-10025.86415407401</v>
      </c>
      <c r="AG46" s="754">
        <f t="shared" si="6"/>
        <v>-8313.4073609715961</v>
      </c>
      <c r="AH46" s="754">
        <f t="shared" si="6"/>
        <v>7754.8543516987411</v>
      </c>
      <c r="AI46" s="754">
        <f t="shared" si="6"/>
        <v>6432.4090507290693</v>
      </c>
      <c r="AJ46" s="754">
        <f t="shared" si="6"/>
        <v>7275.7923509329921</v>
      </c>
      <c r="AK46" s="754">
        <f t="shared" si="6"/>
        <v>8005.216185489302</v>
      </c>
      <c r="AL46" s="754">
        <f t="shared" si="6"/>
        <v>8396.1732405248767</v>
      </c>
      <c r="AM46" s="749"/>
      <c r="AN46" s="749"/>
      <c r="AO46" s="749"/>
    </row>
    <row r="47" spans="3:41" s="465" customFormat="1">
      <c r="C47" s="751"/>
      <c r="D47" s="751"/>
      <c r="E47" s="751"/>
      <c r="F47" s="754"/>
      <c r="G47" s="754"/>
      <c r="H47" s="754"/>
      <c r="I47" s="754"/>
      <c r="J47" s="754"/>
      <c r="K47" s="755"/>
      <c r="L47" s="755"/>
      <c r="M47" s="755"/>
      <c r="N47" s="755"/>
      <c r="O47" s="755"/>
      <c r="P47" s="755"/>
      <c r="Q47" s="755"/>
      <c r="R47" s="754"/>
      <c r="S47" s="754"/>
      <c r="T47" s="754"/>
      <c r="U47" s="754"/>
      <c r="V47" s="754"/>
      <c r="W47" s="754"/>
      <c r="X47" s="755"/>
      <c r="Y47" s="754"/>
      <c r="Z47" s="754"/>
      <c r="AA47" s="754"/>
      <c r="AB47" s="754"/>
      <c r="AC47" s="754"/>
      <c r="AD47" s="754"/>
      <c r="AE47" s="754"/>
      <c r="AF47" s="754"/>
      <c r="AG47" s="754"/>
      <c r="AH47" s="754"/>
      <c r="AI47" s="754"/>
      <c r="AJ47" s="754"/>
      <c r="AK47" s="754"/>
      <c r="AL47" s="754"/>
      <c r="AM47" s="749"/>
      <c r="AN47" s="749"/>
      <c r="AO47" s="749"/>
    </row>
    <row r="48" spans="3:41">
      <c r="C48" s="751" t="s">
        <v>392</v>
      </c>
      <c r="D48" s="696"/>
      <c r="E48" s="696"/>
      <c r="F48" s="665"/>
      <c r="G48" s="665"/>
      <c r="H48" s="665"/>
      <c r="I48" s="665"/>
      <c r="J48" s="665"/>
      <c r="K48" s="665"/>
      <c r="L48" s="665"/>
      <c r="M48" s="665"/>
      <c r="N48" s="665"/>
      <c r="O48" s="665"/>
      <c r="P48" s="665"/>
      <c r="Q48" s="665"/>
      <c r="R48" s="665"/>
      <c r="S48" s="665"/>
      <c r="T48" s="665"/>
      <c r="U48" s="665"/>
      <c r="V48" s="665"/>
      <c r="W48" s="665"/>
      <c r="X48" s="665"/>
      <c r="Y48" s="665"/>
      <c r="Z48" s="665"/>
      <c r="AA48" s="665"/>
      <c r="AB48" s="665"/>
      <c r="AC48" s="665"/>
      <c r="AD48" s="665"/>
      <c r="AE48" s="665"/>
      <c r="AF48" s="665"/>
      <c r="AG48" s="665"/>
      <c r="AH48" s="665"/>
      <c r="AI48" s="665"/>
      <c r="AJ48" s="665"/>
      <c r="AK48" s="665"/>
      <c r="AL48" s="665"/>
      <c r="AM48" s="749"/>
      <c r="AN48" s="749"/>
      <c r="AO48" s="749"/>
    </row>
    <row r="49" spans="3:41">
      <c r="C49" s="696" t="s">
        <v>393</v>
      </c>
      <c r="D49" s="696"/>
      <c r="E49" s="696"/>
      <c r="F49" s="756">
        <f>+BS!E8</f>
        <v>9173.2547617601085</v>
      </c>
      <c r="G49" s="756">
        <f>+BS!F8</f>
        <v>5831.7340250324924</v>
      </c>
      <c r="H49" s="756">
        <f>+BS!G8</f>
        <v>10063.599045816882</v>
      </c>
      <c r="I49" s="756">
        <f>+H50</f>
        <v>28270.050093436523</v>
      </c>
      <c r="J49" s="756">
        <f>+I50</f>
        <v>33800.112260430978</v>
      </c>
      <c r="K49" s="756">
        <f>+J50</f>
        <v>34539.674040378086</v>
      </c>
      <c r="L49" s="756">
        <f>+J50</f>
        <v>34539.674040378086</v>
      </c>
      <c r="M49" s="756">
        <f>+J50</f>
        <v>34539.674040378086</v>
      </c>
      <c r="N49" s="756">
        <f>+L50</f>
        <v>23469.337879194431</v>
      </c>
      <c r="O49" s="756">
        <f>+L50</f>
        <v>23469.337879194431</v>
      </c>
      <c r="P49" s="756">
        <f>+O50</f>
        <v>21792.319632356019</v>
      </c>
      <c r="Q49" s="756">
        <f>+O50</f>
        <v>21792.319632356019</v>
      </c>
      <c r="R49" s="756">
        <f>+O50</f>
        <v>21792.319632356019</v>
      </c>
      <c r="S49" s="756">
        <f>+O50</f>
        <v>21792.319632356019</v>
      </c>
      <c r="T49" s="756">
        <f>+S50</f>
        <v>22092.807609149877</v>
      </c>
      <c r="U49" s="756">
        <f>+S50</f>
        <v>22092.807609149877</v>
      </c>
      <c r="V49" s="756">
        <f>+S50</f>
        <v>22092.807609149877</v>
      </c>
      <c r="W49" s="756">
        <f>+S50</f>
        <v>22092.807609149877</v>
      </c>
      <c r="X49" s="756">
        <f>+W50</f>
        <v>46422.519989792214</v>
      </c>
      <c r="Y49" s="756">
        <f>+X50</f>
        <v>43080.005658141577</v>
      </c>
      <c r="Z49" s="756">
        <f>+X50</f>
        <v>43080.005658141577</v>
      </c>
      <c r="AA49" s="756">
        <f t="shared" ref="AA49:AG49" si="7">+Z50</f>
        <v>37049.005658141577</v>
      </c>
      <c r="AB49" s="756">
        <f>+Z50</f>
        <v>37049.005658141577</v>
      </c>
      <c r="AC49" s="756">
        <f t="shared" si="7"/>
        <v>40789.005658141577</v>
      </c>
      <c r="AD49" s="756">
        <f t="shared" si="7"/>
        <v>45732.012310494109</v>
      </c>
      <c r="AE49" s="756">
        <f t="shared" si="7"/>
        <v>39858.779359094697</v>
      </c>
      <c r="AF49" s="756">
        <f t="shared" si="7"/>
        <v>28133.985260741742</v>
      </c>
      <c r="AG49" s="756">
        <f t="shared" si="7"/>
        <v>18108.121106667732</v>
      </c>
      <c r="AH49" s="756">
        <f>+AG50</f>
        <v>9794.7137456961354</v>
      </c>
      <c r="AI49" s="756">
        <f>+AH50</f>
        <v>17549.568097394877</v>
      </c>
      <c r="AJ49" s="756">
        <f>+AI50</f>
        <v>23981.977148123944</v>
      </c>
      <c r="AK49" s="756">
        <f>+AJ50</f>
        <v>31257.769499056936</v>
      </c>
      <c r="AL49" s="756">
        <f>+AK50</f>
        <v>39262.985684546235</v>
      </c>
      <c r="AM49" s="749"/>
      <c r="AN49" s="749"/>
      <c r="AO49" s="749"/>
    </row>
    <row r="50" spans="3:41" s="465" customFormat="1" ht="13" thickBot="1">
      <c r="C50" s="751" t="s">
        <v>394</v>
      </c>
      <c r="D50" s="751"/>
      <c r="E50" s="751"/>
      <c r="F50" s="757">
        <f t="shared" ref="F50:AG50" si="8">F49+F46</f>
        <v>5831.7340250325087</v>
      </c>
      <c r="G50" s="757">
        <f t="shared" si="8"/>
        <v>10063.333070849378</v>
      </c>
      <c r="H50" s="757">
        <f t="shared" si="8"/>
        <v>28270.050093436523</v>
      </c>
      <c r="I50" s="757">
        <f t="shared" si="8"/>
        <v>33800.112260430978</v>
      </c>
      <c r="J50" s="757">
        <f t="shared" si="8"/>
        <v>34539.674040378086</v>
      </c>
      <c r="K50" s="757">
        <f t="shared" si="8"/>
        <v>14699.767531583915</v>
      </c>
      <c r="L50" s="757">
        <f t="shared" si="8"/>
        <v>23469.337879194431</v>
      </c>
      <c r="M50" s="757">
        <f t="shared" si="8"/>
        <v>23090.081879720248</v>
      </c>
      <c r="N50" s="757">
        <f t="shared" si="8"/>
        <v>12653.635814808003</v>
      </c>
      <c r="O50" s="757">
        <f t="shared" si="8"/>
        <v>21792.319632356019</v>
      </c>
      <c r="P50" s="757">
        <f t="shared" si="8"/>
        <v>17562.167843372714</v>
      </c>
      <c r="Q50" s="757">
        <f t="shared" si="8"/>
        <v>22004.880783215314</v>
      </c>
      <c r="R50" s="757">
        <f t="shared" si="8"/>
        <v>26120.001071028659</v>
      </c>
      <c r="S50" s="757">
        <f t="shared" si="8"/>
        <v>22092.807609149877</v>
      </c>
      <c r="T50" s="757">
        <f t="shared" si="8"/>
        <v>28286.065155366508</v>
      </c>
      <c r="U50" s="757">
        <f t="shared" si="8"/>
        <v>22790.067519525463</v>
      </c>
      <c r="V50" s="757">
        <f t="shared" si="8"/>
        <v>20713.169232340024</v>
      </c>
      <c r="W50" s="757">
        <f t="shared" si="8"/>
        <v>46422.519989792214</v>
      </c>
      <c r="X50" s="757">
        <f t="shared" si="8"/>
        <v>43080.005658141577</v>
      </c>
      <c r="Y50" s="757">
        <f t="shared" si="8"/>
        <v>50208.005658141577</v>
      </c>
      <c r="Z50" s="757">
        <f t="shared" si="8"/>
        <v>37049.005658141577</v>
      </c>
      <c r="AA50" s="757">
        <f t="shared" si="8"/>
        <v>36322.005658141577</v>
      </c>
      <c r="AB50" s="757">
        <f t="shared" si="8"/>
        <v>40789.005658141577</v>
      </c>
      <c r="AC50" s="757">
        <f t="shared" si="8"/>
        <v>45732.012310494109</v>
      </c>
      <c r="AD50" s="757">
        <f t="shared" si="8"/>
        <v>39858.779359094697</v>
      </c>
      <c r="AE50" s="757">
        <f t="shared" si="8"/>
        <v>28133.985260741742</v>
      </c>
      <c r="AF50" s="757">
        <f t="shared" si="8"/>
        <v>18108.121106667732</v>
      </c>
      <c r="AG50" s="757">
        <f t="shared" si="8"/>
        <v>9794.7137456961354</v>
      </c>
      <c r="AH50" s="757">
        <f>AH49+AH46</f>
        <v>17549.568097394877</v>
      </c>
      <c r="AI50" s="757">
        <f>AI49+AI46</f>
        <v>23981.977148123944</v>
      </c>
      <c r="AJ50" s="757">
        <f>AJ49+AJ46</f>
        <v>31257.769499056936</v>
      </c>
      <c r="AK50" s="757">
        <f>AK49+AK46</f>
        <v>39262.985684546235</v>
      </c>
      <c r="AL50" s="757">
        <f>AL49+AL46</f>
        <v>47659.158925071111</v>
      </c>
      <c r="AM50" s="749"/>
      <c r="AN50" s="749"/>
      <c r="AO50" s="749"/>
    </row>
    <row r="51" spans="3:41" ht="13" thickTop="1">
      <c r="C51" s="748"/>
      <c r="D51" s="758" t="str">
        <f>IF(SUM(G51:AA51)&lt;&gt;0,"Difference from Balance Sheet","")</f>
        <v>Difference from Balance Sheet</v>
      </c>
      <c r="E51" s="748"/>
      <c r="F51" s="759">
        <f>IF(F50&lt;&gt;BS!F8,F50-BS!F8,"")</f>
        <v>1.6370904631912708E-11</v>
      </c>
      <c r="G51" s="759">
        <f>IF(G50&lt;&gt;BS!G8,G50-BS!G8,"")</f>
        <v>-0.26597496750400751</v>
      </c>
      <c r="H51" s="759">
        <f>IF(H50&lt;&gt;BS!H8,H50-BS!H8,"")</f>
        <v>-0.38294485587175586</v>
      </c>
      <c r="I51" s="759">
        <f>IF(I50&lt;&gt;BS!I8,I50-BS!I8,"")</f>
        <v>0.27404037809174042</v>
      </c>
      <c r="J51" s="759">
        <f>IF(J50&lt;&gt;BS!J8,J50-BS!J8,"")</f>
        <v>-0.32595962191408034</v>
      </c>
      <c r="K51" s="759">
        <f>IF(K50&lt;&gt;BS!K8,K50-BS!K8,"")</f>
        <v>-0.13322433015855495</v>
      </c>
      <c r="L51" s="759">
        <f>IF(L50&lt;&gt;BS!L8,L50-BS!L8,"")</f>
        <v>-0.32595962191044237</v>
      </c>
      <c r="M51" s="759">
        <f>IF(M50&lt;&gt;BS!M8,M50-BS!M8,"")</f>
        <v>-0.32595962191771832</v>
      </c>
      <c r="N51" s="759">
        <f>IF(N50&lt;&gt;BS!N8,N50-BS!N8,"")</f>
        <v>-0.4031859122478636</v>
      </c>
      <c r="O51" s="759">
        <f>IF(O50&lt;&gt;BS!O8,O50-BS!O8,"")</f>
        <v>-0.32595962190680439</v>
      </c>
      <c r="P51" s="759">
        <f>IF(P50&lt;&gt;BS!P8,P50-BS!P8,"")</f>
        <v>-0.32595962189225247</v>
      </c>
      <c r="Q51" s="759">
        <f>IF(Q50&lt;&gt;BS!Q8,Q50-BS!Q8,"")</f>
        <v>0.21711060914458358</v>
      </c>
      <c r="R51" s="759">
        <f>IF(R50&lt;&gt;BS!R8,R50-BS!R8,"")</f>
        <v>0.21711060918460134</v>
      </c>
      <c r="S51" s="759">
        <f>IF(S50&lt;&gt;BS!S8,S50-BS!S8,"")</f>
        <v>0.39969839517652872</v>
      </c>
      <c r="T51" s="759">
        <f>IF(T50&lt;&gt;BS!T8,T50-BS!T8,"")</f>
        <v>-1510.9348446335207</v>
      </c>
      <c r="U51" s="759">
        <f>IF(U50&lt;&gt;BS!U8,U50-BS!U8,"")</f>
        <v>0.21711060918823932</v>
      </c>
      <c r="V51" s="759">
        <f>IF(V50&lt;&gt;BS!V8,V50-BS!V8,"")</f>
        <v>0.21711060918823932</v>
      </c>
      <c r="W51" s="759">
        <f>IF(W50&lt;&gt;BS!W8,W50-BS!W8,"")</f>
        <v>0.488344867611886</v>
      </c>
      <c r="X51" s="759">
        <f>IF(X50&lt;&gt;BS!X8,X50-BS!X8,"")</f>
        <v>5.658141577441711E-3</v>
      </c>
      <c r="Y51" s="759">
        <f>IF(Y50&lt;&gt;BS!Y8,Y50-BS!Y8,"")</f>
        <v>5.658141577441711E-3</v>
      </c>
      <c r="Z51" s="759">
        <f>IF(Z50&lt;&gt;BS!Z8,Z50-BS!Z8,"")</f>
        <v>5.658141577441711E-3</v>
      </c>
      <c r="AA51" s="759">
        <f>IF(AA50&lt;&gt;BS!AA8,AA50-BS!AA8,"")</f>
        <v>-1376.9943418584226</v>
      </c>
      <c r="AB51" s="759">
        <f>IF(AB50&lt;&gt;BS!AB8,AB50-BS!AB8,"")</f>
        <v>5.658141577441711E-3</v>
      </c>
      <c r="AC51" s="759">
        <f>IF(AC50&lt;&gt;BS!AC8,AC50-BS!AC8,"")</f>
        <v>0.10231366860534763</v>
      </c>
      <c r="AD51" s="759">
        <f>IF(AD50&lt;&gt;BS!AD8,AD50-BS!AD8,"")</f>
        <v>-0.36665702653408516</v>
      </c>
      <c r="AE51" s="759">
        <f>IF(AE50&lt;&gt;BS!AE8,AE50-BS!AE8,"")</f>
        <v>-0.27692506786843296</v>
      </c>
      <c r="AF51" s="759">
        <f>IF(AF50&lt;&gt;BS!AF8,AF50-BS!AF8,"")</f>
        <v>5.6995180839294335E-2</v>
      </c>
      <c r="AG51" s="759">
        <f>IF(AG50&lt;&gt;BS!AG8,AG50-BS!AG8,"")</f>
        <v>0.33821034997527022</v>
      </c>
      <c r="AH51" s="759">
        <f>IF(AH50&lt;&gt;BS!AH8,AH50-BS!AH8,"")</f>
        <v>-0.17148812733648811</v>
      </c>
      <c r="AI51" s="759">
        <f>IF(AI50&lt;&gt;BS!AI8,AI50-BS!AI8,"")</f>
        <v>-9.8439262510510162E-3</v>
      </c>
      <c r="AJ51" s="759">
        <f>IF(AJ50&lt;&gt;BS!AJ8,AJ50-BS!AJ8,"")</f>
        <v>0.24760420808888739</v>
      </c>
      <c r="AK51" s="759">
        <f>IF(AK50&lt;&gt;BS!AK8,AK50-BS!AK8,"")</f>
        <v>-0.10779310378711671</v>
      </c>
      <c r="AL51" s="759">
        <f>IF(AL50&lt;&gt;BS!AL8,AL50-BS!AL8,"")</f>
        <v>0.15729339099198114</v>
      </c>
    </row>
    <row r="52" spans="3:41">
      <c r="C52" s="748"/>
      <c r="D52" s="748"/>
      <c r="E52" s="748"/>
    </row>
    <row r="53" spans="3:41">
      <c r="F53" s="760"/>
    </row>
    <row r="55" spans="3:41">
      <c r="G55" s="760"/>
    </row>
    <row r="56" spans="3:41">
      <c r="G56" s="760"/>
    </row>
    <row r="59" spans="3:41">
      <c r="G59" s="760"/>
    </row>
    <row r="60" spans="3:41">
      <c r="G60" s="760"/>
    </row>
    <row r="62" spans="3:41">
      <c r="G62" s="760"/>
    </row>
  </sheetData>
  <mergeCells count="1">
    <mergeCell ref="AC3:AL3"/>
  </mergeCells>
  <pageMargins left="0.92" right="0.32" top="0.63" bottom="0.52" header="0" footer="0"/>
  <pageSetup scale="89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Resumen</vt:lpstr>
      <vt:lpstr>Operating Assumptions</vt:lpstr>
      <vt:lpstr>Proposed Structure</vt:lpstr>
      <vt:lpstr>Inc St</vt:lpstr>
      <vt:lpstr>BS</vt:lpstr>
      <vt:lpstr>Cash Flow</vt:lpstr>
      <vt:lpstr>BS!Área_de_impresión</vt:lpstr>
      <vt:lpstr>'Cash Flow'!Área_de_impresión</vt:lpstr>
      <vt:lpstr>'Inc St'!Área_de_impresión</vt:lpstr>
      <vt:lpstr>'Proposed Structure'!Área_de_impresión</vt:lpstr>
      <vt:lpstr>'Inc St'!Títulos_a_imprimir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Peredo</dc:creator>
  <cp:lastModifiedBy>Jesús Alberto Rodriguez A.</cp:lastModifiedBy>
  <cp:lastPrinted>2018-07-04T18:08:43Z</cp:lastPrinted>
  <dcterms:created xsi:type="dcterms:W3CDTF">2017-04-21T21:41:07Z</dcterms:created>
  <dcterms:modified xsi:type="dcterms:W3CDTF">2018-09-06T03:23:27Z</dcterms:modified>
</cp:coreProperties>
</file>