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ms.uconn.edu/bbcswebdav/courses/1198-UCONN-OPIM-3104-SEC003-10702/Activities/"/>
    </mc:Choice>
  </mc:AlternateContent>
  <bookViews>
    <workbookView xWindow="0" yWindow="0" windowWidth="10780" windowHeight="3310" tabRatio="684"/>
  </bookViews>
  <sheets>
    <sheet name="EOQ" sheetId="2" r:id="rId1"/>
    <sheet name="SafetyStock" sheetId="3" r:id="rId2"/>
    <sheet name="EOQ (2)" sheetId="7" r:id="rId3"/>
  </sheets>
  <definedNames>
    <definedName name="HTML_CodePage">1252</definedName>
    <definedName name="HTML_Control" localSheetId="2" hidden="1">{"'Builds'!$B$72:$D$199"}</definedName>
    <definedName name="HTML_Control" hidden="1">{"'Builds'!$B$72:$D$199"}</definedName>
    <definedName name="HTML_Description">""</definedName>
    <definedName name="HTML_Email">"hweiss@sbm.temple.edu"</definedName>
    <definedName name="HTML_Header">"Builds"</definedName>
    <definedName name="HTML_LastUpdate">"3/14/2000"</definedName>
    <definedName name="HTML_LineAfter">FALSE</definedName>
    <definedName name="HTML_LineBefore">FALSE</definedName>
    <definedName name="HTML_Name">"Howard Weiss"</definedName>
    <definedName name="HTML_OBDlg2">TRUE</definedName>
    <definedName name="HTML_OBDlg4">TRUE</definedName>
    <definedName name="HTML_OS">0</definedName>
    <definedName name="HTML_PathFile">"n:\upgrades.ph.html"</definedName>
    <definedName name="HTML_Title">"Version2"</definedName>
    <definedName name="_xlnm.Print_Area" localSheetId="0">EOQ!$A$1:$I$29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B16" i="7" s="1"/>
  <c r="B19" i="7" s="1"/>
  <c r="D12" i="3"/>
  <c r="B12" i="3" s="1"/>
  <c r="B11" i="7"/>
  <c r="A2" i="7"/>
  <c r="B30" i="7"/>
  <c r="B8" i="3"/>
  <c r="I8" i="2"/>
  <c r="B22" i="7" l="1"/>
  <c r="B64" i="7" s="1"/>
  <c r="F12" i="3"/>
  <c r="E12" i="3"/>
  <c r="C12" i="3"/>
  <c r="C35" i="7"/>
  <c r="B38" i="7" s="1"/>
  <c r="E35" i="7"/>
  <c r="B63" i="7"/>
  <c r="B25" i="7"/>
  <c r="B28" i="7" s="1"/>
  <c r="B24" i="7" l="1"/>
  <c r="B27" i="7" s="1"/>
  <c r="C64" i="7" s="1"/>
  <c r="B23" i="7"/>
  <c r="C38" i="7"/>
  <c r="B39" i="7"/>
  <c r="D38" i="7"/>
  <c r="B31" i="7"/>
  <c r="E38" i="7" l="1"/>
  <c r="C39" i="7"/>
  <c r="B40" i="7"/>
  <c r="D39" i="7"/>
  <c r="E39" i="7" l="1"/>
  <c r="C40" i="7"/>
  <c r="B41" i="7"/>
  <c r="D40" i="7"/>
  <c r="E40" i="7" l="1"/>
  <c r="C41" i="7"/>
  <c r="B42" i="7"/>
  <c r="D41" i="7"/>
  <c r="E41" i="7" l="1"/>
  <c r="C42" i="7"/>
  <c r="B43" i="7"/>
  <c r="D42" i="7"/>
  <c r="E42" i="7" l="1"/>
  <c r="C43" i="7"/>
  <c r="B44" i="7"/>
  <c r="D43" i="7"/>
  <c r="C44" i="7" l="1"/>
  <c r="B45" i="7"/>
  <c r="D44" i="7"/>
  <c r="E43" i="7"/>
  <c r="C45" i="7" l="1"/>
  <c r="B46" i="7"/>
  <c r="D45" i="7"/>
  <c r="E44" i="7"/>
  <c r="C46" i="7" l="1"/>
  <c r="B47" i="7"/>
  <c r="D46" i="7"/>
  <c r="E45" i="7"/>
  <c r="C47" i="7" l="1"/>
  <c r="B48" i="7"/>
  <c r="D47" i="7"/>
  <c r="E46" i="7"/>
  <c r="C48" i="7" l="1"/>
  <c r="B49" i="7"/>
  <c r="D48" i="7"/>
  <c r="E47" i="7"/>
  <c r="E48" i="7" l="1"/>
  <c r="C49" i="7"/>
  <c r="B50" i="7"/>
  <c r="D49" i="7"/>
  <c r="C50" i="7" l="1"/>
  <c r="B51" i="7"/>
  <c r="D50" i="7"/>
  <c r="E49" i="7"/>
  <c r="C51" i="7" l="1"/>
  <c r="B52" i="7"/>
  <c r="D51" i="7"/>
  <c r="E50" i="7"/>
  <c r="C52" i="7" l="1"/>
  <c r="B53" i="7"/>
  <c r="D52" i="7"/>
  <c r="E51" i="7"/>
  <c r="C53" i="7" l="1"/>
  <c r="B54" i="7"/>
  <c r="D53" i="7"/>
  <c r="E52" i="7"/>
  <c r="E53" i="7" l="1"/>
  <c r="C54" i="7"/>
  <c r="B55" i="7"/>
  <c r="D54" i="7"/>
  <c r="E54" i="7" l="1"/>
  <c r="C55" i="7"/>
  <c r="B56" i="7"/>
  <c r="D55" i="7"/>
  <c r="E55" i="7" l="1"/>
  <c r="C56" i="7"/>
  <c r="B57" i="7"/>
  <c r="D56" i="7"/>
  <c r="E56" i="7" l="1"/>
  <c r="C57" i="7"/>
  <c r="B58" i="7"/>
  <c r="D57" i="7"/>
  <c r="E57" i="7" l="1"/>
  <c r="C58" i="7"/>
  <c r="B59" i="7"/>
  <c r="D58" i="7"/>
  <c r="E58" i="7" l="1"/>
  <c r="C59" i="7"/>
  <c r="B60" i="7"/>
  <c r="D59" i="7"/>
  <c r="E59" i="7" l="1"/>
  <c r="C60" i="7"/>
  <c r="B61" i="7"/>
  <c r="D60" i="7"/>
  <c r="E60" i="7" l="1"/>
  <c r="C61" i="7"/>
  <c r="D61" i="7"/>
  <c r="E61" i="7" l="1"/>
  <c r="B6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F11" i="2"/>
  <c r="B15" i="2" s="1"/>
  <c r="B8" i="2" l="1"/>
  <c r="F7" i="2" l="1"/>
  <c r="B6" i="3" l="1"/>
  <c r="H12" i="3"/>
  <c r="A17" i="3"/>
  <c r="A16" i="3"/>
  <c r="A15" i="3"/>
  <c r="A14" i="3"/>
  <c r="A13" i="3"/>
  <c r="F8" i="2"/>
  <c r="F9" i="2" s="1"/>
  <c r="B13" i="2" l="1"/>
  <c r="B16" i="2" s="1"/>
  <c r="B5" i="3" s="1"/>
  <c r="C14" i="3" s="1"/>
  <c r="B19" i="2"/>
  <c r="B27" i="2"/>
  <c r="C36" i="2" l="1"/>
  <c r="B39" i="2" s="1"/>
  <c r="B65" i="2"/>
  <c r="E36" i="2"/>
  <c r="B64" i="2"/>
  <c r="C19" i="2"/>
  <c r="E17" i="3"/>
  <c r="C17" i="3"/>
  <c r="F16" i="3"/>
  <c r="E14" i="3"/>
  <c r="B14" i="3"/>
  <c r="D17" i="3"/>
  <c r="E16" i="3"/>
  <c r="F14" i="3"/>
  <c r="F15" i="3"/>
  <c r="D13" i="3"/>
  <c r="F17" i="3"/>
  <c r="D16" i="3"/>
  <c r="B13" i="3"/>
  <c r="C15" i="3"/>
  <c r="E13" i="3"/>
  <c r="B16" i="3"/>
  <c r="E15" i="3"/>
  <c r="C13" i="3"/>
  <c r="D15" i="3"/>
  <c r="F13" i="3"/>
  <c r="B15" i="3"/>
  <c r="D14" i="3"/>
  <c r="B17" i="3"/>
  <c r="C16" i="3"/>
  <c r="B21" i="2"/>
  <c r="B24" i="2" s="1"/>
  <c r="B22" i="2"/>
  <c r="B25" i="2" s="1"/>
  <c r="B20" i="2"/>
  <c r="C65" i="2" l="1"/>
  <c r="D39" i="2"/>
  <c r="B40" i="2"/>
  <c r="C39" i="2"/>
  <c r="J16" i="3"/>
  <c r="H14" i="3"/>
  <c r="E21" i="3"/>
  <c r="I16" i="3"/>
  <c r="I14" i="3"/>
  <c r="J14" i="3"/>
  <c r="F21" i="3"/>
  <c r="D21" i="3"/>
  <c r="B21" i="3"/>
  <c r="C21" i="3"/>
  <c r="H15" i="3"/>
  <c r="I15" i="3"/>
  <c r="J15" i="3"/>
  <c r="J13" i="3"/>
  <c r="H16" i="3"/>
  <c r="H13" i="3"/>
  <c r="H17" i="3"/>
  <c r="I13" i="3"/>
  <c r="J17" i="3"/>
  <c r="I17" i="3"/>
  <c r="B28" i="2"/>
  <c r="E39" i="2" l="1"/>
  <c r="D40" i="2"/>
  <c r="B41" i="2"/>
  <c r="C40" i="2"/>
  <c r="H21" i="3"/>
  <c r="J18" i="3"/>
  <c r="I18" i="3"/>
  <c r="H18" i="3"/>
  <c r="H22" i="3" s="1"/>
  <c r="E40" i="2" l="1"/>
  <c r="D41" i="2"/>
  <c r="B42" i="2"/>
  <c r="C41" i="2"/>
  <c r="H23" i="3"/>
  <c r="E41" i="2" l="1"/>
  <c r="D42" i="2"/>
  <c r="B43" i="2"/>
  <c r="C42" i="2"/>
  <c r="E42" i="2" l="1"/>
  <c r="D43" i="2"/>
  <c r="B44" i="2"/>
  <c r="C43" i="2"/>
  <c r="E43" i="2" l="1"/>
  <c r="D44" i="2"/>
  <c r="B45" i="2"/>
  <c r="C44" i="2"/>
  <c r="E44" i="2" l="1"/>
  <c r="D45" i="2"/>
  <c r="B46" i="2"/>
  <c r="C45" i="2"/>
  <c r="E45" i="2" l="1"/>
  <c r="D46" i="2"/>
  <c r="B47" i="2"/>
  <c r="C46" i="2"/>
  <c r="E46" i="2" l="1"/>
  <c r="D47" i="2"/>
  <c r="B48" i="2"/>
  <c r="C47" i="2"/>
  <c r="E47" i="2" l="1"/>
  <c r="D48" i="2"/>
  <c r="B49" i="2"/>
  <c r="C48" i="2"/>
  <c r="E48" i="2" l="1"/>
  <c r="D49" i="2"/>
  <c r="B50" i="2"/>
  <c r="C49" i="2"/>
  <c r="E49" i="2" l="1"/>
  <c r="D50" i="2"/>
  <c r="B51" i="2"/>
  <c r="C50" i="2"/>
  <c r="E50" i="2" l="1"/>
  <c r="B52" i="2"/>
  <c r="D51" i="2"/>
  <c r="C51" i="2"/>
  <c r="E51" i="2" l="1"/>
  <c r="B53" i="2"/>
  <c r="D52" i="2"/>
  <c r="C52" i="2"/>
  <c r="E52" i="2" l="1"/>
  <c r="B54" i="2"/>
  <c r="D53" i="2"/>
  <c r="C53" i="2"/>
  <c r="E53" i="2" l="1"/>
  <c r="D54" i="2"/>
  <c r="B55" i="2"/>
  <c r="C54" i="2"/>
  <c r="E54" i="2" l="1"/>
  <c r="D55" i="2"/>
  <c r="B56" i="2"/>
  <c r="C55" i="2"/>
  <c r="E55" i="2" l="1"/>
  <c r="D56" i="2"/>
  <c r="B57" i="2"/>
  <c r="C56" i="2"/>
  <c r="E56" i="2" l="1"/>
  <c r="D57" i="2"/>
  <c r="B58" i="2"/>
  <c r="C57" i="2"/>
  <c r="E57" i="2" l="1"/>
  <c r="C58" i="2"/>
  <c r="D58" i="2"/>
  <c r="B59" i="2"/>
  <c r="D59" i="2" l="1"/>
  <c r="B60" i="2"/>
  <c r="C59" i="2"/>
  <c r="E58" i="2"/>
  <c r="E59" i="2" l="1"/>
  <c r="C60" i="2"/>
  <c r="D60" i="2"/>
  <c r="B61" i="2"/>
  <c r="B62" i="2" l="1"/>
  <c r="C61" i="2"/>
  <c r="D61" i="2"/>
  <c r="E60" i="2"/>
  <c r="E61" i="2" l="1"/>
  <c r="C62" i="2"/>
  <c r="D62" i="2"/>
  <c r="E62" i="2" l="1"/>
</calcChain>
</file>

<file path=xl/comments1.xml><?xml version="1.0" encoding="utf-8"?>
<comments xmlns="http://schemas.openxmlformats.org/spreadsheetml/2006/main">
  <authors>
    <author>Craig Calvert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Created by Excel OM/QM version 5.3.128</t>
        </r>
      </text>
    </comment>
    <comment ref="A4" authorId="0" shapeId="0">
      <text>
        <r>
          <rPr>
            <sz val="9"/>
            <color indexed="81"/>
            <rFont val="Tahoma"/>
            <family val="2"/>
          </rPr>
          <t>Inventory/Safety Stock Calculation (Discrete): Submodel =  8; Problem size @  5 by 0</t>
        </r>
      </text>
    </comment>
  </commentList>
</comments>
</file>

<file path=xl/comments2.xml><?xml version="1.0" encoding="utf-8"?>
<comments xmlns="http://schemas.openxmlformats.org/spreadsheetml/2006/main">
  <authors>
    <author>Craig Calvert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Created by Excel OM/QM version 5.3.141</t>
        </r>
      </text>
    </comment>
  </commentList>
</comments>
</file>

<file path=xl/sharedStrings.xml><?xml version="1.0" encoding="utf-8"?>
<sst xmlns="http://schemas.openxmlformats.org/spreadsheetml/2006/main" count="95" uniqueCount="61">
  <si>
    <t>Inventory</t>
  </si>
  <si>
    <t>Economic Order Quantity Model</t>
  </si>
  <si>
    <t>Order Quantity Data</t>
  </si>
  <si>
    <t>Annual Demand Rate, D</t>
  </si>
  <si>
    <t>Setup/Ordering Cost, S</t>
  </si>
  <si>
    <t>Holding/Carrying Cost per Unit per Year, H</t>
  </si>
  <si>
    <t>(fixed amount)</t>
  </si>
  <si>
    <t>Unit price, P</t>
  </si>
  <si>
    <t>Reorder Point Data (optional)</t>
  </si>
  <si>
    <t>Days per year or ...</t>
  </si>
  <si>
    <t>...Daily demand rate, d</t>
  </si>
  <si>
    <t>Lead time in days, L</t>
  </si>
  <si>
    <t>Safety stock, ss</t>
  </si>
  <si>
    <t>Reorder Point, dL+ss</t>
  </si>
  <si>
    <t>Results</t>
  </si>
  <si>
    <t>Optimum Order Quantity, Q* (EOQ)</t>
  </si>
  <si>
    <t>Maximum Inventory, Q*</t>
  </si>
  <si>
    <t>Average Inventory, Q*/2</t>
  </si>
  <si>
    <t>Number of Orders, D/Q*</t>
  </si>
  <si>
    <t>Annual Holding Cost, HQ*/2</t>
  </si>
  <si>
    <t>Annual Order Cost, DS/Q*</t>
  </si>
  <si>
    <t>Annual Unit Costs, PD</t>
  </si>
  <si>
    <r>
      <t>Total Annual Cost, T</t>
    </r>
    <r>
      <rPr>
        <b/>
        <vertAlign val="subscript"/>
        <sz val="11"/>
        <color indexed="63"/>
        <rFont val="Calibri"/>
        <family val="2"/>
      </rPr>
      <t>c</t>
    </r>
  </si>
  <si>
    <t>Cost Table (Sensitivity)</t>
  </si>
  <si>
    <t>Start graph at</t>
  </si>
  <si>
    <t>Increment by</t>
  </si>
  <si>
    <t>Order Quantity, Q</t>
  </si>
  <si>
    <t>Setup/Order cost</t>
  </si>
  <si>
    <t>Holding cost</t>
  </si>
  <si>
    <t>Total cost</t>
  </si>
  <si>
    <t>Profit</t>
  </si>
  <si>
    <t>Profit/unit</t>
  </si>
  <si>
    <t>Daily Demand</t>
  </si>
  <si>
    <t>Inventory/Safety Stock Calculation (Discrete)</t>
  </si>
  <si>
    <t>Data</t>
  </si>
  <si>
    <t>Reorder point</t>
  </si>
  <si>
    <t>Annual carrying cost</t>
  </si>
  <si>
    <t>Stockout cost</t>
  </si>
  <si>
    <t>Orders per year</t>
  </si>
  <si>
    <t>Profit Table</t>
  </si>
  <si>
    <t>Probability</t>
  </si>
  <si>
    <t>Safety stock\Demand</t>
  </si>
  <si>
    <t>EMV</t>
  </si>
  <si>
    <t>Minimum</t>
  </si>
  <si>
    <t>Maximum</t>
  </si>
  <si>
    <t>Expected Value of Perfect Information</t>
  </si>
  <si>
    <t>Column best</t>
  </si>
  <si>
    <t>&lt;-Expected value under certainty</t>
  </si>
  <si>
    <t>&lt;-Best expected value</t>
  </si>
  <si>
    <t>&lt;-Expected value of perfect information</t>
  </si>
  <si>
    <t>Actual</t>
  </si>
  <si>
    <t>-</t>
  </si>
  <si>
    <t>Selling Price</t>
  </si>
  <si>
    <t>Safety Stock (estimated)</t>
  </si>
  <si>
    <t>Annual Demand</t>
  </si>
  <si>
    <t>Inventory Forecast</t>
  </si>
  <si>
    <t>Initial Forecasting</t>
  </si>
  <si>
    <t>3 Mov Avg</t>
  </si>
  <si>
    <t>&lt;--Round to next 50</t>
  </si>
  <si>
    <r>
      <t>Total Annual Cost, T</t>
    </r>
    <r>
      <rPr>
        <b/>
        <vertAlign val="subscript"/>
        <sz val="12"/>
        <color indexed="63"/>
        <rFont val="Calibri"/>
        <family val="2"/>
      </rPr>
      <t>c</t>
    </r>
  </si>
  <si>
    <t>units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</si>
</sst>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m/d/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b/>
      <sz val="15"/>
      <color rgb="FF1F497D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indexed="63"/>
      <name val="Calibri"/>
      <family val="2"/>
    </font>
    <font>
      <sz val="9"/>
      <color indexed="81"/>
      <name val="Tahoma"/>
      <family val="2"/>
    </font>
    <font>
      <b/>
      <sz val="11"/>
      <color rgb="FF1F497D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1F497D"/>
      <name val="Calibri"/>
      <family val="2"/>
      <scheme val="minor"/>
    </font>
    <font>
      <sz val="12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color indexed="63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1" applyFont="1"/>
    <xf numFmtId="0" fontId="6" fillId="0" borderId="0" xfId="1" applyFont="1"/>
    <xf numFmtId="0" fontId="7" fillId="0" borderId="0" xfId="1" applyFont="1"/>
    <xf numFmtId="0" fontId="2" fillId="3" borderId="8" xfId="1" applyFont="1" applyFill="1" applyBorder="1"/>
    <xf numFmtId="0" fontId="2" fillId="0" borderId="0" xfId="1" applyFont="1" applyFill="1" applyBorder="1"/>
    <xf numFmtId="0" fontId="2" fillId="0" borderId="0" xfId="1" applyFont="1"/>
    <xf numFmtId="0" fontId="9" fillId="3" borderId="9" xfId="1" applyFont="1" applyFill="1" applyBorder="1"/>
    <xf numFmtId="0" fontId="2" fillId="3" borderId="10" xfId="1" applyFont="1" applyFill="1" applyBorder="1"/>
    <xf numFmtId="9" fontId="1" fillId="0" borderId="0" xfId="3" applyFont="1"/>
    <xf numFmtId="0" fontId="12" fillId="0" borderId="0" xfId="1" applyFont="1"/>
    <xf numFmtId="0" fontId="13" fillId="0" borderId="0" xfId="1" applyFont="1"/>
    <xf numFmtId="0" fontId="13" fillId="0" borderId="1" xfId="1" applyFont="1" applyBorder="1"/>
    <xf numFmtId="0" fontId="13" fillId="0" borderId="3" xfId="1" applyFont="1" applyBorder="1"/>
    <xf numFmtId="0" fontId="13" fillId="0" borderId="5" xfId="1" applyFont="1" applyBorder="1"/>
    <xf numFmtId="0" fontId="13" fillId="0" borderId="7" xfId="1" applyFont="1" applyBorder="1"/>
    <xf numFmtId="0" fontId="4" fillId="0" borderId="0" xfId="0" applyFont="1"/>
    <xf numFmtId="0" fontId="6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1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3" fillId="6" borderId="0" xfId="1" applyFont="1" applyFill="1" applyAlignment="1">
      <alignment horizontal="center"/>
    </xf>
    <xf numFmtId="0" fontId="13" fillId="5" borderId="0" xfId="1" applyFont="1" applyFill="1" applyAlignment="1">
      <alignment horizontal="center"/>
    </xf>
    <xf numFmtId="0" fontId="12" fillId="0" borderId="0" xfId="1" applyFont="1" applyAlignment="1">
      <alignment horizontal="right"/>
    </xf>
    <xf numFmtId="0" fontId="21" fillId="0" borderId="0" xfId="1" applyFont="1"/>
    <xf numFmtId="0" fontId="21" fillId="0" borderId="0" xfId="1" applyFont="1" applyAlignment="1">
      <alignment horizontal="right"/>
    </xf>
    <xf numFmtId="0" fontId="21" fillId="0" borderId="0" xfId="1" applyFont="1" applyAlignment="1">
      <alignment horizontal="center"/>
    </xf>
    <xf numFmtId="1" fontId="21" fillId="0" borderId="0" xfId="1" applyNumberFormat="1" applyFont="1" applyAlignment="1">
      <alignment horizontal="center"/>
    </xf>
    <xf numFmtId="0" fontId="20" fillId="0" borderId="0" xfId="1" applyFont="1" applyFill="1" applyBorder="1"/>
    <xf numFmtId="0" fontId="22" fillId="0" borderId="0" xfId="1" applyFont="1" applyFill="1" applyAlignment="1">
      <alignment horizontal="center"/>
    </xf>
    <xf numFmtId="0" fontId="21" fillId="0" borderId="0" xfId="1" applyFont="1" applyFill="1"/>
    <xf numFmtId="0" fontId="21" fillId="0" borderId="0" xfId="1" applyFont="1" applyFill="1" applyBorder="1"/>
    <xf numFmtId="0" fontId="22" fillId="0" borderId="0" xfId="1" applyFont="1" applyFill="1" applyAlignment="1">
      <alignment horizontal="center" wrapText="1"/>
    </xf>
    <xf numFmtId="2" fontId="21" fillId="0" borderId="0" xfId="1" applyNumberFormat="1" applyFont="1" applyFill="1"/>
    <xf numFmtId="1" fontId="13" fillId="5" borderId="27" xfId="1" applyNumberFormat="1" applyFont="1" applyFill="1" applyBorder="1" applyAlignment="1">
      <alignment horizontal="center"/>
    </xf>
    <xf numFmtId="1" fontId="13" fillId="0" borderId="28" xfId="1" applyNumberFormat="1" applyFont="1" applyBorder="1" applyAlignment="1">
      <alignment horizontal="center"/>
    </xf>
    <xf numFmtId="1" fontId="13" fillId="0" borderId="27" xfId="1" applyNumberFormat="1" applyFont="1" applyBorder="1" applyAlignment="1">
      <alignment horizontal="center"/>
    </xf>
    <xf numFmtId="0" fontId="13" fillId="0" borderId="27" xfId="1" applyFont="1" applyBorder="1" applyAlignment="1">
      <alignment horizontal="right"/>
    </xf>
    <xf numFmtId="164" fontId="13" fillId="5" borderId="28" xfId="1" applyNumberFormat="1" applyFont="1" applyFill="1" applyBorder="1" applyAlignment="1">
      <alignment horizontal="center"/>
    </xf>
    <xf numFmtId="6" fontId="13" fillId="0" borderId="28" xfId="1" applyNumberFormat="1" applyFont="1" applyBorder="1" applyAlignment="1">
      <alignment horizontal="center"/>
    </xf>
    <xf numFmtId="3" fontId="13" fillId="0" borderId="28" xfId="1" applyNumberFormat="1" applyFont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0" fontId="13" fillId="2" borderId="4" xfId="1" applyFont="1" applyFill="1" applyBorder="1" applyAlignment="1">
      <alignment horizontal="center"/>
    </xf>
    <xf numFmtId="8" fontId="1" fillId="0" borderId="4" xfId="2" applyNumberFormat="1" applyFont="1" applyFill="1" applyBorder="1" applyAlignment="1">
      <alignment horizontal="center"/>
    </xf>
    <xf numFmtId="0" fontId="13" fillId="2" borderId="6" xfId="1" applyFont="1" applyFill="1" applyBorder="1" applyAlignment="1">
      <alignment horizontal="center"/>
    </xf>
    <xf numFmtId="0" fontId="13" fillId="2" borderId="2" xfId="1" applyFont="1" applyFill="1" applyBorder="1" applyAlignment="1">
      <alignment horizontal="center"/>
    </xf>
    <xf numFmtId="0" fontId="13" fillId="0" borderId="4" xfId="1" applyFont="1" applyFill="1" applyBorder="1" applyAlignment="1" applyProtection="1">
      <alignment horizontal="center"/>
      <protection locked="0"/>
    </xf>
    <xf numFmtId="1" fontId="13" fillId="0" borderId="6" xfId="1" applyNumberFormat="1" applyFont="1" applyFill="1" applyBorder="1" applyAlignment="1">
      <alignment horizontal="center"/>
    </xf>
    <xf numFmtId="1" fontId="2" fillId="3" borderId="6" xfId="2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5" fontId="2" fillId="3" borderId="4" xfId="1" applyNumberFormat="1" applyFont="1" applyFill="1" applyBorder="1" applyAlignment="1">
      <alignment horizontal="center"/>
    </xf>
    <xf numFmtId="5" fontId="2" fillId="3" borderId="6" xfId="1" applyNumberFormat="1" applyFont="1" applyFill="1" applyBorder="1" applyAlignment="1">
      <alignment horizontal="center"/>
    </xf>
    <xf numFmtId="0" fontId="13" fillId="0" borderId="29" xfId="1" applyFont="1" applyBorder="1" applyAlignment="1">
      <alignment horizontal="right"/>
    </xf>
    <xf numFmtId="6" fontId="13" fillId="5" borderId="30" xfId="1" applyNumberFormat="1" applyFont="1" applyFill="1" applyBorder="1" applyAlignment="1">
      <alignment horizontal="center"/>
    </xf>
    <xf numFmtId="0" fontId="14" fillId="0" borderId="31" xfId="1" applyFont="1" applyBorder="1" applyAlignment="1">
      <alignment horizontal="center"/>
    </xf>
    <xf numFmtId="0" fontId="14" fillId="0" borderId="32" xfId="1" applyFont="1" applyBorder="1" applyAlignment="1">
      <alignment horizontal="center"/>
    </xf>
    <xf numFmtId="1" fontId="13" fillId="5" borderId="29" xfId="1" applyNumberFormat="1" applyFont="1" applyFill="1" applyBorder="1" applyAlignment="1">
      <alignment horizontal="center"/>
    </xf>
    <xf numFmtId="1" fontId="13" fillId="0" borderId="30" xfId="1" applyNumberFormat="1" applyFont="1" applyBorder="1" applyAlignment="1">
      <alignment horizontal="center"/>
    </xf>
    <xf numFmtId="1" fontId="14" fillId="0" borderId="33" xfId="1" applyNumberFormat="1" applyFont="1" applyBorder="1" applyAlignment="1">
      <alignment horizontal="center"/>
    </xf>
    <xf numFmtId="1" fontId="14" fillId="0" borderId="34" xfId="1" applyNumberFormat="1" applyFont="1" applyBorder="1" applyAlignment="1">
      <alignment horizontal="center"/>
    </xf>
    <xf numFmtId="0" fontId="14" fillId="0" borderId="35" xfId="1" applyFont="1" applyBorder="1" applyAlignment="1">
      <alignment horizontal="center"/>
    </xf>
    <xf numFmtId="0" fontId="14" fillId="0" borderId="36" xfId="1" applyFont="1" applyBorder="1" applyAlignment="1">
      <alignment horizontal="center"/>
    </xf>
    <xf numFmtId="0" fontId="13" fillId="0" borderId="0" xfId="1" applyFont="1" applyAlignment="1">
      <alignment horizontal="left"/>
    </xf>
    <xf numFmtId="1" fontId="13" fillId="0" borderId="2" xfId="1" applyNumberFormat="1" applyFont="1" applyFill="1" applyBorder="1" applyAlignment="1">
      <alignment horizontal="center"/>
    </xf>
    <xf numFmtId="0" fontId="23" fillId="0" borderId="0" xfId="1" applyFont="1"/>
    <xf numFmtId="0" fontId="24" fillId="0" borderId="0" xfId="1" applyFont="1"/>
    <xf numFmtId="0" fontId="17" fillId="0" borderId="0" xfId="1" applyFont="1"/>
    <xf numFmtId="0" fontId="18" fillId="0" borderId="0" xfId="1" applyFont="1"/>
    <xf numFmtId="0" fontId="24" fillId="0" borderId="1" xfId="1" applyFont="1" applyBorder="1"/>
    <xf numFmtId="0" fontId="24" fillId="0" borderId="3" xfId="1" applyFont="1" applyBorder="1"/>
    <xf numFmtId="9" fontId="16" fillId="0" borderId="0" xfId="3" applyFont="1"/>
    <xf numFmtId="0" fontId="24" fillId="0" borderId="5" xfId="1" applyFont="1" applyBorder="1"/>
    <xf numFmtId="0" fontId="24" fillId="0" borderId="7" xfId="1" applyFont="1" applyBorder="1"/>
    <xf numFmtId="0" fontId="19" fillId="3" borderId="8" xfId="1" applyFont="1" applyFill="1" applyBorder="1"/>
    <xf numFmtId="0" fontId="19" fillId="0" borderId="0" xfId="1" applyFont="1" applyFill="1" applyBorder="1"/>
    <xf numFmtId="0" fontId="19" fillId="0" borderId="0" xfId="1" applyFont="1"/>
    <xf numFmtId="0" fontId="26" fillId="3" borderId="9" xfId="1" applyFont="1" applyFill="1" applyBorder="1"/>
    <xf numFmtId="0" fontId="19" fillId="3" borderId="10" xfId="1" applyFont="1" applyFill="1" applyBorder="1"/>
    <xf numFmtId="0" fontId="28" fillId="0" borderId="0" xfId="1" applyFont="1" applyAlignment="1">
      <alignment horizontal="center"/>
    </xf>
    <xf numFmtId="0" fontId="24" fillId="2" borderId="11" xfId="1" applyFont="1" applyFill="1" applyBorder="1"/>
    <xf numFmtId="0" fontId="28" fillId="0" borderId="0" xfId="1" applyFont="1" applyAlignment="1">
      <alignment horizontal="center" wrapText="1"/>
    </xf>
    <xf numFmtId="2" fontId="24" fillId="0" borderId="0" xfId="1" applyNumberFormat="1" applyFont="1"/>
    <xf numFmtId="166" fontId="29" fillId="0" borderId="0" xfId="1" applyNumberFormat="1" applyFont="1"/>
    <xf numFmtId="0" fontId="29" fillId="0" borderId="0" xfId="1" applyFont="1"/>
    <xf numFmtId="165" fontId="2" fillId="3" borderId="2" xfId="1" applyNumberFormat="1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2" fillId="3" borderId="37" xfId="0" applyFont="1" applyFill="1" applyBorder="1"/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1" xfId="0" applyFont="1" applyFill="1" applyBorder="1"/>
    <xf numFmtId="0" fontId="2" fillId="3" borderId="42" xfId="0" applyFont="1" applyFill="1" applyBorder="1"/>
    <xf numFmtId="0" fontId="2" fillId="3" borderId="43" xfId="0" applyFont="1" applyFill="1" applyBorder="1"/>
    <xf numFmtId="0" fontId="2" fillId="3" borderId="44" xfId="0" applyFont="1" applyFill="1" applyBorder="1"/>
    <xf numFmtId="0" fontId="2" fillId="3" borderId="45" xfId="0" applyFont="1" applyFill="1" applyBorder="1"/>
    <xf numFmtId="1" fontId="0" fillId="0" borderId="11" xfId="0" applyNumberFormat="1" applyFont="1" applyFill="1" applyBorder="1" applyAlignment="1">
      <alignment horizontal="center"/>
    </xf>
    <xf numFmtId="6" fontId="0" fillId="0" borderId="11" xfId="0" applyNumberFormat="1" applyFont="1" applyFill="1" applyBorder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1" fontId="15" fillId="3" borderId="10" xfId="0" applyNumberFormat="1" applyFont="1" applyFill="1" applyBorder="1" applyAlignment="1">
      <alignment horizontal="center"/>
    </xf>
    <xf numFmtId="1" fontId="15" fillId="3" borderId="11" xfId="0" applyNumberFormat="1" applyFont="1" applyFill="1" applyBorder="1" applyAlignment="1">
      <alignment horizontal="center"/>
    </xf>
    <xf numFmtId="1" fontId="15" fillId="3" borderId="4" xfId="0" applyNumberFormat="1" applyFont="1" applyFill="1" applyBorder="1" applyAlignment="1">
      <alignment horizontal="center"/>
    </xf>
    <xf numFmtId="1" fontId="15" fillId="3" borderId="23" xfId="0" applyNumberFormat="1" applyFont="1" applyFill="1" applyBorder="1" applyAlignment="1">
      <alignment horizontal="center"/>
    </xf>
    <xf numFmtId="1" fontId="15" fillId="3" borderId="12" xfId="0" applyNumberFormat="1" applyFont="1" applyFill="1" applyBorder="1" applyAlignment="1">
      <alignment horizontal="center"/>
    </xf>
    <xf numFmtId="1" fontId="15" fillId="3" borderId="24" xfId="0" applyNumberFormat="1" applyFont="1" applyFill="1" applyBorder="1" applyAlignment="1">
      <alignment horizontal="center"/>
    </xf>
    <xf numFmtId="1" fontId="2" fillId="3" borderId="22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24" fillId="0" borderId="0" xfId="1" applyFont="1" applyAlignment="1">
      <alignment horizontal="center"/>
    </xf>
    <xf numFmtId="0" fontId="23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24" fillId="2" borderId="2" xfId="1" applyFont="1" applyFill="1" applyBorder="1" applyAlignment="1">
      <alignment horizontal="center"/>
    </xf>
    <xf numFmtId="0" fontId="24" fillId="2" borderId="4" xfId="1" applyFont="1" applyFill="1" applyBorder="1" applyAlignment="1">
      <alignment horizontal="center"/>
    </xf>
    <xf numFmtId="44" fontId="16" fillId="2" borderId="4" xfId="2" applyFont="1" applyFill="1" applyBorder="1" applyAlignment="1">
      <alignment horizontal="center"/>
    </xf>
    <xf numFmtId="0" fontId="24" fillId="2" borderId="6" xfId="1" applyFont="1" applyFill="1" applyBorder="1" applyAlignment="1">
      <alignment horizontal="center"/>
    </xf>
    <xf numFmtId="1" fontId="19" fillId="3" borderId="6" xfId="2" applyNumberFormat="1" applyFont="1" applyFill="1" applyBorder="1" applyAlignment="1">
      <alignment horizontal="center"/>
    </xf>
    <xf numFmtId="0" fontId="25" fillId="0" borderId="0" xfId="1" applyFont="1" applyFill="1" applyBorder="1" applyAlignment="1">
      <alignment horizontal="center"/>
    </xf>
    <xf numFmtId="2" fontId="19" fillId="3" borderId="2" xfId="1" applyNumberFormat="1" applyFont="1" applyFill="1" applyBorder="1" applyAlignment="1">
      <alignment horizontal="center"/>
    </xf>
    <xf numFmtId="2" fontId="19" fillId="3" borderId="4" xfId="1" applyNumberFormat="1" applyFont="1" applyFill="1" applyBorder="1" applyAlignment="1">
      <alignment horizontal="center"/>
    </xf>
    <xf numFmtId="0" fontId="19" fillId="3" borderId="4" xfId="1" applyFont="1" applyFill="1" applyBorder="1" applyAlignment="1">
      <alignment horizontal="center"/>
    </xf>
    <xf numFmtId="7" fontId="19" fillId="3" borderId="4" xfId="1" applyNumberFormat="1" applyFont="1" applyFill="1" applyBorder="1" applyAlignment="1">
      <alignment horizontal="center"/>
    </xf>
    <xf numFmtId="7" fontId="19" fillId="3" borderId="6" xfId="1" applyNumberFormat="1" applyFont="1" applyFill="1" applyBorder="1" applyAlignment="1">
      <alignment horizontal="center"/>
    </xf>
    <xf numFmtId="2" fontId="24" fillId="0" borderId="0" xfId="1" applyNumberFormat="1" applyFont="1" applyAlignment="1">
      <alignment horizontal="center"/>
    </xf>
  </cellXfs>
  <cellStyles count="4">
    <cellStyle name="Currency 2" xfId="2"/>
    <cellStyle name="Normal" xfId="0" builtinId="0"/>
    <cellStyle name="Normal 2" xfId="1"/>
    <cellStyle name="Percent 2" xfId="3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6CD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Economic Order Quantity Costs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EOQ!$C$38</c:f>
              <c:strCache>
                <c:ptCount val="1"/>
                <c:pt idx="0">
                  <c:v>Setup/Order cost</c:v>
                </c:pt>
              </c:strCache>
            </c:strRef>
          </c:tx>
          <c:marker>
            <c:symbol val="none"/>
          </c:marker>
          <c:xVal>
            <c:numRef>
              <c:f>EOQ!$B$39:$B$62</c:f>
              <c:numCache>
                <c:formatCode>0.00</c:formatCode>
                <c:ptCount val="24"/>
                <c:pt idx="0">
                  <c:v>120.41594578792295</c:v>
                </c:pt>
                <c:pt idx="1">
                  <c:v>160.55459438389727</c:v>
                </c:pt>
                <c:pt idx="2">
                  <c:v>200.69324297987157</c:v>
                </c:pt>
                <c:pt idx="3">
                  <c:v>240.83189157584587</c:v>
                </c:pt>
                <c:pt idx="4">
                  <c:v>280.97054017182018</c:v>
                </c:pt>
                <c:pt idx="5">
                  <c:v>321.10918876779448</c:v>
                </c:pt>
                <c:pt idx="6">
                  <c:v>361.24783736376878</c:v>
                </c:pt>
                <c:pt idx="7">
                  <c:v>401.38648595974308</c:v>
                </c:pt>
                <c:pt idx="8">
                  <c:v>441.52513455571739</c:v>
                </c:pt>
                <c:pt idx="9">
                  <c:v>481.66378315169169</c:v>
                </c:pt>
                <c:pt idx="10">
                  <c:v>521.80243174766599</c:v>
                </c:pt>
                <c:pt idx="11">
                  <c:v>561.94108034364035</c:v>
                </c:pt>
                <c:pt idx="12">
                  <c:v>602.07972893961471</c:v>
                </c:pt>
                <c:pt idx="13">
                  <c:v>642.21837753558907</c:v>
                </c:pt>
                <c:pt idx="14">
                  <c:v>682.35702613156343</c:v>
                </c:pt>
                <c:pt idx="15">
                  <c:v>722.49567472753779</c:v>
                </c:pt>
                <c:pt idx="16">
                  <c:v>762.63432332351215</c:v>
                </c:pt>
                <c:pt idx="17">
                  <c:v>802.77297191948651</c:v>
                </c:pt>
                <c:pt idx="18">
                  <c:v>842.91162051546087</c:v>
                </c:pt>
                <c:pt idx="19">
                  <c:v>883.05026911143523</c:v>
                </c:pt>
                <c:pt idx="20">
                  <c:v>923.18891770740959</c:v>
                </c:pt>
                <c:pt idx="21">
                  <c:v>963.32756630338395</c:v>
                </c:pt>
                <c:pt idx="22">
                  <c:v>1003.4662148993583</c:v>
                </c:pt>
                <c:pt idx="23">
                  <c:v>1043.6048634953327</c:v>
                </c:pt>
              </c:numCache>
            </c:numRef>
          </c:xVal>
          <c:yVal>
            <c:numRef>
              <c:f>EOQ!$C$39:$C$62</c:f>
              <c:numCache>
                <c:formatCode>0.00</c:formatCode>
                <c:ptCount val="24"/>
                <c:pt idx="0">
                  <c:v>474679.6582959923</c:v>
                </c:pt>
                <c:pt idx="1">
                  <c:v>356009.74372199422</c:v>
                </c:pt>
                <c:pt idx="2">
                  <c:v>284807.79497759539</c:v>
                </c:pt>
                <c:pt idx="3">
                  <c:v>237339.82914799618</c:v>
                </c:pt>
                <c:pt idx="4">
                  <c:v>203434.13926971101</c:v>
                </c:pt>
                <c:pt idx="5">
                  <c:v>178004.87186099714</c:v>
                </c:pt>
                <c:pt idx="6">
                  <c:v>158226.55276533079</c:v>
                </c:pt>
                <c:pt idx="7">
                  <c:v>142403.89748879772</c:v>
                </c:pt>
                <c:pt idx="8">
                  <c:v>129458.08862617974</c:v>
                </c:pt>
                <c:pt idx="9">
                  <c:v>118669.9145739981</c:v>
                </c:pt>
                <c:pt idx="10">
                  <c:v>109541.45960676749</c:v>
                </c:pt>
                <c:pt idx="11">
                  <c:v>101717.06963485551</c:v>
                </c:pt>
                <c:pt idx="12">
                  <c:v>94935.931659198468</c:v>
                </c:pt>
                <c:pt idx="13">
                  <c:v>89002.435930498556</c:v>
                </c:pt>
                <c:pt idx="14">
                  <c:v>83766.998522822163</c:v>
                </c:pt>
                <c:pt idx="15">
                  <c:v>79113.276382665368</c:v>
                </c:pt>
                <c:pt idx="16">
                  <c:v>74949.419730946145</c:v>
                </c:pt>
                <c:pt idx="17">
                  <c:v>71201.948744398833</c:v>
                </c:pt>
                <c:pt idx="18">
                  <c:v>67811.379756570313</c:v>
                </c:pt>
                <c:pt idx="19">
                  <c:v>64729.044313089842</c:v>
                </c:pt>
                <c:pt idx="20">
                  <c:v>61914.738038607669</c:v>
                </c:pt>
                <c:pt idx="21">
                  <c:v>59334.957286999015</c:v>
                </c:pt>
                <c:pt idx="22">
                  <c:v>56961.558995519052</c:v>
                </c:pt>
                <c:pt idx="23">
                  <c:v>54770.729803383707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F-4E2A-A322-7D276D12A3F6}"/>
            </c:ext>
          </c:extLst>
        </c:ser>
        <c:ser>
          <c:idx val="1"/>
          <c:order val="1"/>
          <c:tx>
            <c:strRef>
              <c:f>EOQ!$D$38</c:f>
              <c:strCache>
                <c:ptCount val="1"/>
                <c:pt idx="0">
                  <c:v>Holding cost</c:v>
                </c:pt>
              </c:strCache>
            </c:strRef>
          </c:tx>
          <c:marker>
            <c:symbol val="none"/>
          </c:marker>
          <c:xVal>
            <c:numRef>
              <c:f>EOQ!$B$39:$B$62</c:f>
              <c:numCache>
                <c:formatCode>0.00</c:formatCode>
                <c:ptCount val="24"/>
                <c:pt idx="0">
                  <c:v>120.41594578792295</c:v>
                </c:pt>
                <c:pt idx="1">
                  <c:v>160.55459438389727</c:v>
                </c:pt>
                <c:pt idx="2">
                  <c:v>200.69324297987157</c:v>
                </c:pt>
                <c:pt idx="3">
                  <c:v>240.83189157584587</c:v>
                </c:pt>
                <c:pt idx="4">
                  <c:v>280.97054017182018</c:v>
                </c:pt>
                <c:pt idx="5">
                  <c:v>321.10918876779448</c:v>
                </c:pt>
                <c:pt idx="6">
                  <c:v>361.24783736376878</c:v>
                </c:pt>
                <c:pt idx="7">
                  <c:v>401.38648595974308</c:v>
                </c:pt>
                <c:pt idx="8">
                  <c:v>441.52513455571739</c:v>
                </c:pt>
                <c:pt idx="9">
                  <c:v>481.66378315169169</c:v>
                </c:pt>
                <c:pt idx="10">
                  <c:v>521.80243174766599</c:v>
                </c:pt>
                <c:pt idx="11">
                  <c:v>561.94108034364035</c:v>
                </c:pt>
                <c:pt idx="12">
                  <c:v>602.07972893961471</c:v>
                </c:pt>
                <c:pt idx="13">
                  <c:v>642.21837753558907</c:v>
                </c:pt>
                <c:pt idx="14">
                  <c:v>682.35702613156343</c:v>
                </c:pt>
                <c:pt idx="15">
                  <c:v>722.49567472753779</c:v>
                </c:pt>
                <c:pt idx="16">
                  <c:v>762.63432332351215</c:v>
                </c:pt>
                <c:pt idx="17">
                  <c:v>802.77297191948651</c:v>
                </c:pt>
                <c:pt idx="18">
                  <c:v>842.91162051546087</c:v>
                </c:pt>
                <c:pt idx="19">
                  <c:v>883.05026911143523</c:v>
                </c:pt>
                <c:pt idx="20">
                  <c:v>923.18891770740959</c:v>
                </c:pt>
                <c:pt idx="21">
                  <c:v>963.32756630338395</c:v>
                </c:pt>
                <c:pt idx="22">
                  <c:v>1003.4662148993583</c:v>
                </c:pt>
                <c:pt idx="23">
                  <c:v>1043.6048634953327</c:v>
                </c:pt>
              </c:numCache>
            </c:numRef>
          </c:xVal>
          <c:yVal>
            <c:numRef>
              <c:f>EOQ!$D$39:$D$62</c:f>
              <c:numCache>
                <c:formatCode>0.00</c:formatCode>
                <c:ptCount val="24"/>
                <c:pt idx="0">
                  <c:v>29667.478643499522</c:v>
                </c:pt>
                <c:pt idx="1">
                  <c:v>39556.638191332691</c:v>
                </c:pt>
                <c:pt idx="2">
                  <c:v>49445.797739165864</c:v>
                </c:pt>
                <c:pt idx="3">
                  <c:v>59334.957286999037</c:v>
                </c:pt>
                <c:pt idx="4">
                  <c:v>69224.11683483221</c:v>
                </c:pt>
                <c:pt idx="5">
                  <c:v>79113.276382665368</c:v>
                </c:pt>
                <c:pt idx="6">
                  <c:v>89002.435930498541</c:v>
                </c:pt>
                <c:pt idx="7">
                  <c:v>98891.595478331714</c:v>
                </c:pt>
                <c:pt idx="8">
                  <c:v>108780.75502616489</c:v>
                </c:pt>
                <c:pt idx="9">
                  <c:v>118669.91457399806</c:v>
                </c:pt>
                <c:pt idx="10">
                  <c:v>128559.07412183122</c:v>
                </c:pt>
                <c:pt idx="11">
                  <c:v>138448.23366966442</c:v>
                </c:pt>
                <c:pt idx="12">
                  <c:v>148337.39321749759</c:v>
                </c:pt>
                <c:pt idx="13">
                  <c:v>158226.55276533077</c:v>
                </c:pt>
                <c:pt idx="14">
                  <c:v>168115.71231316397</c:v>
                </c:pt>
                <c:pt idx="15">
                  <c:v>178004.87186099714</c:v>
                </c:pt>
                <c:pt idx="16">
                  <c:v>187894.03140883031</c:v>
                </c:pt>
                <c:pt idx="17">
                  <c:v>197783.19095666351</c:v>
                </c:pt>
                <c:pt idx="18">
                  <c:v>207672.35050449669</c:v>
                </c:pt>
                <c:pt idx="19">
                  <c:v>217561.51005232989</c:v>
                </c:pt>
                <c:pt idx="20">
                  <c:v>227450.66960016306</c:v>
                </c:pt>
                <c:pt idx="21">
                  <c:v>237339.82914799624</c:v>
                </c:pt>
                <c:pt idx="22">
                  <c:v>247228.98869582944</c:v>
                </c:pt>
                <c:pt idx="23">
                  <c:v>257118.14824366261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7F-4E2A-A322-7D276D12A3F6}"/>
            </c:ext>
          </c:extLst>
        </c:ser>
        <c:ser>
          <c:idx val="2"/>
          <c:order val="2"/>
          <c:tx>
            <c:strRef>
              <c:f>EOQ!$E$38</c:f>
              <c:strCache>
                <c:ptCount val="1"/>
                <c:pt idx="0">
                  <c:v>Total cost</c:v>
                </c:pt>
              </c:strCache>
            </c:strRef>
          </c:tx>
          <c:marker>
            <c:symbol val="none"/>
          </c:marker>
          <c:xVal>
            <c:numRef>
              <c:f>EOQ!$B$39:$B$62</c:f>
              <c:numCache>
                <c:formatCode>0.00</c:formatCode>
                <c:ptCount val="24"/>
                <c:pt idx="0">
                  <c:v>120.41594578792295</c:v>
                </c:pt>
                <c:pt idx="1">
                  <c:v>160.55459438389727</c:v>
                </c:pt>
                <c:pt idx="2">
                  <c:v>200.69324297987157</c:v>
                </c:pt>
                <c:pt idx="3">
                  <c:v>240.83189157584587</c:v>
                </c:pt>
                <c:pt idx="4">
                  <c:v>280.97054017182018</c:v>
                </c:pt>
                <c:pt idx="5">
                  <c:v>321.10918876779448</c:v>
                </c:pt>
                <c:pt idx="6">
                  <c:v>361.24783736376878</c:v>
                </c:pt>
                <c:pt idx="7">
                  <c:v>401.38648595974308</c:v>
                </c:pt>
                <c:pt idx="8">
                  <c:v>441.52513455571739</c:v>
                </c:pt>
                <c:pt idx="9">
                  <c:v>481.66378315169169</c:v>
                </c:pt>
                <c:pt idx="10">
                  <c:v>521.80243174766599</c:v>
                </c:pt>
                <c:pt idx="11">
                  <c:v>561.94108034364035</c:v>
                </c:pt>
                <c:pt idx="12">
                  <c:v>602.07972893961471</c:v>
                </c:pt>
                <c:pt idx="13">
                  <c:v>642.21837753558907</c:v>
                </c:pt>
                <c:pt idx="14">
                  <c:v>682.35702613156343</c:v>
                </c:pt>
                <c:pt idx="15">
                  <c:v>722.49567472753779</c:v>
                </c:pt>
                <c:pt idx="16">
                  <c:v>762.63432332351215</c:v>
                </c:pt>
                <c:pt idx="17">
                  <c:v>802.77297191948651</c:v>
                </c:pt>
                <c:pt idx="18">
                  <c:v>842.91162051546087</c:v>
                </c:pt>
                <c:pt idx="19">
                  <c:v>883.05026911143523</c:v>
                </c:pt>
                <c:pt idx="20">
                  <c:v>923.18891770740959</c:v>
                </c:pt>
                <c:pt idx="21">
                  <c:v>963.32756630338395</c:v>
                </c:pt>
                <c:pt idx="22">
                  <c:v>1003.4662148993583</c:v>
                </c:pt>
                <c:pt idx="23">
                  <c:v>1043.6048634953327</c:v>
                </c:pt>
              </c:numCache>
            </c:numRef>
          </c:xVal>
          <c:yVal>
            <c:numRef>
              <c:f>EOQ!$E$39:$E$62</c:f>
              <c:numCache>
                <c:formatCode>0.00</c:formatCode>
                <c:ptCount val="24"/>
                <c:pt idx="0">
                  <c:v>504347.13693949184</c:v>
                </c:pt>
                <c:pt idx="1">
                  <c:v>395566.38191332691</c:v>
                </c:pt>
                <c:pt idx="2">
                  <c:v>334253.59271676128</c:v>
                </c:pt>
                <c:pt idx="3">
                  <c:v>296674.78643499524</c:v>
                </c:pt>
                <c:pt idx="4">
                  <c:v>272658.25610454322</c:v>
                </c:pt>
                <c:pt idx="5">
                  <c:v>257118.14824366249</c:v>
                </c:pt>
                <c:pt idx="6">
                  <c:v>247228.98869582935</c:v>
                </c:pt>
                <c:pt idx="7">
                  <c:v>241295.49296712945</c:v>
                </c:pt>
                <c:pt idx="8">
                  <c:v>238238.84365234463</c:v>
                </c:pt>
                <c:pt idx="9">
                  <c:v>237339.82914799615</c:v>
                </c:pt>
                <c:pt idx="10">
                  <c:v>238100.5337285987</c:v>
                </c:pt>
                <c:pt idx="11">
                  <c:v>240165.30330451991</c:v>
                </c:pt>
                <c:pt idx="12">
                  <c:v>243273.32487669605</c:v>
                </c:pt>
                <c:pt idx="13">
                  <c:v>247228.98869582932</c:v>
                </c:pt>
                <c:pt idx="14">
                  <c:v>251882.71083598613</c:v>
                </c:pt>
                <c:pt idx="15">
                  <c:v>257118.14824366249</c:v>
                </c:pt>
                <c:pt idx="16">
                  <c:v>262843.45113977644</c:v>
                </c:pt>
                <c:pt idx="17">
                  <c:v>268985.13970106235</c:v>
                </c:pt>
                <c:pt idx="18">
                  <c:v>275483.73026106699</c:v>
                </c:pt>
                <c:pt idx="19">
                  <c:v>282290.55436541972</c:v>
                </c:pt>
                <c:pt idx="20">
                  <c:v>289365.40763877076</c:v>
                </c:pt>
                <c:pt idx="21">
                  <c:v>296674.78643499524</c:v>
                </c:pt>
                <c:pt idx="22">
                  <c:v>304190.54769134847</c:v>
                </c:pt>
                <c:pt idx="23">
                  <c:v>311888.87804704631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7F-4E2A-A322-7D276D12A3F6}"/>
            </c:ext>
          </c:extLst>
        </c:ser>
        <c:ser>
          <c:idx val="3"/>
          <c:order val="3"/>
          <c:tx>
            <c:v>EOQ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EOQ!$B$64:$B$65</c:f>
              <c:numCache>
                <c:formatCode>0.00</c:formatCode>
                <c:ptCount val="2"/>
                <c:pt idx="0">
                  <c:v>481.6637831516918</c:v>
                </c:pt>
                <c:pt idx="1">
                  <c:v>481.6637831516918</c:v>
                </c:pt>
              </c:numCache>
            </c:numRef>
          </c:xVal>
          <c:yVal>
            <c:numRef>
              <c:f>EOQ!$C$64:$C$65</c:f>
              <c:numCache>
                <c:formatCode>0.00</c:formatCode>
                <c:ptCount val="2"/>
                <c:pt idx="0">
                  <c:v>0</c:v>
                </c:pt>
                <c:pt idx="1">
                  <c:v>237339.82914799618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7F-4E2A-A322-7D276D12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51984"/>
        <c:axId val="545950344"/>
      </c:scatterChart>
      <c:valAx>
        <c:axId val="545951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5950344"/>
        <c:crosses val="autoZero"/>
        <c:crossBetween val="midCat"/>
      </c:valAx>
      <c:valAx>
        <c:axId val="545950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5951984"/>
        <c:crosses val="autoZero"/>
        <c:crossBetween val="midCat"/>
      </c:valAx>
      <c:spPr>
        <a:gradFill flip="none" rotWithShape="1">
          <a:gsLst>
            <a:gs pos="0">
              <a:srgbClr val="9AB5E4"/>
            </a:gs>
            <a:gs pos="100000">
              <a:srgbClr val="FFFFFF"/>
            </a:gs>
          </a:gsLst>
          <a:lin ang="5400000" scaled="1"/>
          <a:tileRect/>
        </a:gra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605118</xdr:colOff>
      <xdr:row>35</xdr:row>
      <xdr:rowOff>14940</xdr:rowOff>
    </xdr:from>
    <xdr:to>
      <xdr:col>4</xdr:col>
      <xdr:colOff>578972</xdr:colOff>
      <xdr:row>53</xdr:row>
      <xdr:rowOff>138055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0</xdr:rowOff>
    </xdr:from>
    <xdr:to>
      <xdr:col>4</xdr:col>
      <xdr:colOff>353060</xdr:colOff>
      <xdr:row>2</xdr:row>
      <xdr:rowOff>134620</xdr:rowOff>
    </xdr:to>
    <xdr:sp macro="" textlink="">
      <xdr:nvSpPr>
        <xdr:cNvPr id="2" name="messageTextbox"/>
        <xdr:cNvSpPr txBox="1"/>
      </xdr:nvSpPr>
      <xdr:spPr>
        <a:xfrm>
          <a:off x="457200" y="251460"/>
          <a:ext cx="2540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Enter the data in the shaded area.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0</xdr:rowOff>
    </xdr:from>
    <xdr:to>
      <xdr:col>1</xdr:col>
      <xdr:colOff>63500</xdr:colOff>
      <xdr:row>5</xdr:row>
      <xdr:rowOff>6350</xdr:rowOff>
    </xdr:to>
    <xdr:sp macro="" textlink="">
      <xdr:nvSpPr>
        <xdr:cNvPr id="2" name="messageTextbox"/>
        <xdr:cNvSpPr txBox="1"/>
      </xdr:nvSpPr>
      <xdr:spPr>
        <a:xfrm>
          <a:off x="254000" y="838200"/>
          <a:ext cx="2540000" cy="203200"/>
        </a:xfrm>
        <a:prstGeom prst="rect">
          <a:avLst/>
        </a:prstGeom>
        <a:solidFill>
          <a:srgbClr val="FFEB9C"/>
        </a:solidFill>
        <a:ln w="1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area.</a:t>
          </a:r>
        </a:p>
      </xdr:txBody>
    </xdr:sp>
    <xdr:clientData fPrintsWithSheet="0"/>
  </xdr:twoCellAnchor>
  <xdr:twoCellAnchor>
    <xdr:from>
      <xdr:col>0</xdr:col>
      <xdr:colOff>254000</xdr:colOff>
      <xdr:row>4</xdr:row>
      <xdr:rowOff>24765</xdr:rowOff>
    </xdr:from>
    <xdr:to>
      <xdr:col>4</xdr:col>
      <xdr:colOff>247650</xdr:colOff>
      <xdr:row>5</xdr:row>
      <xdr:rowOff>56515</xdr:rowOff>
    </xdr:to>
    <xdr:sp macro="" textlink="">
      <xdr:nvSpPr>
        <xdr:cNvPr id="3" name="messageTextbox"/>
        <xdr:cNvSpPr txBox="1"/>
      </xdr:nvSpPr>
      <xdr:spPr>
        <a:xfrm>
          <a:off x="254000" y="272415"/>
          <a:ext cx="5334000" cy="2286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Enter the data in the shaded area.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N143"/>
  <sheetViews>
    <sheetView tabSelected="1" zoomScaleNormal="100" zoomScaleSheetLayoutView="100" workbookViewId="0"/>
  </sheetViews>
  <sheetFormatPr defaultColWidth="8.90625" defaultRowHeight="14.5" x14ac:dyDescent="0.35"/>
  <cols>
    <col min="1" max="1" width="35.7265625" style="31" customWidth="1"/>
    <col min="2" max="2" width="11.08984375" style="31" customWidth="1"/>
    <col min="3" max="3" width="12.26953125" style="31" customWidth="1"/>
    <col min="4" max="4" width="1.90625" style="31" customWidth="1"/>
    <col min="5" max="5" width="20.90625" style="31" bestFit="1" customWidth="1"/>
    <col min="6" max="6" width="10.54296875" style="31" bestFit="1" customWidth="1"/>
    <col min="7" max="7" width="1.90625" style="32" customWidth="1"/>
    <col min="8" max="8" width="6.81640625" style="33" customWidth="1"/>
    <col min="9" max="9" width="9.453125" style="31" bestFit="1" customWidth="1"/>
    <col min="10" max="12" width="8.90625" style="31"/>
    <col min="13" max="13" width="8.90625" style="34"/>
    <col min="14" max="14" width="14.08984375" style="34" bestFit="1" customWidth="1"/>
    <col min="15" max="16384" width="8.90625" style="31"/>
  </cols>
  <sheetData>
    <row r="1" spans="1:14" s="11" customFormat="1" ht="19.5" x14ac:dyDescent="0.45">
      <c r="A1" s="1" t="s">
        <v>0</v>
      </c>
      <c r="B1" s="10" t="s">
        <v>1</v>
      </c>
      <c r="C1" s="10"/>
      <c r="D1" s="10"/>
      <c r="E1" s="10"/>
      <c r="F1" s="10"/>
      <c r="G1" s="30"/>
      <c r="H1" s="27"/>
      <c r="M1" s="26"/>
      <c r="N1" s="26"/>
    </row>
    <row r="2" spans="1:14" s="11" customFormat="1" x14ac:dyDescent="0.35">
      <c r="A2" s="2"/>
      <c r="B2" s="2"/>
    </row>
    <row r="3" spans="1:14" s="11" customFormat="1" x14ac:dyDescent="0.35">
      <c r="F3" s="27"/>
      <c r="H3" s="69" t="s">
        <v>55</v>
      </c>
      <c r="I3" s="70"/>
    </row>
    <row r="4" spans="1:14" s="11" customFormat="1" ht="15" thickBot="1" x14ac:dyDescent="0.4">
      <c r="E4" s="63" t="s">
        <v>56</v>
      </c>
      <c r="F4" s="64"/>
      <c r="H4" s="67" t="s">
        <v>50</v>
      </c>
      <c r="I4" s="68" t="s">
        <v>57</v>
      </c>
    </row>
    <row r="5" spans="1:14" s="11" customFormat="1" ht="15.5" thickTop="1" thickBot="1" x14ac:dyDescent="0.4">
      <c r="A5" s="3" t="s">
        <v>2</v>
      </c>
      <c r="C5" s="27" t="s">
        <v>32</v>
      </c>
      <c r="E5" s="61" t="s">
        <v>52</v>
      </c>
      <c r="F5" s="62">
        <v>200</v>
      </c>
      <c r="H5" s="65">
        <v>25</v>
      </c>
      <c r="I5" s="66" t="s">
        <v>51</v>
      </c>
    </row>
    <row r="6" spans="1:14" s="11" customFormat="1" x14ac:dyDescent="0.35">
      <c r="A6" s="12" t="s">
        <v>3</v>
      </c>
      <c r="B6" s="72">
        <f>C6*365</f>
        <v>9526.5</v>
      </c>
      <c r="C6" s="29">
        <v>26.1</v>
      </c>
      <c r="E6" s="44" t="s">
        <v>30</v>
      </c>
      <c r="F6" s="45">
        <v>1000000</v>
      </c>
      <c r="H6" s="41">
        <v>24</v>
      </c>
      <c r="I6" s="42" t="s">
        <v>51</v>
      </c>
    </row>
    <row r="7" spans="1:14" s="11" customFormat="1" x14ac:dyDescent="0.35">
      <c r="A7" s="13" t="s">
        <v>4</v>
      </c>
      <c r="B7" s="50">
        <v>6000</v>
      </c>
      <c r="E7" s="44" t="s">
        <v>31</v>
      </c>
      <c r="F7" s="46">
        <f>F5-95</f>
        <v>105</v>
      </c>
      <c r="H7" s="41">
        <v>26</v>
      </c>
      <c r="I7" s="42" t="s">
        <v>51</v>
      </c>
    </row>
    <row r="8" spans="1:14" s="11" customFormat="1" x14ac:dyDescent="0.35">
      <c r="A8" s="13" t="s">
        <v>5</v>
      </c>
      <c r="B8" s="51">
        <f>365*1.35</f>
        <v>492.75000000000006</v>
      </c>
      <c r="C8" s="9"/>
      <c r="E8" s="44" t="s">
        <v>54</v>
      </c>
      <c r="F8" s="47">
        <f>F6/F7</f>
        <v>9523.8095238095229</v>
      </c>
      <c r="H8" s="41">
        <v>27</v>
      </c>
      <c r="I8" s="48">
        <f>IFERROR(AVERAGE(H5:H7),"")</f>
        <v>25</v>
      </c>
    </row>
    <row r="9" spans="1:14" s="11" customFormat="1" ht="15" thickBot="1" x14ac:dyDescent="0.4">
      <c r="A9" s="14" t="s">
        <v>7</v>
      </c>
      <c r="B9" s="52">
        <v>95</v>
      </c>
      <c r="E9" s="44" t="s">
        <v>32</v>
      </c>
      <c r="F9" s="48">
        <f>F8/365</f>
        <v>26.092628832354858</v>
      </c>
      <c r="H9" s="41">
        <v>22</v>
      </c>
      <c r="I9" s="48">
        <f t="shared" ref="I9:I27" si="0">IFERROR(AVERAGE(H6:H8),"")</f>
        <v>25.666666666666668</v>
      </c>
    </row>
    <row r="10" spans="1:14" s="11" customFormat="1" x14ac:dyDescent="0.35">
      <c r="A10" s="15"/>
      <c r="B10" s="27"/>
      <c r="E10" s="44"/>
      <c r="F10" s="49"/>
      <c r="H10" s="41">
        <v>25</v>
      </c>
      <c r="I10" s="48">
        <f t="shared" si="0"/>
        <v>25</v>
      </c>
    </row>
    <row r="11" spans="1:14" s="11" customFormat="1" ht="15" thickBot="1" x14ac:dyDescent="0.4">
      <c r="A11" s="3" t="s">
        <v>8</v>
      </c>
      <c r="B11" s="27"/>
      <c r="E11" s="44" t="s">
        <v>53</v>
      </c>
      <c r="F11" s="42">
        <f>MAX(H5:H1048576)-MIN(H5:H1048576)</f>
        <v>22</v>
      </c>
      <c r="H11" s="41">
        <v>25</v>
      </c>
      <c r="I11" s="48">
        <f t="shared" si="0"/>
        <v>24.666666666666668</v>
      </c>
    </row>
    <row r="12" spans="1:14" s="11" customFormat="1" x14ac:dyDescent="0.35">
      <c r="A12" s="12" t="s">
        <v>9</v>
      </c>
      <c r="B12" s="53">
        <v>365</v>
      </c>
      <c r="H12" s="41">
        <v>27</v>
      </c>
      <c r="I12" s="48">
        <f t="shared" si="0"/>
        <v>24</v>
      </c>
    </row>
    <row r="13" spans="1:14" s="11" customFormat="1" x14ac:dyDescent="0.35">
      <c r="A13" s="13" t="s">
        <v>10</v>
      </c>
      <c r="B13" s="54">
        <f>IF(B12&gt;0,B6/B12,"")</f>
        <v>26.1</v>
      </c>
      <c r="H13" s="41">
        <v>44</v>
      </c>
      <c r="I13" s="48">
        <f t="shared" si="0"/>
        <v>25.666666666666668</v>
      </c>
    </row>
    <row r="14" spans="1:14" s="11" customFormat="1" x14ac:dyDescent="0.35">
      <c r="A14" s="13" t="s">
        <v>11</v>
      </c>
      <c r="B14" s="50">
        <v>5</v>
      </c>
      <c r="H14" s="41">
        <v>38</v>
      </c>
      <c r="I14" s="48">
        <f t="shared" si="0"/>
        <v>32</v>
      </c>
    </row>
    <row r="15" spans="1:14" s="11" customFormat="1" ht="15" thickBot="1" x14ac:dyDescent="0.4">
      <c r="A15" s="14" t="s">
        <v>12</v>
      </c>
      <c r="B15" s="55">
        <f>F11</f>
        <v>22</v>
      </c>
      <c r="H15" s="41">
        <v>36</v>
      </c>
      <c r="I15" s="48">
        <f t="shared" si="0"/>
        <v>36.333333333333336</v>
      </c>
    </row>
    <row r="16" spans="1:14" s="11" customFormat="1" ht="15" thickBot="1" x14ac:dyDescent="0.4">
      <c r="A16" s="4" t="s">
        <v>13</v>
      </c>
      <c r="B16" s="56">
        <f>B13*B14+B15</f>
        <v>152.5</v>
      </c>
      <c r="H16" s="41">
        <v>40</v>
      </c>
      <c r="I16" s="48">
        <f t="shared" si="0"/>
        <v>39.333333333333336</v>
      </c>
    </row>
    <row r="17" spans="1:14" s="11" customFormat="1" x14ac:dyDescent="0.35">
      <c r="A17" s="5"/>
      <c r="B17" s="57"/>
      <c r="H17" s="41">
        <v>43</v>
      </c>
      <c r="I17" s="48">
        <f t="shared" si="0"/>
        <v>38</v>
      </c>
    </row>
    <row r="18" spans="1:14" s="11" customFormat="1" ht="15" thickBot="1" x14ac:dyDescent="0.4">
      <c r="A18" s="6" t="s">
        <v>14</v>
      </c>
      <c r="B18" s="27"/>
      <c r="H18" s="41">
        <v>36</v>
      </c>
      <c r="I18" s="48">
        <f t="shared" si="0"/>
        <v>39.666666666666664</v>
      </c>
    </row>
    <row r="19" spans="1:14" s="11" customFormat="1" x14ac:dyDescent="0.35">
      <c r="A19" s="7" t="s">
        <v>15</v>
      </c>
      <c r="B19" s="93">
        <f>SQRT(2*B6*B7/B8)</f>
        <v>481.6637831516918</v>
      </c>
      <c r="C19" s="28">
        <f>CEILING(B19,50)</f>
        <v>500</v>
      </c>
      <c r="D19" s="71" t="s">
        <v>58</v>
      </c>
      <c r="H19" s="41">
        <v>44</v>
      </c>
      <c r="I19" s="48">
        <f t="shared" si="0"/>
        <v>39.666666666666664</v>
      </c>
    </row>
    <row r="20" spans="1:14" s="11" customFormat="1" x14ac:dyDescent="0.35">
      <c r="A20" s="8" t="s">
        <v>16</v>
      </c>
      <c r="B20" s="94">
        <f>B19 + B15</f>
        <v>503.6637831516918</v>
      </c>
      <c r="H20" s="41">
        <v>37</v>
      </c>
      <c r="I20" s="48">
        <f t="shared" si="0"/>
        <v>41</v>
      </c>
    </row>
    <row r="21" spans="1:14" s="11" customFormat="1" x14ac:dyDescent="0.35">
      <c r="A21" s="8" t="s">
        <v>17</v>
      </c>
      <c r="B21" s="94">
        <f>B19/2</f>
        <v>240.8318915758459</v>
      </c>
      <c r="H21" s="41">
        <v>42</v>
      </c>
      <c r="I21" s="48">
        <f t="shared" si="0"/>
        <v>39</v>
      </c>
    </row>
    <row r="22" spans="1:14" s="11" customFormat="1" x14ac:dyDescent="0.35">
      <c r="A22" s="8" t="s">
        <v>18</v>
      </c>
      <c r="B22" s="94">
        <f>B6/B19</f>
        <v>19.778319095666347</v>
      </c>
      <c r="H22" s="41">
        <v>37</v>
      </c>
      <c r="I22" s="48">
        <f t="shared" si="0"/>
        <v>41</v>
      </c>
    </row>
    <row r="23" spans="1:14" s="11" customFormat="1" x14ac:dyDescent="0.35">
      <c r="A23" s="8"/>
      <c r="B23" s="58"/>
      <c r="H23" s="41">
        <v>39</v>
      </c>
      <c r="I23" s="48">
        <f t="shared" si="0"/>
        <v>38.666666666666664</v>
      </c>
    </row>
    <row r="24" spans="1:14" s="11" customFormat="1" x14ac:dyDescent="0.35">
      <c r="A24" s="8" t="s">
        <v>19</v>
      </c>
      <c r="B24" s="59">
        <f>B21*B8</f>
        <v>118669.91457399809</v>
      </c>
      <c r="H24" s="41">
        <v>41</v>
      </c>
      <c r="I24" s="48">
        <f t="shared" si="0"/>
        <v>39.333333333333336</v>
      </c>
    </row>
    <row r="25" spans="1:14" s="11" customFormat="1" x14ac:dyDescent="0.35">
      <c r="A25" s="8" t="s">
        <v>20</v>
      </c>
      <c r="B25" s="59">
        <f>B22*B7</f>
        <v>118669.91457399809</v>
      </c>
      <c r="H25" s="41">
        <v>40</v>
      </c>
      <c r="I25" s="48">
        <f t="shared" si="0"/>
        <v>39</v>
      </c>
    </row>
    <row r="26" spans="1:14" s="11" customFormat="1" x14ac:dyDescent="0.35">
      <c r="A26" s="8"/>
      <c r="B26" s="59"/>
      <c r="H26" s="41">
        <v>38</v>
      </c>
      <c r="I26" s="48">
        <f t="shared" si="0"/>
        <v>40</v>
      </c>
    </row>
    <row r="27" spans="1:14" s="11" customFormat="1" x14ac:dyDescent="0.35">
      <c r="A27" s="8" t="s">
        <v>21</v>
      </c>
      <c r="B27" s="59">
        <f>B9*B6</f>
        <v>905017.5</v>
      </c>
      <c r="H27" s="43" t="s">
        <v>51</v>
      </c>
      <c r="I27" s="48">
        <f t="shared" si="0"/>
        <v>39.666666666666664</v>
      </c>
    </row>
    <row r="28" spans="1:14" s="11" customFormat="1" ht="17" thickBot="1" x14ac:dyDescent="0.5">
      <c r="A28" s="4" t="s">
        <v>22</v>
      </c>
      <c r="B28" s="60">
        <f>B24+B25+B27</f>
        <v>1142357.3291479961</v>
      </c>
      <c r="M28" s="26"/>
      <c r="N28" s="26"/>
    </row>
    <row r="29" spans="1:14" x14ac:dyDescent="0.35">
      <c r="G29" s="31"/>
      <c r="H29" s="31"/>
    </row>
    <row r="30" spans="1:14" x14ac:dyDescent="0.35">
      <c r="A30" s="35"/>
      <c r="B30" s="35"/>
    </row>
    <row r="31" spans="1:14" x14ac:dyDescent="0.35">
      <c r="A31" s="35"/>
      <c r="B31" s="35"/>
    </row>
    <row r="32" spans="1:14" x14ac:dyDescent="0.35">
      <c r="A32" s="35"/>
      <c r="B32" s="35"/>
      <c r="D32" s="26"/>
      <c r="E32" s="26"/>
    </row>
    <row r="33" spans="1:6" x14ac:dyDescent="0.35">
      <c r="A33" s="35"/>
      <c r="B33" s="35"/>
      <c r="D33" s="26"/>
      <c r="E33" s="26"/>
    </row>
    <row r="34" spans="1:6" x14ac:dyDescent="0.35">
      <c r="A34" s="35"/>
      <c r="B34" s="35"/>
      <c r="D34" s="26"/>
      <c r="E34" s="26"/>
    </row>
    <row r="36" spans="1:6" x14ac:dyDescent="0.35">
      <c r="A36" s="36" t="s">
        <v>23</v>
      </c>
      <c r="B36" s="37" t="s">
        <v>24</v>
      </c>
      <c r="C36" s="38">
        <f>B19/4</f>
        <v>120.41594578792295</v>
      </c>
      <c r="D36" s="38" t="s">
        <v>25</v>
      </c>
      <c r="E36" s="38">
        <f>B19/12</f>
        <v>40.138648595974317</v>
      </c>
      <c r="F36" s="37"/>
    </row>
    <row r="37" spans="1:6" x14ac:dyDescent="0.35">
      <c r="A37" s="37"/>
      <c r="B37" s="37"/>
      <c r="C37" s="37"/>
      <c r="D37" s="37"/>
      <c r="E37" s="37"/>
      <c r="F37" s="37"/>
    </row>
    <row r="38" spans="1:6" ht="15" customHeight="1" x14ac:dyDescent="0.35">
      <c r="A38" s="37"/>
      <c r="B38" s="39" t="s">
        <v>26</v>
      </c>
      <c r="C38" s="39" t="s">
        <v>27</v>
      </c>
      <c r="D38" s="39" t="s">
        <v>28</v>
      </c>
      <c r="E38" s="39" t="s">
        <v>29</v>
      </c>
      <c r="F38" s="37"/>
    </row>
    <row r="39" spans="1:6" x14ac:dyDescent="0.35">
      <c r="A39" s="37"/>
      <c r="B39" s="40">
        <f>C36</f>
        <v>120.41594578792295</v>
      </c>
      <c r="C39" s="40">
        <f>$B$6*$B$7/B39</f>
        <v>474679.6582959923</v>
      </c>
      <c r="D39" s="40">
        <f>$B$8*B39/2</f>
        <v>29667.478643499522</v>
      </c>
      <c r="E39" s="40">
        <f>+C39+D39</f>
        <v>504347.13693949184</v>
      </c>
      <c r="F39" s="37"/>
    </row>
    <row r="40" spans="1:6" x14ac:dyDescent="0.35">
      <c r="A40" s="37"/>
      <c r="B40" s="40">
        <f>B39+$E$36</f>
        <v>160.55459438389727</v>
      </c>
      <c r="C40" s="40">
        <f t="shared" ref="C40:C62" si="1">$B$6*$B$7/B40</f>
        <v>356009.74372199422</v>
      </c>
      <c r="D40" s="40">
        <f t="shared" ref="D40:D62" si="2">$B$8*B40/2</f>
        <v>39556.638191332691</v>
      </c>
      <c r="E40" s="40">
        <f t="shared" ref="E40:E62" si="3">+C40+D40</f>
        <v>395566.38191332691</v>
      </c>
      <c r="F40" s="37"/>
    </row>
    <row r="41" spans="1:6" x14ac:dyDescent="0.35">
      <c r="A41" s="37"/>
      <c r="B41" s="40">
        <f t="shared" ref="B41:B62" si="4">B40+$E$36</f>
        <v>200.69324297987157</v>
      </c>
      <c r="C41" s="40">
        <f t="shared" si="1"/>
        <v>284807.79497759539</v>
      </c>
      <c r="D41" s="40">
        <f t="shared" si="2"/>
        <v>49445.797739165864</v>
      </c>
      <c r="E41" s="40">
        <f t="shared" si="3"/>
        <v>334253.59271676128</v>
      </c>
      <c r="F41" s="37"/>
    </row>
    <row r="42" spans="1:6" x14ac:dyDescent="0.35">
      <c r="A42" s="37"/>
      <c r="B42" s="40">
        <f t="shared" si="4"/>
        <v>240.83189157584587</v>
      </c>
      <c r="C42" s="40">
        <f t="shared" si="1"/>
        <v>237339.82914799618</v>
      </c>
      <c r="D42" s="40">
        <f t="shared" si="2"/>
        <v>59334.957286999037</v>
      </c>
      <c r="E42" s="40">
        <f t="shared" si="3"/>
        <v>296674.78643499524</v>
      </c>
      <c r="F42" s="37"/>
    </row>
    <row r="43" spans="1:6" x14ac:dyDescent="0.35">
      <c r="A43" s="37"/>
      <c r="B43" s="40">
        <f t="shared" si="4"/>
        <v>280.97054017182018</v>
      </c>
      <c r="C43" s="40">
        <f t="shared" si="1"/>
        <v>203434.13926971101</v>
      </c>
      <c r="D43" s="40">
        <f t="shared" si="2"/>
        <v>69224.11683483221</v>
      </c>
      <c r="E43" s="40">
        <f t="shared" si="3"/>
        <v>272658.25610454322</v>
      </c>
      <c r="F43" s="37"/>
    </row>
    <row r="44" spans="1:6" x14ac:dyDescent="0.35">
      <c r="A44" s="37"/>
      <c r="B44" s="40">
        <f t="shared" si="4"/>
        <v>321.10918876779448</v>
      </c>
      <c r="C44" s="40">
        <f t="shared" si="1"/>
        <v>178004.87186099714</v>
      </c>
      <c r="D44" s="40">
        <f t="shared" si="2"/>
        <v>79113.276382665368</v>
      </c>
      <c r="E44" s="40">
        <f t="shared" si="3"/>
        <v>257118.14824366249</v>
      </c>
      <c r="F44" s="37"/>
    </row>
    <row r="45" spans="1:6" x14ac:dyDescent="0.35">
      <c r="A45" s="37"/>
      <c r="B45" s="40">
        <f t="shared" si="4"/>
        <v>361.24783736376878</v>
      </c>
      <c r="C45" s="40">
        <f t="shared" si="1"/>
        <v>158226.55276533079</v>
      </c>
      <c r="D45" s="40">
        <f t="shared" si="2"/>
        <v>89002.435930498541</v>
      </c>
      <c r="E45" s="40">
        <f t="shared" si="3"/>
        <v>247228.98869582935</v>
      </c>
      <c r="F45" s="37"/>
    </row>
    <row r="46" spans="1:6" x14ac:dyDescent="0.35">
      <c r="A46" s="37"/>
      <c r="B46" s="40">
        <f t="shared" si="4"/>
        <v>401.38648595974308</v>
      </c>
      <c r="C46" s="40">
        <f t="shared" si="1"/>
        <v>142403.89748879772</v>
      </c>
      <c r="D46" s="40">
        <f t="shared" si="2"/>
        <v>98891.595478331714</v>
      </c>
      <c r="E46" s="40">
        <f t="shared" si="3"/>
        <v>241295.49296712945</v>
      </c>
      <c r="F46" s="37"/>
    </row>
    <row r="47" spans="1:6" x14ac:dyDescent="0.35">
      <c r="A47" s="37"/>
      <c r="B47" s="40">
        <f t="shared" si="4"/>
        <v>441.52513455571739</v>
      </c>
      <c r="C47" s="40">
        <f t="shared" si="1"/>
        <v>129458.08862617974</v>
      </c>
      <c r="D47" s="40">
        <f t="shared" si="2"/>
        <v>108780.75502616489</v>
      </c>
      <c r="E47" s="40">
        <f t="shared" si="3"/>
        <v>238238.84365234463</v>
      </c>
      <c r="F47" s="37"/>
    </row>
    <row r="48" spans="1:6" x14ac:dyDescent="0.35">
      <c r="A48" s="37"/>
      <c r="B48" s="40">
        <f t="shared" si="4"/>
        <v>481.66378315169169</v>
      </c>
      <c r="C48" s="40">
        <f t="shared" si="1"/>
        <v>118669.9145739981</v>
      </c>
      <c r="D48" s="40">
        <f t="shared" si="2"/>
        <v>118669.91457399806</v>
      </c>
      <c r="E48" s="40">
        <f t="shared" si="3"/>
        <v>237339.82914799615</v>
      </c>
      <c r="F48" s="37"/>
    </row>
    <row r="49" spans="1:6" x14ac:dyDescent="0.35">
      <c r="A49" s="37"/>
      <c r="B49" s="40">
        <f t="shared" si="4"/>
        <v>521.80243174766599</v>
      </c>
      <c r="C49" s="40">
        <f t="shared" si="1"/>
        <v>109541.45960676749</v>
      </c>
      <c r="D49" s="40">
        <f t="shared" si="2"/>
        <v>128559.07412183122</v>
      </c>
      <c r="E49" s="40">
        <f t="shared" si="3"/>
        <v>238100.5337285987</v>
      </c>
      <c r="F49" s="37"/>
    </row>
    <row r="50" spans="1:6" x14ac:dyDescent="0.35">
      <c r="A50" s="37"/>
      <c r="B50" s="40">
        <f t="shared" si="4"/>
        <v>561.94108034364035</v>
      </c>
      <c r="C50" s="40">
        <f t="shared" si="1"/>
        <v>101717.06963485551</v>
      </c>
      <c r="D50" s="40">
        <f t="shared" si="2"/>
        <v>138448.23366966442</v>
      </c>
      <c r="E50" s="40">
        <f t="shared" si="3"/>
        <v>240165.30330451991</v>
      </c>
      <c r="F50" s="37"/>
    </row>
    <row r="51" spans="1:6" x14ac:dyDescent="0.35">
      <c r="A51" s="37"/>
      <c r="B51" s="40">
        <f t="shared" si="4"/>
        <v>602.07972893961471</v>
      </c>
      <c r="C51" s="40">
        <f t="shared" si="1"/>
        <v>94935.931659198468</v>
      </c>
      <c r="D51" s="40">
        <f t="shared" si="2"/>
        <v>148337.39321749759</v>
      </c>
      <c r="E51" s="40">
        <f t="shared" si="3"/>
        <v>243273.32487669605</v>
      </c>
      <c r="F51" s="37"/>
    </row>
    <row r="52" spans="1:6" x14ac:dyDescent="0.35">
      <c r="A52" s="37"/>
      <c r="B52" s="40">
        <f t="shared" si="4"/>
        <v>642.21837753558907</v>
      </c>
      <c r="C52" s="40">
        <f t="shared" si="1"/>
        <v>89002.435930498556</v>
      </c>
      <c r="D52" s="40">
        <f t="shared" si="2"/>
        <v>158226.55276533077</v>
      </c>
      <c r="E52" s="40">
        <f t="shared" si="3"/>
        <v>247228.98869582932</v>
      </c>
      <c r="F52" s="37"/>
    </row>
    <row r="53" spans="1:6" x14ac:dyDescent="0.35">
      <c r="A53" s="37"/>
      <c r="B53" s="40">
        <f t="shared" si="4"/>
        <v>682.35702613156343</v>
      </c>
      <c r="C53" s="40">
        <f t="shared" si="1"/>
        <v>83766.998522822163</v>
      </c>
      <c r="D53" s="40">
        <f t="shared" si="2"/>
        <v>168115.71231316397</v>
      </c>
      <c r="E53" s="40">
        <f t="shared" si="3"/>
        <v>251882.71083598613</v>
      </c>
      <c r="F53" s="37"/>
    </row>
    <row r="54" spans="1:6" x14ac:dyDescent="0.35">
      <c r="A54" s="37"/>
      <c r="B54" s="40">
        <f t="shared" si="4"/>
        <v>722.49567472753779</v>
      </c>
      <c r="C54" s="40">
        <f t="shared" si="1"/>
        <v>79113.276382665368</v>
      </c>
      <c r="D54" s="40">
        <f t="shared" si="2"/>
        <v>178004.87186099714</v>
      </c>
      <c r="E54" s="40">
        <f t="shared" si="3"/>
        <v>257118.14824366249</v>
      </c>
      <c r="F54" s="37"/>
    </row>
    <row r="55" spans="1:6" x14ac:dyDescent="0.35">
      <c r="A55" s="37"/>
      <c r="B55" s="40">
        <f t="shared" si="4"/>
        <v>762.63432332351215</v>
      </c>
      <c r="C55" s="40">
        <f t="shared" si="1"/>
        <v>74949.419730946145</v>
      </c>
      <c r="D55" s="40">
        <f t="shared" si="2"/>
        <v>187894.03140883031</v>
      </c>
      <c r="E55" s="40">
        <f t="shared" si="3"/>
        <v>262843.45113977644</v>
      </c>
      <c r="F55" s="37"/>
    </row>
    <row r="56" spans="1:6" x14ac:dyDescent="0.35">
      <c r="A56" s="37"/>
      <c r="B56" s="40">
        <f t="shared" si="4"/>
        <v>802.77297191948651</v>
      </c>
      <c r="C56" s="40">
        <f t="shared" si="1"/>
        <v>71201.948744398833</v>
      </c>
      <c r="D56" s="40">
        <f t="shared" si="2"/>
        <v>197783.19095666351</v>
      </c>
      <c r="E56" s="40">
        <f t="shared" si="3"/>
        <v>268985.13970106235</v>
      </c>
      <c r="F56" s="37"/>
    </row>
    <row r="57" spans="1:6" x14ac:dyDescent="0.35">
      <c r="A57" s="37"/>
      <c r="B57" s="40">
        <f t="shared" si="4"/>
        <v>842.91162051546087</v>
      </c>
      <c r="C57" s="40">
        <f t="shared" si="1"/>
        <v>67811.379756570313</v>
      </c>
      <c r="D57" s="40">
        <f t="shared" si="2"/>
        <v>207672.35050449669</v>
      </c>
      <c r="E57" s="40">
        <f t="shared" si="3"/>
        <v>275483.73026106699</v>
      </c>
      <c r="F57" s="37"/>
    </row>
    <row r="58" spans="1:6" x14ac:dyDescent="0.35">
      <c r="A58" s="37"/>
      <c r="B58" s="40">
        <f t="shared" si="4"/>
        <v>883.05026911143523</v>
      </c>
      <c r="C58" s="40">
        <f t="shared" si="1"/>
        <v>64729.044313089842</v>
      </c>
      <c r="D58" s="40">
        <f t="shared" si="2"/>
        <v>217561.51005232989</v>
      </c>
      <c r="E58" s="40">
        <f t="shared" si="3"/>
        <v>282290.55436541972</v>
      </c>
      <c r="F58" s="37"/>
    </row>
    <row r="59" spans="1:6" x14ac:dyDescent="0.35">
      <c r="A59" s="37"/>
      <c r="B59" s="40">
        <f t="shared" si="4"/>
        <v>923.18891770740959</v>
      </c>
      <c r="C59" s="40">
        <f t="shared" si="1"/>
        <v>61914.738038607669</v>
      </c>
      <c r="D59" s="40">
        <f t="shared" si="2"/>
        <v>227450.66960016306</v>
      </c>
      <c r="E59" s="40">
        <f t="shared" si="3"/>
        <v>289365.40763877076</v>
      </c>
      <c r="F59" s="37"/>
    </row>
    <row r="60" spans="1:6" x14ac:dyDescent="0.35">
      <c r="A60" s="37"/>
      <c r="B60" s="40">
        <f t="shared" si="4"/>
        <v>963.32756630338395</v>
      </c>
      <c r="C60" s="40">
        <f t="shared" si="1"/>
        <v>59334.957286999015</v>
      </c>
      <c r="D60" s="40">
        <f t="shared" si="2"/>
        <v>237339.82914799624</v>
      </c>
      <c r="E60" s="40">
        <f t="shared" si="3"/>
        <v>296674.78643499524</v>
      </c>
      <c r="F60" s="37"/>
    </row>
    <row r="61" spans="1:6" x14ac:dyDescent="0.35">
      <c r="A61" s="37"/>
      <c r="B61" s="40">
        <f t="shared" si="4"/>
        <v>1003.4662148993583</v>
      </c>
      <c r="C61" s="40">
        <f t="shared" si="1"/>
        <v>56961.558995519052</v>
      </c>
      <c r="D61" s="40">
        <f t="shared" si="2"/>
        <v>247228.98869582944</v>
      </c>
      <c r="E61" s="40">
        <f t="shared" si="3"/>
        <v>304190.54769134847</v>
      </c>
      <c r="F61" s="37"/>
    </row>
    <row r="62" spans="1:6" x14ac:dyDescent="0.35">
      <c r="A62" s="37"/>
      <c r="B62" s="40">
        <f t="shared" si="4"/>
        <v>1043.6048634953327</v>
      </c>
      <c r="C62" s="40">
        <f t="shared" si="1"/>
        <v>54770.729803383707</v>
      </c>
      <c r="D62" s="40">
        <f t="shared" si="2"/>
        <v>257118.14824366261</v>
      </c>
      <c r="E62" s="40">
        <f t="shared" si="3"/>
        <v>311888.87804704631</v>
      </c>
      <c r="F62" s="37"/>
    </row>
    <row r="63" spans="1:6" x14ac:dyDescent="0.35">
      <c r="A63" s="37"/>
      <c r="B63" s="40"/>
      <c r="C63" s="40"/>
      <c r="D63" s="40"/>
      <c r="E63" s="40"/>
      <c r="F63" s="37"/>
    </row>
    <row r="64" spans="1:6" x14ac:dyDescent="0.35">
      <c r="A64" s="37"/>
      <c r="B64" s="40">
        <f>B19</f>
        <v>481.6637831516918</v>
      </c>
      <c r="C64" s="40">
        <v>0</v>
      </c>
      <c r="D64" s="40"/>
      <c r="E64" s="40"/>
      <c r="F64" s="37"/>
    </row>
    <row r="65" spans="1:6" x14ac:dyDescent="0.35">
      <c r="A65" s="37"/>
      <c r="B65" s="40">
        <f>B19</f>
        <v>481.6637831516918</v>
      </c>
      <c r="C65" s="40">
        <f>B24+B25</f>
        <v>237339.82914799618</v>
      </c>
      <c r="D65" s="40"/>
      <c r="E65" s="40"/>
      <c r="F65" s="37"/>
    </row>
    <row r="66" spans="1:6" x14ac:dyDescent="0.35">
      <c r="A66" s="37"/>
      <c r="B66" s="37"/>
      <c r="C66" s="37"/>
      <c r="D66" s="37"/>
      <c r="E66" s="37"/>
      <c r="F66" s="37"/>
    </row>
    <row r="67" spans="1:6" x14ac:dyDescent="0.35">
      <c r="A67" s="37"/>
      <c r="B67" s="37"/>
      <c r="C67" s="37"/>
      <c r="D67" s="37"/>
      <c r="E67" s="37"/>
      <c r="F67" s="37"/>
    </row>
    <row r="68" spans="1:6" x14ac:dyDescent="0.35">
      <c r="A68" s="37"/>
      <c r="B68" s="37"/>
      <c r="C68" s="37"/>
      <c r="D68" s="37"/>
      <c r="E68" s="37"/>
      <c r="F68" s="37"/>
    </row>
    <row r="69" spans="1:6" x14ac:dyDescent="0.35">
      <c r="A69" s="37"/>
      <c r="B69" s="37"/>
      <c r="C69" s="37"/>
      <c r="D69" s="37"/>
      <c r="E69" s="37"/>
      <c r="F69" s="37"/>
    </row>
    <row r="70" spans="1:6" x14ac:dyDescent="0.35">
      <c r="A70" s="37"/>
      <c r="B70" s="37"/>
      <c r="C70" s="37"/>
      <c r="D70" s="37"/>
      <c r="E70" s="37"/>
      <c r="F70" s="37"/>
    </row>
    <row r="71" spans="1:6" x14ac:dyDescent="0.35">
      <c r="A71" s="37"/>
      <c r="B71" s="37"/>
      <c r="C71" s="37"/>
      <c r="D71" s="37"/>
      <c r="E71" s="37"/>
      <c r="F71" s="37"/>
    </row>
    <row r="72" spans="1:6" x14ac:dyDescent="0.35">
      <c r="A72" s="37"/>
      <c r="B72" s="37"/>
      <c r="C72" s="37"/>
      <c r="D72" s="37"/>
      <c r="E72" s="37"/>
      <c r="F72" s="37"/>
    </row>
    <row r="73" spans="1:6" x14ac:dyDescent="0.35">
      <c r="A73" s="37"/>
      <c r="B73" s="37"/>
      <c r="C73" s="37"/>
      <c r="D73" s="37"/>
      <c r="E73" s="37"/>
      <c r="F73" s="37"/>
    </row>
    <row r="74" spans="1:6" x14ac:dyDescent="0.35">
      <c r="A74" s="37"/>
      <c r="B74" s="37"/>
      <c r="C74" s="37"/>
      <c r="D74" s="37"/>
      <c r="E74" s="37"/>
      <c r="F74" s="37"/>
    </row>
    <row r="75" spans="1:6" x14ac:dyDescent="0.35">
      <c r="A75" s="37"/>
      <c r="B75" s="37"/>
      <c r="C75" s="37"/>
      <c r="D75" s="37"/>
      <c r="E75" s="37"/>
      <c r="F75" s="37"/>
    </row>
    <row r="76" spans="1:6" x14ac:dyDescent="0.35">
      <c r="A76" s="37"/>
      <c r="B76" s="37"/>
      <c r="C76" s="37"/>
      <c r="D76" s="37"/>
      <c r="E76" s="37"/>
      <c r="F76" s="37"/>
    </row>
    <row r="77" spans="1:6" x14ac:dyDescent="0.35">
      <c r="A77" s="37"/>
      <c r="B77" s="37"/>
      <c r="C77" s="37"/>
      <c r="D77" s="37"/>
      <c r="E77" s="37"/>
      <c r="F77" s="37"/>
    </row>
    <row r="78" spans="1:6" x14ac:dyDescent="0.35">
      <c r="A78" s="37"/>
      <c r="B78" s="37"/>
      <c r="C78" s="37"/>
      <c r="D78" s="37"/>
      <c r="E78" s="37"/>
      <c r="F78" s="37"/>
    </row>
    <row r="79" spans="1:6" x14ac:dyDescent="0.35">
      <c r="A79" s="37"/>
      <c r="B79" s="37"/>
      <c r="C79" s="37"/>
      <c r="D79" s="37"/>
      <c r="E79" s="37"/>
      <c r="F79" s="37"/>
    </row>
    <row r="80" spans="1:6" x14ac:dyDescent="0.35">
      <c r="A80" s="37"/>
      <c r="B80" s="37"/>
      <c r="C80" s="37"/>
      <c r="D80" s="37"/>
      <c r="E80" s="37"/>
      <c r="F80" s="37"/>
    </row>
    <row r="81" spans="1:6" x14ac:dyDescent="0.35">
      <c r="A81" s="37"/>
      <c r="B81" s="37"/>
      <c r="C81" s="37"/>
      <c r="D81" s="37"/>
      <c r="E81" s="37"/>
      <c r="F81" s="37"/>
    </row>
    <row r="82" spans="1:6" x14ac:dyDescent="0.35">
      <c r="A82" s="37"/>
      <c r="B82" s="37"/>
      <c r="C82" s="37"/>
      <c r="D82" s="37"/>
      <c r="E82" s="37"/>
      <c r="F82" s="37"/>
    </row>
    <row r="83" spans="1:6" x14ac:dyDescent="0.35">
      <c r="A83" s="37"/>
      <c r="B83" s="37"/>
      <c r="C83" s="37"/>
      <c r="D83" s="37"/>
      <c r="E83" s="37"/>
      <c r="F83" s="37"/>
    </row>
    <row r="84" spans="1:6" x14ac:dyDescent="0.35">
      <c r="A84" s="37"/>
      <c r="B84" s="37"/>
      <c r="C84" s="37"/>
      <c r="D84" s="37"/>
      <c r="E84" s="37"/>
      <c r="F84" s="37"/>
    </row>
    <row r="85" spans="1:6" x14ac:dyDescent="0.35">
      <c r="A85" s="37"/>
      <c r="B85" s="37"/>
      <c r="C85" s="37"/>
      <c r="D85" s="37"/>
      <c r="E85" s="37"/>
      <c r="F85" s="37"/>
    </row>
    <row r="86" spans="1:6" x14ac:dyDescent="0.35">
      <c r="A86" s="37"/>
      <c r="B86" s="37"/>
      <c r="C86" s="37"/>
      <c r="D86" s="37"/>
      <c r="E86" s="37"/>
      <c r="F86" s="37"/>
    </row>
    <row r="87" spans="1:6" x14ac:dyDescent="0.35">
      <c r="A87" s="37"/>
      <c r="B87" s="37"/>
      <c r="C87" s="37"/>
      <c r="D87" s="37"/>
      <c r="E87" s="37"/>
      <c r="F87" s="37"/>
    </row>
    <row r="88" spans="1:6" x14ac:dyDescent="0.35">
      <c r="A88" s="37"/>
      <c r="B88" s="37"/>
      <c r="C88" s="37"/>
      <c r="D88" s="37"/>
      <c r="E88" s="37"/>
      <c r="F88" s="37"/>
    </row>
    <row r="89" spans="1:6" x14ac:dyDescent="0.35">
      <c r="A89" s="37"/>
      <c r="B89" s="37"/>
      <c r="C89" s="37"/>
      <c r="D89" s="37"/>
      <c r="E89" s="37"/>
      <c r="F89" s="37"/>
    </row>
    <row r="90" spans="1:6" x14ac:dyDescent="0.35">
      <c r="A90" s="37"/>
      <c r="B90" s="37"/>
      <c r="C90" s="37"/>
      <c r="D90" s="37"/>
      <c r="E90" s="37"/>
      <c r="F90" s="37"/>
    </row>
    <row r="91" spans="1:6" x14ac:dyDescent="0.35">
      <c r="A91" s="37"/>
      <c r="B91" s="37"/>
      <c r="C91" s="37"/>
      <c r="D91" s="37"/>
      <c r="E91" s="37"/>
      <c r="F91" s="37"/>
    </row>
    <row r="92" spans="1:6" x14ac:dyDescent="0.35">
      <c r="A92" s="37"/>
      <c r="B92" s="37"/>
      <c r="C92" s="37"/>
      <c r="D92" s="37"/>
      <c r="E92" s="37"/>
      <c r="F92" s="37"/>
    </row>
    <row r="93" spans="1:6" x14ac:dyDescent="0.35">
      <c r="A93" s="37"/>
      <c r="B93" s="37"/>
      <c r="C93" s="37"/>
      <c r="D93" s="37"/>
      <c r="E93" s="37"/>
      <c r="F93" s="37"/>
    </row>
    <row r="94" spans="1:6" x14ac:dyDescent="0.35">
      <c r="A94" s="37"/>
      <c r="B94" s="37"/>
      <c r="C94" s="37"/>
      <c r="D94" s="37"/>
      <c r="E94" s="37"/>
      <c r="F94" s="37"/>
    </row>
    <row r="95" spans="1:6" x14ac:dyDescent="0.35">
      <c r="A95" s="37"/>
      <c r="B95" s="37"/>
      <c r="C95" s="37"/>
      <c r="D95" s="37"/>
      <c r="E95" s="37"/>
      <c r="F95" s="37"/>
    </row>
    <row r="96" spans="1:6" x14ac:dyDescent="0.35">
      <c r="A96" s="37"/>
      <c r="B96" s="37"/>
      <c r="C96" s="37"/>
      <c r="D96" s="37"/>
      <c r="E96" s="37"/>
      <c r="F96" s="37"/>
    </row>
    <row r="97" spans="1:6" x14ac:dyDescent="0.35">
      <c r="A97" s="37"/>
      <c r="B97" s="37"/>
      <c r="C97" s="37"/>
      <c r="D97" s="37"/>
      <c r="E97" s="37"/>
      <c r="F97" s="37"/>
    </row>
    <row r="98" spans="1:6" x14ac:dyDescent="0.35">
      <c r="A98" s="37"/>
      <c r="B98" s="37"/>
      <c r="C98" s="37"/>
      <c r="D98" s="37"/>
      <c r="E98" s="37"/>
      <c r="F98" s="37"/>
    </row>
    <row r="99" spans="1:6" x14ac:dyDescent="0.35">
      <c r="A99" s="37"/>
      <c r="B99" s="37"/>
      <c r="C99" s="37"/>
      <c r="D99" s="37"/>
      <c r="E99" s="37"/>
      <c r="F99" s="37"/>
    </row>
    <row r="100" spans="1:6" x14ac:dyDescent="0.35">
      <c r="A100" s="37"/>
      <c r="B100" s="37"/>
      <c r="C100" s="37"/>
      <c r="D100" s="37"/>
      <c r="E100" s="37"/>
      <c r="F100" s="37"/>
    </row>
    <row r="101" spans="1:6" x14ac:dyDescent="0.35">
      <c r="A101" s="37"/>
      <c r="B101" s="37"/>
      <c r="C101" s="37"/>
      <c r="D101" s="37"/>
      <c r="E101" s="37"/>
      <c r="F101" s="37"/>
    </row>
    <row r="102" spans="1:6" x14ac:dyDescent="0.35">
      <c r="A102" s="37"/>
      <c r="B102" s="37"/>
      <c r="C102" s="37"/>
      <c r="D102" s="37"/>
      <c r="E102" s="37"/>
      <c r="F102" s="37"/>
    </row>
    <row r="103" spans="1:6" x14ac:dyDescent="0.35">
      <c r="A103" s="37"/>
      <c r="B103" s="37"/>
      <c r="C103" s="37"/>
      <c r="D103" s="37"/>
      <c r="E103" s="37"/>
      <c r="F103" s="37"/>
    </row>
    <row r="104" spans="1:6" x14ac:dyDescent="0.35">
      <c r="A104" s="37"/>
      <c r="B104" s="37"/>
      <c r="C104" s="37"/>
      <c r="D104" s="37"/>
      <c r="E104" s="37"/>
      <c r="F104" s="37"/>
    </row>
    <row r="105" spans="1:6" x14ac:dyDescent="0.35">
      <c r="A105" s="37"/>
      <c r="B105" s="37"/>
      <c r="C105" s="37"/>
      <c r="D105" s="37"/>
      <c r="E105" s="37"/>
      <c r="F105" s="37"/>
    </row>
    <row r="106" spans="1:6" x14ac:dyDescent="0.35">
      <c r="A106" s="37"/>
      <c r="B106" s="37"/>
      <c r="C106" s="37"/>
      <c r="D106" s="37"/>
      <c r="E106" s="37"/>
      <c r="F106" s="37"/>
    </row>
    <row r="107" spans="1:6" x14ac:dyDescent="0.35">
      <c r="A107" s="37"/>
      <c r="B107" s="37"/>
      <c r="C107" s="37"/>
      <c r="D107" s="37"/>
      <c r="E107" s="37"/>
      <c r="F107" s="37"/>
    </row>
    <row r="108" spans="1:6" x14ac:dyDescent="0.35">
      <c r="A108" s="37"/>
      <c r="B108" s="37"/>
      <c r="C108" s="37"/>
      <c r="D108" s="37"/>
      <c r="E108" s="37"/>
      <c r="F108" s="37"/>
    </row>
    <row r="109" spans="1:6" x14ac:dyDescent="0.35">
      <c r="A109" s="37"/>
      <c r="B109" s="37"/>
      <c r="C109" s="37"/>
      <c r="D109" s="37"/>
      <c r="E109" s="37"/>
      <c r="F109" s="37"/>
    </row>
    <row r="110" spans="1:6" x14ac:dyDescent="0.35">
      <c r="A110" s="37"/>
      <c r="B110" s="37"/>
      <c r="C110" s="37"/>
      <c r="D110" s="37"/>
      <c r="E110" s="37"/>
      <c r="F110" s="37"/>
    </row>
    <row r="111" spans="1:6" x14ac:dyDescent="0.35">
      <c r="A111" s="37"/>
      <c r="B111" s="37"/>
      <c r="C111" s="37"/>
      <c r="D111" s="37"/>
      <c r="E111" s="37"/>
      <c r="F111" s="37"/>
    </row>
    <row r="112" spans="1:6" x14ac:dyDescent="0.35">
      <c r="A112" s="37"/>
      <c r="B112" s="37"/>
      <c r="C112" s="37"/>
      <c r="D112" s="37"/>
      <c r="E112" s="37"/>
      <c r="F112" s="37"/>
    </row>
    <row r="113" spans="1:6" x14ac:dyDescent="0.35">
      <c r="A113" s="37"/>
      <c r="B113" s="37"/>
      <c r="C113" s="37"/>
      <c r="D113" s="37"/>
      <c r="E113" s="37"/>
      <c r="F113" s="37"/>
    </row>
    <row r="114" spans="1:6" x14ac:dyDescent="0.35">
      <c r="A114" s="37"/>
      <c r="B114" s="37"/>
      <c r="C114" s="37"/>
      <c r="D114" s="37"/>
      <c r="E114" s="37"/>
      <c r="F114" s="37"/>
    </row>
    <row r="115" spans="1:6" x14ac:dyDescent="0.35">
      <c r="A115" s="37"/>
      <c r="B115" s="37"/>
      <c r="C115" s="37"/>
      <c r="D115" s="37"/>
      <c r="E115" s="37"/>
      <c r="F115" s="37"/>
    </row>
    <row r="116" spans="1:6" x14ac:dyDescent="0.35">
      <c r="A116" s="37"/>
      <c r="B116" s="37"/>
      <c r="C116" s="37"/>
      <c r="D116" s="37"/>
      <c r="E116" s="37"/>
      <c r="F116" s="37"/>
    </row>
    <row r="117" spans="1:6" x14ac:dyDescent="0.35">
      <c r="A117" s="37"/>
      <c r="B117" s="37"/>
      <c r="C117" s="37"/>
      <c r="D117" s="37"/>
      <c r="E117" s="37"/>
      <c r="F117" s="37"/>
    </row>
    <row r="118" spans="1:6" x14ac:dyDescent="0.35">
      <c r="A118" s="37"/>
      <c r="B118" s="37"/>
      <c r="C118" s="37"/>
      <c r="D118" s="37"/>
      <c r="E118" s="37"/>
      <c r="F118" s="37"/>
    </row>
    <row r="119" spans="1:6" x14ac:dyDescent="0.35">
      <c r="A119" s="37"/>
      <c r="B119" s="37"/>
      <c r="C119" s="37"/>
      <c r="D119" s="37"/>
      <c r="E119" s="37"/>
      <c r="F119" s="37"/>
    </row>
    <row r="120" spans="1:6" x14ac:dyDescent="0.35">
      <c r="A120" s="37"/>
      <c r="B120" s="37"/>
      <c r="C120" s="37"/>
      <c r="D120" s="37"/>
      <c r="E120" s="37"/>
      <c r="F120" s="37"/>
    </row>
    <row r="121" spans="1:6" x14ac:dyDescent="0.35">
      <c r="A121" s="37"/>
      <c r="B121" s="37"/>
      <c r="C121" s="37"/>
      <c r="D121" s="37"/>
      <c r="E121" s="37"/>
      <c r="F121" s="37"/>
    </row>
    <row r="122" spans="1:6" x14ac:dyDescent="0.35">
      <c r="A122" s="37"/>
      <c r="B122" s="37"/>
      <c r="C122" s="37"/>
      <c r="D122" s="37"/>
      <c r="E122" s="37"/>
      <c r="F122" s="37"/>
    </row>
    <row r="123" spans="1:6" x14ac:dyDescent="0.35">
      <c r="A123" s="37"/>
      <c r="B123" s="37"/>
      <c r="C123" s="37"/>
      <c r="D123" s="37"/>
      <c r="E123" s="37"/>
      <c r="F123" s="37"/>
    </row>
    <row r="124" spans="1:6" x14ac:dyDescent="0.35">
      <c r="A124" s="37"/>
      <c r="B124" s="37"/>
      <c r="C124" s="37"/>
      <c r="D124" s="37"/>
      <c r="E124" s="37"/>
      <c r="F124" s="37"/>
    </row>
    <row r="125" spans="1:6" x14ac:dyDescent="0.35">
      <c r="A125" s="37"/>
      <c r="B125" s="37"/>
      <c r="C125" s="37"/>
      <c r="D125" s="37"/>
      <c r="E125" s="37"/>
      <c r="F125" s="37"/>
    </row>
    <row r="126" spans="1:6" x14ac:dyDescent="0.35">
      <c r="A126" s="37"/>
      <c r="B126" s="37"/>
      <c r="C126" s="37"/>
      <c r="D126" s="37"/>
      <c r="E126" s="37"/>
      <c r="F126" s="37"/>
    </row>
    <row r="127" spans="1:6" x14ac:dyDescent="0.35">
      <c r="A127" s="37"/>
      <c r="B127" s="37"/>
      <c r="C127" s="37"/>
      <c r="D127" s="37"/>
      <c r="E127" s="37"/>
      <c r="F127" s="37"/>
    </row>
    <row r="128" spans="1:6" x14ac:dyDescent="0.35">
      <c r="A128" s="37"/>
      <c r="B128" s="37"/>
      <c r="C128" s="37"/>
      <c r="D128" s="37"/>
      <c r="E128" s="37"/>
      <c r="F128" s="37"/>
    </row>
    <row r="129" spans="1:6" x14ac:dyDescent="0.35">
      <c r="A129" s="37"/>
      <c r="B129" s="37"/>
      <c r="C129" s="37"/>
      <c r="D129" s="37"/>
      <c r="E129" s="37"/>
      <c r="F129" s="37"/>
    </row>
    <row r="130" spans="1:6" x14ac:dyDescent="0.35">
      <c r="A130" s="37"/>
      <c r="B130" s="37"/>
      <c r="C130" s="37"/>
      <c r="D130" s="37"/>
      <c r="E130" s="37"/>
      <c r="F130" s="37"/>
    </row>
    <row r="131" spans="1:6" x14ac:dyDescent="0.35">
      <c r="A131" s="37"/>
      <c r="B131" s="37"/>
      <c r="C131" s="37"/>
      <c r="D131" s="37"/>
      <c r="E131" s="37"/>
      <c r="F131" s="37"/>
    </row>
    <row r="132" spans="1:6" x14ac:dyDescent="0.35">
      <c r="A132" s="37"/>
      <c r="B132" s="37"/>
      <c r="C132" s="37"/>
      <c r="D132" s="37"/>
      <c r="E132" s="37"/>
      <c r="F132" s="37"/>
    </row>
    <row r="133" spans="1:6" x14ac:dyDescent="0.35">
      <c r="A133" s="37"/>
      <c r="B133" s="37"/>
      <c r="C133" s="37"/>
      <c r="D133" s="37"/>
      <c r="E133" s="37"/>
      <c r="F133" s="37"/>
    </row>
    <row r="134" spans="1:6" x14ac:dyDescent="0.35">
      <c r="A134" s="37"/>
      <c r="B134" s="37"/>
      <c r="C134" s="37"/>
      <c r="D134" s="37"/>
      <c r="E134" s="37"/>
      <c r="F134" s="37"/>
    </row>
    <row r="135" spans="1:6" x14ac:dyDescent="0.35">
      <c r="A135" s="37"/>
      <c r="B135" s="37"/>
      <c r="C135" s="37"/>
      <c r="D135" s="37"/>
      <c r="E135" s="37"/>
      <c r="F135" s="37"/>
    </row>
    <row r="136" spans="1:6" x14ac:dyDescent="0.35">
      <c r="A136" s="37"/>
      <c r="B136" s="37"/>
      <c r="C136" s="37"/>
      <c r="D136" s="37"/>
      <c r="E136" s="37"/>
      <c r="F136" s="37"/>
    </row>
    <row r="137" spans="1:6" x14ac:dyDescent="0.35">
      <c r="A137" s="37"/>
      <c r="B137" s="37"/>
      <c r="C137" s="37"/>
      <c r="D137" s="37"/>
      <c r="E137" s="37"/>
      <c r="F137" s="37"/>
    </row>
    <row r="138" spans="1:6" x14ac:dyDescent="0.35">
      <c r="A138" s="37"/>
      <c r="B138" s="37"/>
      <c r="C138" s="37"/>
      <c r="D138" s="37"/>
      <c r="E138" s="37"/>
      <c r="F138" s="37"/>
    </row>
    <row r="139" spans="1:6" x14ac:dyDescent="0.35">
      <c r="A139" s="37"/>
      <c r="B139" s="37"/>
      <c r="C139" s="37"/>
      <c r="D139" s="37"/>
      <c r="E139" s="37"/>
      <c r="F139" s="37"/>
    </row>
    <row r="140" spans="1:6" x14ac:dyDescent="0.35">
      <c r="A140" s="37"/>
      <c r="B140" s="37"/>
      <c r="C140" s="37"/>
      <c r="D140" s="37"/>
      <c r="E140" s="37"/>
      <c r="F140" s="37"/>
    </row>
    <row r="141" spans="1:6" x14ac:dyDescent="0.35">
      <c r="A141" s="37"/>
      <c r="B141" s="37"/>
      <c r="C141" s="37"/>
      <c r="D141" s="37"/>
      <c r="E141" s="37"/>
      <c r="F141" s="37"/>
    </row>
    <row r="142" spans="1:6" x14ac:dyDescent="0.35">
      <c r="A142" s="37"/>
      <c r="B142" s="37"/>
      <c r="C142" s="37"/>
      <c r="D142" s="37"/>
      <c r="E142" s="37"/>
      <c r="F142" s="37"/>
    </row>
    <row r="143" spans="1:6" x14ac:dyDescent="0.35">
      <c r="A143" s="37"/>
      <c r="B143" s="37"/>
      <c r="C143" s="37"/>
      <c r="D143" s="37"/>
      <c r="E143" s="37"/>
      <c r="F143" s="37"/>
    </row>
  </sheetData>
  <mergeCells count="2">
    <mergeCell ref="H3:I3"/>
    <mergeCell ref="E4:F4"/>
  </mergeCells>
  <pageMargins left="0.7" right="0.7" top="0.75" bottom="0.75" header="0.3" footer="0.3"/>
  <pageSetup scale="78" orientation="portrait" horizontalDpi="1200" verticalDpi="1200" r:id="rId1"/>
  <ignoredErrors>
    <ignoredError sqref="I9:I27" formulaRange="1"/>
    <ignoredError sqref="B1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D12" sqref="D12"/>
    </sheetView>
  </sheetViews>
  <sheetFormatPr defaultColWidth="8.90625" defaultRowHeight="14.5" x14ac:dyDescent="0.35"/>
  <cols>
    <col min="1" max="1" width="20.6328125" style="18" customWidth="1"/>
    <col min="2" max="6" width="9.90625" style="18" customWidth="1"/>
    <col min="7" max="16384" width="8.90625" style="18"/>
  </cols>
  <sheetData>
    <row r="1" spans="1:10" ht="19.5" x14ac:dyDescent="0.45">
      <c r="A1" s="16" t="s">
        <v>33</v>
      </c>
      <c r="B1" s="19"/>
      <c r="C1" s="19"/>
      <c r="D1" s="19"/>
      <c r="E1" s="19"/>
      <c r="F1" s="19"/>
      <c r="G1" s="19"/>
      <c r="H1" s="19"/>
    </row>
    <row r="2" spans="1:10" x14ac:dyDescent="0.35">
      <c r="A2" s="17"/>
      <c r="B2" s="17"/>
    </row>
    <row r="4" spans="1:10" x14ac:dyDescent="0.35">
      <c r="A4" s="20" t="s">
        <v>34</v>
      </c>
    </row>
    <row r="5" spans="1:10" x14ac:dyDescent="0.35">
      <c r="A5" s="18" t="s">
        <v>35</v>
      </c>
      <c r="B5" s="105">
        <f>EOQ!B16</f>
        <v>152.5</v>
      </c>
    </row>
    <row r="6" spans="1:10" x14ac:dyDescent="0.35">
      <c r="A6" s="18" t="s">
        <v>36</v>
      </c>
      <c r="B6" s="106">
        <f>EOQ!B8</f>
        <v>492.75000000000006</v>
      </c>
    </row>
    <row r="7" spans="1:10" x14ac:dyDescent="0.35">
      <c r="A7" s="18" t="s">
        <v>37</v>
      </c>
      <c r="B7" s="95">
        <v>200</v>
      </c>
    </row>
    <row r="8" spans="1:10" x14ac:dyDescent="0.35">
      <c r="A8" s="18" t="s">
        <v>38</v>
      </c>
      <c r="B8" s="105">
        <f>EOQ!B22</f>
        <v>19.778319095666347</v>
      </c>
    </row>
    <row r="10" spans="1:10" ht="15" thickBot="1" x14ac:dyDescent="0.4">
      <c r="A10" s="21" t="s">
        <v>39</v>
      </c>
      <c r="B10" s="107">
        <v>-0.4</v>
      </c>
      <c r="C10" s="107">
        <v>-0.2</v>
      </c>
      <c r="D10" s="108">
        <v>0</v>
      </c>
      <c r="E10" s="107">
        <v>0.2</v>
      </c>
      <c r="F10" s="107">
        <v>0.4</v>
      </c>
      <c r="H10" s="21" t="s">
        <v>14</v>
      </c>
    </row>
    <row r="11" spans="1:10" ht="15" thickBot="1" x14ac:dyDescent="0.4">
      <c r="A11" s="22" t="s">
        <v>40</v>
      </c>
      <c r="B11" s="109">
        <v>0.2</v>
      </c>
      <c r="C11" s="109">
        <v>0.2</v>
      </c>
      <c r="D11" s="109">
        <v>0.2</v>
      </c>
      <c r="E11" s="109">
        <v>0.2</v>
      </c>
      <c r="F11" s="110">
        <v>0.2</v>
      </c>
      <c r="H11" s="124" t="s">
        <v>42</v>
      </c>
      <c r="I11" s="125" t="s">
        <v>43</v>
      </c>
      <c r="J11" s="126" t="s">
        <v>44</v>
      </c>
    </row>
    <row r="12" spans="1:10" ht="15" thickBot="1" x14ac:dyDescent="0.4">
      <c r="A12" s="23" t="s">
        <v>41</v>
      </c>
      <c r="B12" s="111">
        <f>D12*0.6</f>
        <v>13.2</v>
      </c>
      <c r="C12" s="111">
        <f>D12*0.8</f>
        <v>17.600000000000001</v>
      </c>
      <c r="D12" s="112">
        <f>EOQ!F11</f>
        <v>22</v>
      </c>
      <c r="E12" s="111">
        <f>D12*1.2</f>
        <v>26.4</v>
      </c>
      <c r="F12" s="113">
        <f>D12*1.4</f>
        <v>30.799999999999997</v>
      </c>
      <c r="H12" s="127" t="str">
        <f>IF(ABS(SUM($B$11:$F$11)-1)&gt;0.01,"Probabilities do not sum to 1","")</f>
        <v/>
      </c>
      <c r="I12" s="128"/>
      <c r="J12" s="129"/>
    </row>
    <row r="13" spans="1:10" ht="15" thickTop="1" x14ac:dyDescent="0.35">
      <c r="A13" s="24">
        <f>$F$12-F12</f>
        <v>0</v>
      </c>
      <c r="B13" s="114">
        <f>$A13*$B$6+MAX(0,B$12-($A13+$B$5))*$B$7*$B$8</f>
        <v>0</v>
      </c>
      <c r="C13" s="114">
        <f t="shared" ref="C13:F17" si="0">$A13*$B$6+MAX(0,C$12-($A13+$B$5))*$B$7*$B$8</f>
        <v>0</v>
      </c>
      <c r="D13" s="114">
        <f t="shared" si="0"/>
        <v>0</v>
      </c>
      <c r="E13" s="114">
        <f t="shared" si="0"/>
        <v>0</v>
      </c>
      <c r="F13" s="114">
        <f t="shared" si="0"/>
        <v>0</v>
      </c>
      <c r="H13" s="115">
        <f>SUMPRODUCT($B$11:$F$11,B13:F13)</f>
        <v>0</v>
      </c>
      <c r="I13" s="116">
        <f>MIN(B13:F13)</f>
        <v>0</v>
      </c>
      <c r="J13" s="117">
        <f>MAX(B13:F13)</f>
        <v>0</v>
      </c>
    </row>
    <row r="14" spans="1:10" x14ac:dyDescent="0.35">
      <c r="A14" s="24">
        <f>$F$12-E12</f>
        <v>4.3999999999999986</v>
      </c>
      <c r="B14" s="114">
        <f>$A14*$B$6+MAX(0,B$12-($A14+$B$5))*$B$7*$B$8</f>
        <v>2168.0999999999995</v>
      </c>
      <c r="C14" s="114">
        <f>$A14*$B$6+MAX(0,C$12-($A14+$B$5))*$B$7*$B$8</f>
        <v>2168.0999999999995</v>
      </c>
      <c r="D14" s="114">
        <f t="shared" si="0"/>
        <v>2168.0999999999995</v>
      </c>
      <c r="E14" s="114">
        <f t="shared" si="0"/>
        <v>2168.0999999999995</v>
      </c>
      <c r="F14" s="114">
        <f t="shared" si="0"/>
        <v>2168.0999999999995</v>
      </c>
      <c r="H14" s="115">
        <f>SUMPRODUCT($B$11:$F$11,B14:F14)</f>
        <v>2168.0999999999995</v>
      </c>
      <c r="I14" s="116">
        <f>MIN(B14:F14)</f>
        <v>2168.0999999999995</v>
      </c>
      <c r="J14" s="117">
        <f>MAX(B14:F14)</f>
        <v>2168.0999999999995</v>
      </c>
    </row>
    <row r="15" spans="1:10" x14ac:dyDescent="0.35">
      <c r="A15" s="24">
        <f>$F$12-D12</f>
        <v>8.7999999999999972</v>
      </c>
      <c r="B15" s="114">
        <f>$A15*$B$6+MAX(0,B$12-($A15+$B$5))*$B$7*$B$8</f>
        <v>4336.1999999999989</v>
      </c>
      <c r="C15" s="114">
        <f t="shared" si="0"/>
        <v>4336.1999999999989</v>
      </c>
      <c r="D15" s="114">
        <f t="shared" si="0"/>
        <v>4336.1999999999989</v>
      </c>
      <c r="E15" s="114">
        <f t="shared" si="0"/>
        <v>4336.1999999999989</v>
      </c>
      <c r="F15" s="114">
        <f t="shared" si="0"/>
        <v>4336.1999999999989</v>
      </c>
      <c r="H15" s="115">
        <f>SUMPRODUCT($B$11:$F$11,B15:F15)</f>
        <v>4336.1999999999989</v>
      </c>
      <c r="I15" s="116">
        <f>MIN(B15:F15)</f>
        <v>4336.1999999999989</v>
      </c>
      <c r="J15" s="117">
        <f>MAX(B15:F15)</f>
        <v>4336.1999999999989</v>
      </c>
    </row>
    <row r="16" spans="1:10" x14ac:dyDescent="0.35">
      <c r="A16" s="24">
        <f>$F$12-C12</f>
        <v>13.199999999999996</v>
      </c>
      <c r="B16" s="114">
        <f>$A16*$B$6+MAX(0,B$12-($A16+$B$5))*$B$7*$B$8</f>
        <v>6504.2999999999984</v>
      </c>
      <c r="C16" s="114">
        <f t="shared" si="0"/>
        <v>6504.2999999999984</v>
      </c>
      <c r="D16" s="114">
        <f t="shared" si="0"/>
        <v>6504.2999999999984</v>
      </c>
      <c r="E16" s="114">
        <f t="shared" si="0"/>
        <v>6504.2999999999984</v>
      </c>
      <c r="F16" s="114">
        <f t="shared" si="0"/>
        <v>6504.2999999999984</v>
      </c>
      <c r="H16" s="115">
        <f>SUMPRODUCT($B$11:$F$11,B16:F16)</f>
        <v>6504.2999999999984</v>
      </c>
      <c r="I16" s="116">
        <f>MIN(B16:F16)</f>
        <v>6504.2999999999984</v>
      </c>
      <c r="J16" s="117">
        <f>MAX(B16:F16)</f>
        <v>6504.2999999999984</v>
      </c>
    </row>
    <row r="17" spans="1:12" ht="15" thickBot="1" x14ac:dyDescent="0.4">
      <c r="A17" s="25">
        <f>$F$12-B12</f>
        <v>17.599999999999998</v>
      </c>
      <c r="B17" s="114">
        <f>$A17*$B$6+MAX(0,B$12-($A17+$B$5))*$B$7*$B$8</f>
        <v>8672.4</v>
      </c>
      <c r="C17" s="114">
        <f t="shared" si="0"/>
        <v>8672.4</v>
      </c>
      <c r="D17" s="114">
        <f t="shared" si="0"/>
        <v>8672.4</v>
      </c>
      <c r="E17" s="114">
        <f t="shared" si="0"/>
        <v>8672.4</v>
      </c>
      <c r="F17" s="114">
        <f t="shared" si="0"/>
        <v>8672.4</v>
      </c>
      <c r="H17" s="118">
        <f>SUMPRODUCT($B$11:$F$11,B17:F17)</f>
        <v>8672.4</v>
      </c>
      <c r="I17" s="119">
        <f>MIN(B17:F17)</f>
        <v>8672.4</v>
      </c>
      <c r="J17" s="120">
        <f>MAX(B17:F17)</f>
        <v>8672.4</v>
      </c>
    </row>
    <row r="18" spans="1:12" ht="15" thickBot="1" x14ac:dyDescent="0.4">
      <c r="G18" s="21" t="s">
        <v>43</v>
      </c>
      <c r="H18" s="121">
        <f>MIN(H13:H17)</f>
        <v>0</v>
      </c>
      <c r="I18" s="122">
        <f>MIN(I13:I17)</f>
        <v>0</v>
      </c>
      <c r="J18" s="123">
        <f>MIN(J13:J17)</f>
        <v>0</v>
      </c>
    </row>
    <row r="20" spans="1:12" ht="15" thickBot="1" x14ac:dyDescent="0.4">
      <c r="A20" s="21" t="s">
        <v>45</v>
      </c>
    </row>
    <row r="21" spans="1:12" x14ac:dyDescent="0.35">
      <c r="A21" s="18" t="s">
        <v>46</v>
      </c>
      <c r="B21" s="18">
        <f>MIN(B13:B17)</f>
        <v>0</v>
      </c>
      <c r="C21" s="18">
        <f>MIN(C13:C17)</f>
        <v>0</v>
      </c>
      <c r="D21" s="18">
        <f>MIN(D13:D17)</f>
        <v>0</v>
      </c>
      <c r="E21" s="18">
        <f>MIN(E13:E17)</f>
        <v>0</v>
      </c>
      <c r="F21" s="18">
        <f>MIN(F13:F17)</f>
        <v>0</v>
      </c>
      <c r="H21" s="96">
        <f>SUMPRODUCT($B$11:$F$11,B21:F21)</f>
        <v>0</v>
      </c>
      <c r="I21" s="97" t="s">
        <v>47</v>
      </c>
      <c r="J21" s="97"/>
      <c r="K21" s="97"/>
      <c r="L21" s="98"/>
    </row>
    <row r="22" spans="1:12" x14ac:dyDescent="0.35">
      <c r="H22" s="99">
        <f>H18</f>
        <v>0</v>
      </c>
      <c r="I22" s="100" t="s">
        <v>48</v>
      </c>
      <c r="J22" s="100"/>
      <c r="K22" s="100"/>
      <c r="L22" s="101"/>
    </row>
    <row r="23" spans="1:12" ht="15" thickBot="1" x14ac:dyDescent="0.4">
      <c r="G23" s="21"/>
      <c r="H23" s="102">
        <f>H18-H21</f>
        <v>0</v>
      </c>
      <c r="I23" s="103" t="s">
        <v>49</v>
      </c>
      <c r="J23" s="103"/>
      <c r="K23" s="103"/>
      <c r="L23" s="104"/>
    </row>
  </sheetData>
  <mergeCells count="3">
    <mergeCell ref="I21:L21"/>
    <mergeCell ref="I22:L22"/>
    <mergeCell ref="I23:L2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G64"/>
  <sheetViews>
    <sheetView topLeftCell="A8" zoomScale="90" zoomScaleNormal="90" workbookViewId="0">
      <selection activeCell="B11" sqref="B11"/>
    </sheetView>
  </sheetViews>
  <sheetFormatPr defaultRowHeight="15.5" x14ac:dyDescent="0.35"/>
  <cols>
    <col min="1" max="1" width="39.08984375" style="74" bestFit="1" customWidth="1"/>
    <col min="2" max="2" width="20.1796875" style="130" customWidth="1"/>
    <col min="3" max="3" width="13.1796875" style="74" customWidth="1"/>
    <col min="4" max="16384" width="8.7265625" style="74"/>
  </cols>
  <sheetData>
    <row r="1" spans="1:7" x14ac:dyDescent="0.35">
      <c r="A1" s="92"/>
    </row>
    <row r="2" spans="1:7" x14ac:dyDescent="0.35">
      <c r="A2" s="91">
        <f ca="1">NOW()</f>
        <v>43706.276460879628</v>
      </c>
    </row>
    <row r="4" spans="1:7" ht="19.5" x14ac:dyDescent="0.45">
      <c r="A4" s="1" t="s">
        <v>0</v>
      </c>
      <c r="B4" s="131" t="s">
        <v>1</v>
      </c>
      <c r="C4" s="73"/>
      <c r="D4" s="73"/>
      <c r="E4" s="73"/>
      <c r="F4" s="73"/>
      <c r="G4" s="73"/>
    </row>
    <row r="5" spans="1:7" x14ac:dyDescent="0.35">
      <c r="A5" s="75"/>
      <c r="B5" s="132"/>
    </row>
    <row r="8" spans="1:7" ht="16" thickBot="1" x14ac:dyDescent="0.4">
      <c r="A8" s="76" t="s">
        <v>2</v>
      </c>
    </row>
    <row r="9" spans="1:7" x14ac:dyDescent="0.35">
      <c r="A9" s="77" t="s">
        <v>3</v>
      </c>
      <c r="B9" s="133">
        <f>B15*C9</f>
        <v>9490</v>
      </c>
      <c r="C9" s="74">
        <v>26</v>
      </c>
    </row>
    <row r="10" spans="1:7" x14ac:dyDescent="0.35">
      <c r="A10" s="78" t="s">
        <v>4</v>
      </c>
      <c r="B10" s="134">
        <v>6000</v>
      </c>
    </row>
    <row r="11" spans="1:7" x14ac:dyDescent="0.35">
      <c r="A11" s="78" t="s">
        <v>5</v>
      </c>
      <c r="B11" s="135">
        <f>365*1.35</f>
        <v>492.75000000000006</v>
      </c>
      <c r="C11" s="79" t="s">
        <v>6</v>
      </c>
    </row>
    <row r="12" spans="1:7" ht="16" thickBot="1" x14ac:dyDescent="0.4">
      <c r="A12" s="80" t="s">
        <v>7</v>
      </c>
      <c r="B12" s="136">
        <v>95</v>
      </c>
    </row>
    <row r="13" spans="1:7" x14ac:dyDescent="0.35">
      <c r="A13" s="81"/>
    </row>
    <row r="14" spans="1:7" ht="16" thickBot="1" x14ac:dyDescent="0.4">
      <c r="A14" s="76" t="s">
        <v>8</v>
      </c>
    </row>
    <row r="15" spans="1:7" x14ac:dyDescent="0.35">
      <c r="A15" s="77" t="s">
        <v>9</v>
      </c>
      <c r="B15" s="133">
        <v>365</v>
      </c>
    </row>
    <row r="16" spans="1:7" x14ac:dyDescent="0.35">
      <c r="A16" s="78" t="s">
        <v>10</v>
      </c>
      <c r="B16" s="134">
        <f>IF(B15&gt;0,B9/B15,"")</f>
        <v>26</v>
      </c>
    </row>
    <row r="17" spans="1:3" x14ac:dyDescent="0.35">
      <c r="A17" s="78" t="s">
        <v>11</v>
      </c>
      <c r="B17" s="134">
        <v>5</v>
      </c>
    </row>
    <row r="18" spans="1:3" ht="16" thickBot="1" x14ac:dyDescent="0.4">
      <c r="A18" s="80" t="s">
        <v>12</v>
      </c>
      <c r="B18" s="136"/>
    </row>
    <row r="19" spans="1:3" ht="16" thickBot="1" x14ac:dyDescent="0.4">
      <c r="A19" s="82" t="s">
        <v>13</v>
      </c>
      <c r="B19" s="137">
        <f>B16*B17+B18</f>
        <v>130</v>
      </c>
    </row>
    <row r="20" spans="1:3" x14ac:dyDescent="0.35">
      <c r="A20" s="83"/>
      <c r="B20" s="138"/>
    </row>
    <row r="21" spans="1:3" ht="16" thickBot="1" x14ac:dyDescent="0.4">
      <c r="A21" s="84" t="s">
        <v>14</v>
      </c>
    </row>
    <row r="22" spans="1:3" x14ac:dyDescent="0.35">
      <c r="A22" s="85" t="s">
        <v>15</v>
      </c>
      <c r="B22" s="139">
        <f>SQRT(2*B9*B10/B11)</f>
        <v>480.74017006186523</v>
      </c>
      <c r="C22" s="74" t="s">
        <v>60</v>
      </c>
    </row>
    <row r="23" spans="1:3" x14ac:dyDescent="0.35">
      <c r="A23" s="86" t="s">
        <v>16</v>
      </c>
      <c r="B23" s="140">
        <f>B22 + B18</f>
        <v>480.74017006186523</v>
      </c>
    </row>
    <row r="24" spans="1:3" x14ac:dyDescent="0.35">
      <c r="A24" s="86" t="s">
        <v>17</v>
      </c>
      <c r="B24" s="140">
        <f>B22/2</f>
        <v>240.37008503093261</v>
      </c>
    </row>
    <row r="25" spans="1:3" x14ac:dyDescent="0.35">
      <c r="A25" s="86" t="s">
        <v>18</v>
      </c>
      <c r="B25" s="140">
        <f>B9/B22</f>
        <v>19.740393233165342</v>
      </c>
    </row>
    <row r="26" spans="1:3" x14ac:dyDescent="0.35">
      <c r="A26" s="86"/>
      <c r="B26" s="141"/>
    </row>
    <row r="27" spans="1:3" x14ac:dyDescent="0.35">
      <c r="A27" s="86" t="s">
        <v>19</v>
      </c>
      <c r="B27" s="142">
        <f>B24*B11</f>
        <v>118442.35939899206</v>
      </c>
    </row>
    <row r="28" spans="1:3" x14ac:dyDescent="0.35">
      <c r="A28" s="86" t="s">
        <v>20</v>
      </c>
      <c r="B28" s="142">
        <f>B25*B10</f>
        <v>118442.35939899205</v>
      </c>
    </row>
    <row r="29" spans="1:3" x14ac:dyDescent="0.35">
      <c r="A29" s="86"/>
      <c r="B29" s="142"/>
    </row>
    <row r="30" spans="1:3" x14ac:dyDescent="0.35">
      <c r="A30" s="86" t="s">
        <v>21</v>
      </c>
      <c r="B30" s="142">
        <f>B12*B9</f>
        <v>901550</v>
      </c>
    </row>
    <row r="31" spans="1:3" ht="18" thickBot="1" x14ac:dyDescent="0.5">
      <c r="A31" s="82" t="s">
        <v>59</v>
      </c>
      <c r="B31" s="143">
        <f>B27+B28+B30</f>
        <v>1138434.7187979841</v>
      </c>
    </row>
    <row r="33" spans="1:5" x14ac:dyDescent="0.35">
      <c r="A33" s="83"/>
      <c r="B33" s="138"/>
    </row>
    <row r="35" spans="1:5" x14ac:dyDescent="0.35">
      <c r="A35" s="87" t="s">
        <v>23</v>
      </c>
      <c r="B35" s="130" t="s">
        <v>24</v>
      </c>
      <c r="C35" s="88">
        <f>B22/4</f>
        <v>120.18504251546631</v>
      </c>
      <c r="D35" s="74" t="s">
        <v>25</v>
      </c>
      <c r="E35" s="88">
        <f>B22/12</f>
        <v>40.061680838488769</v>
      </c>
    </row>
    <row r="37" spans="1:5" ht="31" x14ac:dyDescent="0.35">
      <c r="B37" s="89" t="s">
        <v>26</v>
      </c>
      <c r="C37" s="89" t="s">
        <v>27</v>
      </c>
      <c r="D37" s="89" t="s">
        <v>28</v>
      </c>
      <c r="E37" s="89" t="s">
        <v>29</v>
      </c>
    </row>
    <row r="38" spans="1:5" x14ac:dyDescent="0.35">
      <c r="B38" s="144">
        <f>C35</f>
        <v>120.18504251546631</v>
      </c>
      <c r="C38" s="90">
        <f>$B$9*$B$10/B38</f>
        <v>473769.43759596819</v>
      </c>
      <c r="D38" s="90">
        <f>$B$11*B38/2</f>
        <v>29610.589849748016</v>
      </c>
      <c r="E38" s="90">
        <f>+C38+D38</f>
        <v>503380.0274457162</v>
      </c>
    </row>
    <row r="39" spans="1:5" x14ac:dyDescent="0.35">
      <c r="B39" s="144">
        <f>B38+$E$35</f>
        <v>160.24672335395508</v>
      </c>
      <c r="C39" s="90">
        <f t="shared" ref="C39:C61" si="0">$B$9*$B$10/B39</f>
        <v>355327.07819697616</v>
      </c>
      <c r="D39" s="90">
        <f t="shared" ref="D39:D61" si="1">$B$11*B39/2</f>
        <v>39480.78646633069</v>
      </c>
      <c r="E39" s="90">
        <f t="shared" ref="E39:E61" si="2">+C39+D39</f>
        <v>394807.86466330686</v>
      </c>
    </row>
    <row r="40" spans="1:5" x14ac:dyDescent="0.35">
      <c r="B40" s="144">
        <f t="shared" ref="B40:B61" si="3">B39+$E$35</f>
        <v>200.30840419244385</v>
      </c>
      <c r="C40" s="90">
        <f t="shared" si="0"/>
        <v>284261.66255758092</v>
      </c>
      <c r="D40" s="90">
        <f t="shared" si="1"/>
        <v>49350.983082913357</v>
      </c>
      <c r="E40" s="90">
        <f t="shared" si="2"/>
        <v>333612.6456404943</v>
      </c>
    </row>
    <row r="41" spans="1:5" x14ac:dyDescent="0.35">
      <c r="B41" s="144">
        <f t="shared" si="3"/>
        <v>240.37008503093261</v>
      </c>
      <c r="C41" s="90">
        <f t="shared" si="0"/>
        <v>236884.7187979841</v>
      </c>
      <c r="D41" s="90">
        <f t="shared" si="1"/>
        <v>59221.179699496031</v>
      </c>
      <c r="E41" s="90">
        <f t="shared" si="2"/>
        <v>296105.89849748014</v>
      </c>
    </row>
    <row r="42" spans="1:5" x14ac:dyDescent="0.35">
      <c r="B42" s="144">
        <f t="shared" si="3"/>
        <v>280.43176586942138</v>
      </c>
      <c r="C42" s="90">
        <f t="shared" si="0"/>
        <v>203044.04468398637</v>
      </c>
      <c r="D42" s="90">
        <f t="shared" si="1"/>
        <v>69091.376316078706</v>
      </c>
      <c r="E42" s="90">
        <f t="shared" si="2"/>
        <v>272135.42100006505</v>
      </c>
    </row>
    <row r="43" spans="1:5" x14ac:dyDescent="0.35">
      <c r="B43" s="144">
        <f t="shared" si="3"/>
        <v>320.49344670791015</v>
      </c>
      <c r="C43" s="90">
        <f t="shared" si="0"/>
        <v>177663.53909848808</v>
      </c>
      <c r="D43" s="90">
        <f t="shared" si="1"/>
        <v>78961.57293266138</v>
      </c>
      <c r="E43" s="90">
        <f t="shared" si="2"/>
        <v>256625.11203114945</v>
      </c>
    </row>
    <row r="44" spans="1:5" x14ac:dyDescent="0.35">
      <c r="B44" s="144">
        <f t="shared" si="3"/>
        <v>360.55512754639892</v>
      </c>
      <c r="C44" s="90">
        <f t="shared" si="0"/>
        <v>157923.14586532273</v>
      </c>
      <c r="D44" s="90">
        <f t="shared" si="1"/>
        <v>88831.76954924404</v>
      </c>
      <c r="E44" s="90">
        <f t="shared" si="2"/>
        <v>246754.91541456676</v>
      </c>
    </row>
    <row r="45" spans="1:5" x14ac:dyDescent="0.35">
      <c r="B45" s="144">
        <f t="shared" si="3"/>
        <v>400.61680838488769</v>
      </c>
      <c r="C45" s="90">
        <f t="shared" si="0"/>
        <v>142130.83127879046</v>
      </c>
      <c r="D45" s="90">
        <f t="shared" si="1"/>
        <v>98701.966165826714</v>
      </c>
      <c r="E45" s="90">
        <f t="shared" si="2"/>
        <v>240832.79744461717</v>
      </c>
    </row>
    <row r="46" spans="1:5" x14ac:dyDescent="0.35">
      <c r="B46" s="144">
        <f t="shared" si="3"/>
        <v>440.67848922337646</v>
      </c>
      <c r="C46" s="90">
        <f t="shared" si="0"/>
        <v>129209.84661708224</v>
      </c>
      <c r="D46" s="90">
        <f t="shared" si="1"/>
        <v>108572.16278240939</v>
      </c>
      <c r="E46" s="90">
        <f t="shared" si="2"/>
        <v>237782.00939949162</v>
      </c>
    </row>
    <row r="47" spans="1:5" x14ac:dyDescent="0.35">
      <c r="B47" s="144">
        <f t="shared" si="3"/>
        <v>480.74017006186523</v>
      </c>
      <c r="C47" s="90">
        <f t="shared" si="0"/>
        <v>118442.35939899205</v>
      </c>
      <c r="D47" s="90">
        <f t="shared" si="1"/>
        <v>118442.35939899206</v>
      </c>
      <c r="E47" s="90">
        <f t="shared" si="2"/>
        <v>236884.71879798413</v>
      </c>
    </row>
    <row r="48" spans="1:5" x14ac:dyDescent="0.35">
      <c r="B48" s="144">
        <f t="shared" si="3"/>
        <v>520.801850900354</v>
      </c>
      <c r="C48" s="90">
        <f t="shared" si="0"/>
        <v>109331.40867599266</v>
      </c>
      <c r="D48" s="90">
        <f t="shared" si="1"/>
        <v>128312.55601557474</v>
      </c>
      <c r="E48" s="90">
        <f t="shared" si="2"/>
        <v>237643.96469156741</v>
      </c>
    </row>
    <row r="49" spans="2:5" x14ac:dyDescent="0.35">
      <c r="B49" s="144">
        <f t="shared" si="3"/>
        <v>560.86353173884277</v>
      </c>
      <c r="C49" s="90">
        <f t="shared" si="0"/>
        <v>101522.02234199319</v>
      </c>
      <c r="D49" s="90">
        <f t="shared" si="1"/>
        <v>138182.75263215741</v>
      </c>
      <c r="E49" s="90">
        <f t="shared" si="2"/>
        <v>239704.77497415058</v>
      </c>
    </row>
    <row r="50" spans="2:5" x14ac:dyDescent="0.35">
      <c r="B50" s="144">
        <f t="shared" si="3"/>
        <v>600.92521257733154</v>
      </c>
      <c r="C50" s="90">
        <f t="shared" si="0"/>
        <v>94753.887519193639</v>
      </c>
      <c r="D50" s="90">
        <f t="shared" si="1"/>
        <v>148052.94924874007</v>
      </c>
      <c r="E50" s="90">
        <f t="shared" si="2"/>
        <v>242806.83676793371</v>
      </c>
    </row>
    <row r="51" spans="2:5" x14ac:dyDescent="0.35">
      <c r="B51" s="144">
        <f t="shared" si="3"/>
        <v>640.9868934158203</v>
      </c>
      <c r="C51" s="90">
        <f t="shared" si="0"/>
        <v>88831.76954924404</v>
      </c>
      <c r="D51" s="90">
        <f t="shared" si="1"/>
        <v>157923.14586532276</v>
      </c>
      <c r="E51" s="90">
        <f t="shared" si="2"/>
        <v>246754.91541456681</v>
      </c>
    </row>
    <row r="52" spans="2:5" x14ac:dyDescent="0.35">
      <c r="B52" s="144">
        <f t="shared" si="3"/>
        <v>681.04857425430907</v>
      </c>
      <c r="C52" s="90">
        <f t="shared" si="0"/>
        <v>83606.371340464975</v>
      </c>
      <c r="D52" s="90">
        <f t="shared" si="1"/>
        <v>167793.34248190542</v>
      </c>
      <c r="E52" s="90">
        <f t="shared" si="2"/>
        <v>251399.7138223704</v>
      </c>
    </row>
    <row r="53" spans="2:5" x14ac:dyDescent="0.35">
      <c r="B53" s="144">
        <f t="shared" si="3"/>
        <v>721.11025509279784</v>
      </c>
      <c r="C53" s="90">
        <f t="shared" si="0"/>
        <v>78961.572932661365</v>
      </c>
      <c r="D53" s="90">
        <f t="shared" si="1"/>
        <v>177663.53909848808</v>
      </c>
      <c r="E53" s="90">
        <f t="shared" si="2"/>
        <v>256625.11203114945</v>
      </c>
    </row>
    <row r="54" spans="2:5" x14ac:dyDescent="0.35">
      <c r="B54" s="144">
        <f t="shared" si="3"/>
        <v>761.17193593128661</v>
      </c>
      <c r="C54" s="90">
        <f t="shared" si="0"/>
        <v>74805.700673047613</v>
      </c>
      <c r="D54" s="90">
        <f t="shared" si="1"/>
        <v>187533.73571507077</v>
      </c>
      <c r="E54" s="90">
        <f t="shared" si="2"/>
        <v>262339.43638811837</v>
      </c>
    </row>
    <row r="55" spans="2:5" x14ac:dyDescent="0.35">
      <c r="B55" s="144">
        <f t="shared" si="3"/>
        <v>801.23361676977538</v>
      </c>
      <c r="C55" s="90">
        <f t="shared" si="0"/>
        <v>71065.415639395229</v>
      </c>
      <c r="D55" s="90">
        <f t="shared" si="1"/>
        <v>197403.93233165343</v>
      </c>
      <c r="E55" s="90">
        <f t="shared" si="2"/>
        <v>268469.34797104867</v>
      </c>
    </row>
    <row r="56" spans="2:5" x14ac:dyDescent="0.35">
      <c r="B56" s="144">
        <f t="shared" si="3"/>
        <v>841.29529760826415</v>
      </c>
      <c r="C56" s="90">
        <f t="shared" si="0"/>
        <v>67681.348227995462</v>
      </c>
      <c r="D56" s="90">
        <f t="shared" si="1"/>
        <v>207274.12894823612</v>
      </c>
      <c r="E56" s="90">
        <f t="shared" si="2"/>
        <v>274955.47717623156</v>
      </c>
    </row>
    <row r="57" spans="2:5" x14ac:dyDescent="0.35">
      <c r="B57" s="144">
        <f t="shared" si="3"/>
        <v>881.35697844675292</v>
      </c>
      <c r="C57" s="90">
        <f t="shared" si="0"/>
        <v>64604.923308541118</v>
      </c>
      <c r="D57" s="90">
        <f t="shared" si="1"/>
        <v>217144.32556481878</v>
      </c>
      <c r="E57" s="90">
        <f t="shared" si="2"/>
        <v>281749.24887335987</v>
      </c>
    </row>
    <row r="58" spans="2:5" x14ac:dyDescent="0.35">
      <c r="B58" s="144">
        <f t="shared" si="3"/>
        <v>921.41865928524169</v>
      </c>
      <c r="C58" s="90">
        <f t="shared" si="0"/>
        <v>61796.013599474114</v>
      </c>
      <c r="D58" s="90">
        <f t="shared" si="1"/>
        <v>227014.52218140144</v>
      </c>
      <c r="E58" s="90">
        <f t="shared" si="2"/>
        <v>288810.53578087554</v>
      </c>
    </row>
    <row r="59" spans="2:5" x14ac:dyDescent="0.35">
      <c r="B59" s="144">
        <f t="shared" si="3"/>
        <v>961.48034012373046</v>
      </c>
      <c r="C59" s="90">
        <f t="shared" si="0"/>
        <v>59221.179699496024</v>
      </c>
      <c r="D59" s="90">
        <f t="shared" si="1"/>
        <v>236884.71879798413</v>
      </c>
      <c r="E59" s="90">
        <f t="shared" si="2"/>
        <v>296105.89849748014</v>
      </c>
    </row>
    <row r="60" spans="2:5" x14ac:dyDescent="0.35">
      <c r="B60" s="144">
        <f t="shared" si="3"/>
        <v>1001.5420209622192</v>
      </c>
      <c r="C60" s="90">
        <f t="shared" si="0"/>
        <v>56852.332511516186</v>
      </c>
      <c r="D60" s="90">
        <f t="shared" si="1"/>
        <v>246754.91541456679</v>
      </c>
      <c r="E60" s="90">
        <f t="shared" si="2"/>
        <v>303607.24792608299</v>
      </c>
    </row>
    <row r="61" spans="2:5" x14ac:dyDescent="0.35">
      <c r="B61" s="144">
        <f t="shared" si="3"/>
        <v>1041.603701800708</v>
      </c>
      <c r="C61" s="90">
        <f t="shared" si="0"/>
        <v>54665.704337996329</v>
      </c>
      <c r="D61" s="90">
        <f t="shared" si="1"/>
        <v>256625.11203114947</v>
      </c>
      <c r="E61" s="90">
        <f t="shared" si="2"/>
        <v>311290.81636914582</v>
      </c>
    </row>
    <row r="62" spans="2:5" x14ac:dyDescent="0.35">
      <c r="B62" s="144"/>
      <c r="C62" s="90"/>
      <c r="D62" s="90"/>
      <c r="E62" s="90"/>
    </row>
    <row r="63" spans="2:5" x14ac:dyDescent="0.35">
      <c r="B63" s="144">
        <f>B22</f>
        <v>480.74017006186523</v>
      </c>
      <c r="C63" s="90">
        <v>0</v>
      </c>
      <c r="D63" s="90"/>
      <c r="E63" s="90"/>
    </row>
    <row r="64" spans="2:5" x14ac:dyDescent="0.35">
      <c r="B64" s="144">
        <f>B22</f>
        <v>480.74017006186523</v>
      </c>
      <c r="C64" s="90">
        <f>B27+B28</f>
        <v>236884.71879798413</v>
      </c>
      <c r="D64" s="90"/>
      <c r="E64" s="90"/>
    </row>
  </sheetData>
  <conditionalFormatting sqref="E10">
    <cfRule type="expression" dxfId="1" priority="2">
      <formula>ISNUMBER(E9)</formula>
    </cfRule>
  </conditionalFormatting>
  <conditionalFormatting sqref="B16">
    <cfRule type="expression" dxfId="0" priority="1">
      <formula>ISNUMBER(B15)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EOQ</vt:lpstr>
      <vt:lpstr>SafetyStock</vt:lpstr>
      <vt:lpstr>EOQ (2)</vt:lpstr>
      <vt:lpstr>EOQ!Print_Area</vt:lpstr>
    </vt:vector>
  </TitlesOfParts>
  <Company>University of Connecticut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Calvert</dc:creator>
  <cp:lastModifiedBy>Craig Calvert</cp:lastModifiedBy>
  <dcterms:created xsi:type="dcterms:W3CDTF">2019-06-20T17:48:32Z</dcterms:created>
  <dcterms:modified xsi:type="dcterms:W3CDTF">2019-08-29T10:38:13Z</dcterms:modified>
</cp:coreProperties>
</file>