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drawings/drawing3.xml" ContentType="application/vnd.openxmlformats-officedocument.drawing+xml"/>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drawings/drawing4.xml" ContentType="application/vnd.openxmlformats-officedocument.drawing+xml"/>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drawings/drawing5.xml" ContentType="application/vnd.openxmlformats-officedocument.drawing+xml"/>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drawings/drawing6.xml" ContentType="application/vnd.openxmlformats-officedocument.drawing+xml"/>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iles2\data\Gerhardt\My Documents\GitHub\Chemspeed_Autosuite_programs\Synthesis\NHC catalyzed dicarbofunctionalization\Jared\Thesis\"/>
    </mc:Choice>
  </mc:AlternateContent>
  <xr:revisionPtr revIDLastSave="0" documentId="13_ncr:1_{FD2476C6-0515-43C0-84C4-CE535F6AD040}" xr6:coauthVersionLast="47" xr6:coauthVersionMax="47" xr10:uidLastSave="{00000000-0000-0000-0000-000000000000}"/>
  <bookViews>
    <workbookView xWindow="-108" yWindow="-108" windowWidth="30936" windowHeight="16776" xr2:uid="{00000000-000D-0000-FFFF-FFFF00000000}"/>
  </bookViews>
  <sheets>
    <sheet name="All" sheetId="8" r:id="rId1"/>
    <sheet name="Trial 3" sheetId="4" r:id="rId2"/>
    <sheet name="Trial 4" sheetId="5" r:id="rId3"/>
    <sheet name="Trial 5" sheetId="6" r:id="rId4"/>
    <sheet name="Trial 6" sheetId="7" r:id="rId5"/>
    <sheet name="Trial 7" sheetId="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27" i="1" l="1"/>
  <c r="AN124" i="1"/>
  <c r="AN121" i="1"/>
  <c r="AN151" i="1"/>
  <c r="AN148" i="1"/>
  <c r="AN145" i="1"/>
  <c r="AN142" i="1"/>
  <c r="AN139" i="1"/>
  <c r="AN136" i="1"/>
  <c r="AN133" i="1"/>
  <c r="AN130" i="1"/>
  <c r="S84" i="7"/>
  <c r="T84" i="7" s="1"/>
  <c r="S85" i="7"/>
  <c r="T85" i="7" s="1"/>
  <c r="U85" i="7" s="1"/>
  <c r="S86" i="7"/>
  <c r="S87" i="7"/>
  <c r="S88" i="7"/>
  <c r="S89" i="7"/>
  <c r="S90" i="7"/>
  <c r="T90" i="7" s="1"/>
  <c r="S91" i="7"/>
  <c r="S92" i="7"/>
  <c r="T92" i="7" s="1"/>
  <c r="S93" i="7"/>
  <c r="T93" i="7" s="1"/>
  <c r="T88" i="7"/>
  <c r="S83" i="7"/>
  <c r="U68" i="7"/>
  <c r="V68" i="7" s="1"/>
  <c r="R93" i="7"/>
  <c r="R92" i="7"/>
  <c r="R91" i="7"/>
  <c r="R90" i="7"/>
  <c r="R89" i="7"/>
  <c r="R88" i="7"/>
  <c r="R87" i="7"/>
  <c r="T87" i="7" s="1"/>
  <c r="T86" i="7"/>
  <c r="R86" i="7"/>
  <c r="R85" i="7"/>
  <c r="R84" i="7"/>
  <c r="R83" i="7"/>
  <c r="R82" i="7"/>
  <c r="U78" i="7"/>
  <c r="T78" i="7"/>
  <c r="V77" i="7"/>
  <c r="U77" i="7"/>
  <c r="T77" i="7"/>
  <c r="U76" i="7"/>
  <c r="V76" i="7" s="1"/>
  <c r="T76" i="7"/>
  <c r="U75" i="7"/>
  <c r="V75" i="7" s="1"/>
  <c r="T75" i="7"/>
  <c r="U74" i="7"/>
  <c r="T74" i="7"/>
  <c r="U73" i="7"/>
  <c r="T73" i="7"/>
  <c r="V73" i="7" s="1"/>
  <c r="U72" i="7"/>
  <c r="T72" i="7"/>
  <c r="U71" i="7"/>
  <c r="T71" i="7"/>
  <c r="V71" i="7" s="1"/>
  <c r="U70" i="7"/>
  <c r="V70" i="7" s="1"/>
  <c r="T70" i="7"/>
  <c r="U69" i="7"/>
  <c r="T69" i="7"/>
  <c r="T68" i="7"/>
  <c r="T67" i="7"/>
  <c r="V74" i="7" l="1"/>
  <c r="V78" i="7"/>
  <c r="T83" i="7"/>
  <c r="U82" i="7" s="1"/>
  <c r="T91" i="7"/>
  <c r="U91" i="7" s="1"/>
  <c r="V72" i="7"/>
  <c r="T89" i="7"/>
  <c r="U88" i="7" s="1"/>
  <c r="V69" i="7"/>
  <c r="AA38" i="7"/>
  <c r="AA39" i="7"/>
  <c r="AA40" i="7"/>
  <c r="AA41" i="7"/>
  <c r="AA42" i="7"/>
  <c r="AA43" i="7"/>
  <c r="AA44" i="7"/>
  <c r="AA45" i="7"/>
  <c r="AA46" i="7"/>
  <c r="AA47" i="7"/>
  <c r="AA48" i="7"/>
  <c r="AA37" i="7"/>
  <c r="X38" i="7"/>
  <c r="X39" i="7"/>
  <c r="X40" i="7"/>
  <c r="X41" i="7"/>
  <c r="X42" i="7"/>
  <c r="X43" i="7"/>
  <c r="X44" i="7"/>
  <c r="X45" i="7"/>
  <c r="X46" i="7"/>
  <c r="X47" i="7"/>
  <c r="X48" i="7"/>
  <c r="X37" i="7"/>
  <c r="U38" i="7"/>
  <c r="U39" i="7"/>
  <c r="U40" i="7"/>
  <c r="U41" i="7"/>
  <c r="U42" i="7"/>
  <c r="U43" i="7"/>
  <c r="U44" i="7"/>
  <c r="U45" i="7"/>
  <c r="U46" i="7"/>
  <c r="U47" i="7"/>
  <c r="U48" i="7"/>
  <c r="U37" i="7"/>
  <c r="R38" i="7"/>
  <c r="R39" i="7"/>
  <c r="R40" i="7"/>
  <c r="R41" i="7"/>
  <c r="R42" i="7"/>
  <c r="R43" i="7"/>
  <c r="S43" i="7" s="1"/>
  <c r="R44" i="7"/>
  <c r="R45" i="7"/>
  <c r="S45" i="7" s="1"/>
  <c r="R46" i="7"/>
  <c r="S46" i="7" s="1"/>
  <c r="R47" i="7"/>
  <c r="S47" i="7" s="1"/>
  <c r="R48" i="7"/>
  <c r="S48" i="7" s="1"/>
  <c r="R37" i="7"/>
  <c r="O38" i="7"/>
  <c r="O39" i="7"/>
  <c r="O40" i="7"/>
  <c r="O41" i="7"/>
  <c r="O42" i="7"/>
  <c r="O43" i="7"/>
  <c r="O44" i="7"/>
  <c r="O45" i="7"/>
  <c r="O46" i="7"/>
  <c r="O47" i="7"/>
  <c r="O48" i="7"/>
  <c r="O37" i="7"/>
  <c r="AC38" i="7"/>
  <c r="AE38" i="7" s="1"/>
  <c r="AC39" i="7"/>
  <c r="AE39" i="7" s="1"/>
  <c r="AC46" i="7"/>
  <c r="AE46" i="7" s="1"/>
  <c r="AC47" i="7"/>
  <c r="AE47" i="7" s="1"/>
  <c r="S44" i="7"/>
  <c r="I88" i="7"/>
  <c r="N25" i="7"/>
  <c r="M25" i="7" s="1"/>
  <c r="N24" i="7"/>
  <c r="M24" i="7" s="1"/>
  <c r="N23" i="7"/>
  <c r="M23" i="7" s="1"/>
  <c r="N22" i="7"/>
  <c r="M22" i="7" s="1"/>
  <c r="Z40" i="7" s="1"/>
  <c r="AB40" i="7" s="1"/>
  <c r="G22" i="7"/>
  <c r="I18" i="7"/>
  <c r="AC44" i="7" s="1"/>
  <c r="AE44" i="7" s="1"/>
  <c r="Q17" i="7"/>
  <c r="S17" i="7" s="1"/>
  <c r="K17" i="7"/>
  <c r="F17" i="7"/>
  <c r="I17" i="7" s="1"/>
  <c r="J17" i="7" s="1"/>
  <c r="Q16" i="7"/>
  <c r="S16" i="7" s="1"/>
  <c r="K16" i="7"/>
  <c r="F16" i="7"/>
  <c r="I16" i="7" s="1"/>
  <c r="Q15" i="7"/>
  <c r="S15" i="7" s="1"/>
  <c r="K15" i="7"/>
  <c r="F15" i="7"/>
  <c r="H15" i="7" s="1"/>
  <c r="Q14" i="7"/>
  <c r="S14" i="7" s="1"/>
  <c r="K14" i="7"/>
  <c r="F14" i="7"/>
  <c r="I14" i="7" s="1"/>
  <c r="J14" i="7" s="1"/>
  <c r="V13" i="7"/>
  <c r="Q13" i="7"/>
  <c r="S13" i="7" s="1"/>
  <c r="K13" i="7"/>
  <c r="F13" i="7"/>
  <c r="I13" i="7" s="1"/>
  <c r="Q12" i="7"/>
  <c r="S12" i="7" s="1"/>
  <c r="K12" i="7"/>
  <c r="F12" i="7"/>
  <c r="H12" i="7" s="1"/>
  <c r="V11" i="7"/>
  <c r="K11" i="7"/>
  <c r="F11" i="7"/>
  <c r="I11" i="7" s="1"/>
  <c r="AC43" i="7" l="1"/>
  <c r="AE43" i="7" s="1"/>
  <c r="AC42" i="7"/>
  <c r="AE42" i="7" s="1"/>
  <c r="Z47" i="7"/>
  <c r="Z39" i="7"/>
  <c r="M11" i="7"/>
  <c r="N48" i="7" s="1"/>
  <c r="P48" i="7" s="1"/>
  <c r="AC41" i="7"/>
  <c r="AE41" i="7" s="1"/>
  <c r="Z46" i="7"/>
  <c r="Z38" i="7"/>
  <c r="AB38" i="7" s="1"/>
  <c r="AC48" i="7"/>
  <c r="AE48" i="7" s="1"/>
  <c r="AC40" i="7"/>
  <c r="AE40" i="7" s="1"/>
  <c r="Z45" i="7"/>
  <c r="AB45" i="7" s="1"/>
  <c r="Z44" i="7"/>
  <c r="AB44" i="7" s="1"/>
  <c r="Z43" i="7"/>
  <c r="AB43" i="7" s="1"/>
  <c r="Z42" i="7"/>
  <c r="AB42" i="7" s="1"/>
  <c r="AC37" i="7"/>
  <c r="AE37" i="7" s="1"/>
  <c r="AC45" i="7"/>
  <c r="AE45" i="7" s="1"/>
  <c r="Z37" i="7"/>
  <c r="Z41" i="7"/>
  <c r="AB41" i="7" s="1"/>
  <c r="Z48" i="7"/>
  <c r="AB48" i="7" s="1"/>
  <c r="AB47" i="7"/>
  <c r="AB39" i="7"/>
  <c r="AB46" i="7"/>
  <c r="AB37" i="7"/>
  <c r="N42" i="7"/>
  <c r="P42" i="7" s="1"/>
  <c r="N39" i="7"/>
  <c r="P39" i="7" s="1"/>
  <c r="N47" i="7"/>
  <c r="P47" i="7" s="1"/>
  <c r="N40" i="7"/>
  <c r="P40" i="7" s="1"/>
  <c r="N43" i="7"/>
  <c r="P43" i="7" s="1"/>
  <c r="N44" i="7"/>
  <c r="P44" i="7" s="1"/>
  <c r="I12" i="7"/>
  <c r="H14" i="7"/>
  <c r="J16" i="7"/>
  <c r="M16" i="7"/>
  <c r="P14" i="7"/>
  <c r="R14" i="7" s="1"/>
  <c r="T23" i="7" s="1"/>
  <c r="N14" i="7"/>
  <c r="M13" i="7"/>
  <c r="T13" i="7"/>
  <c r="W13" i="7" s="1"/>
  <c r="T22" i="7" s="1"/>
  <c r="J13" i="7"/>
  <c r="P17" i="7"/>
  <c r="R17" i="7" s="1"/>
  <c r="T26" i="7" s="1"/>
  <c r="N17" i="7"/>
  <c r="T11" i="7"/>
  <c r="W11" i="7" s="1"/>
  <c r="T20" i="7" s="1"/>
  <c r="M14" i="7"/>
  <c r="I15" i="7"/>
  <c r="M17" i="7"/>
  <c r="H13" i="7"/>
  <c r="H16" i="7"/>
  <c r="N61" i="7" l="1"/>
  <c r="I13" i="8" s="1"/>
  <c r="N45" i="7"/>
  <c r="P45" i="7" s="1"/>
  <c r="N37" i="7"/>
  <c r="P37" i="7" s="1"/>
  <c r="N38" i="7"/>
  <c r="P38" i="7" s="1"/>
  <c r="N46" i="7"/>
  <c r="P46" i="7" s="1"/>
  <c r="N60" i="7"/>
  <c r="I12" i="8" s="1"/>
  <c r="N41" i="7"/>
  <c r="P41" i="7" s="1"/>
  <c r="W38" i="7"/>
  <c r="Y38" i="7" s="1"/>
  <c r="W46" i="7"/>
  <c r="Y46" i="7" s="1"/>
  <c r="W39" i="7"/>
  <c r="Y39" i="7" s="1"/>
  <c r="W47" i="7"/>
  <c r="Y47" i="7" s="1"/>
  <c r="W37" i="7"/>
  <c r="Y37" i="7" s="1"/>
  <c r="W40" i="7"/>
  <c r="Y40" i="7" s="1"/>
  <c r="W48" i="7"/>
  <c r="Y48" i="7" s="1"/>
  <c r="W41" i="7"/>
  <c r="Y41" i="7" s="1"/>
  <c r="W42" i="7"/>
  <c r="Y42" i="7" s="1"/>
  <c r="W43" i="7"/>
  <c r="Y43" i="7" s="1"/>
  <c r="W44" i="7"/>
  <c r="Y44" i="7" s="1"/>
  <c r="W45" i="7"/>
  <c r="Y45" i="7" s="1"/>
  <c r="M12" i="7"/>
  <c r="J12" i="7"/>
  <c r="Q41" i="7"/>
  <c r="S41" i="7" s="1"/>
  <c r="Q42" i="7"/>
  <c r="S42" i="7" s="1"/>
  <c r="Q40" i="7"/>
  <c r="S40" i="7" s="1"/>
  <c r="M6" i="7"/>
  <c r="N6" i="7" s="1"/>
  <c r="T44" i="7"/>
  <c r="V44" i="7" s="1"/>
  <c r="T45" i="7"/>
  <c r="V45" i="7" s="1"/>
  <c r="T37" i="7"/>
  <c r="V37" i="7" s="1"/>
  <c r="T38" i="7"/>
  <c r="V38" i="7" s="1"/>
  <c r="T46" i="7"/>
  <c r="V46" i="7" s="1"/>
  <c r="T41" i="7"/>
  <c r="V41" i="7" s="1"/>
  <c r="T39" i="7"/>
  <c r="V39" i="7" s="1"/>
  <c r="T47" i="7"/>
  <c r="V47" i="7" s="1"/>
  <c r="T40" i="7"/>
  <c r="V40" i="7" s="1"/>
  <c r="T48" i="7"/>
  <c r="V48" i="7" s="1"/>
  <c r="T42" i="7"/>
  <c r="V42" i="7" s="1"/>
  <c r="T43" i="7"/>
  <c r="V43" i="7" s="1"/>
  <c r="E59" i="7"/>
  <c r="E60" i="7"/>
  <c r="E58" i="7"/>
  <c r="D63" i="7"/>
  <c r="D61" i="7"/>
  <c r="D59" i="7"/>
  <c r="D57" i="7"/>
  <c r="D55" i="7"/>
  <c r="D53" i="7"/>
  <c r="D58" i="7"/>
  <c r="D60" i="7"/>
  <c r="D54" i="7"/>
  <c r="D62" i="7"/>
  <c r="D56" i="7"/>
  <c r="D52" i="7"/>
  <c r="N16" i="7"/>
  <c r="P16" i="7"/>
  <c r="R16" i="7" s="1"/>
  <c r="T25" i="7" s="1"/>
  <c r="E57" i="7"/>
  <c r="E55" i="7"/>
  <c r="E56" i="7"/>
  <c r="B5" i="7"/>
  <c r="G63" i="7"/>
  <c r="G62" i="7"/>
  <c r="G60" i="7"/>
  <c r="G58" i="7"/>
  <c r="G56" i="7"/>
  <c r="G54" i="7"/>
  <c r="G52" i="7"/>
  <c r="G57" i="7"/>
  <c r="G53" i="7"/>
  <c r="G59" i="7"/>
  <c r="G61" i="7"/>
  <c r="G55" i="7"/>
  <c r="P13" i="7"/>
  <c r="R13" i="7" s="1"/>
  <c r="N13" i="7"/>
  <c r="M15" i="7"/>
  <c r="J15" i="7"/>
  <c r="N59" i="7" l="1"/>
  <c r="I11" i="8" s="1"/>
  <c r="N56" i="7"/>
  <c r="I8" i="8" s="1"/>
  <c r="N58" i="7"/>
  <c r="I10" i="8" s="1"/>
  <c r="Q38" i="7"/>
  <c r="S38" i="7" s="1"/>
  <c r="Q39" i="7"/>
  <c r="S39" i="7" s="1"/>
  <c r="Q37" i="7"/>
  <c r="S37" i="7" s="1"/>
  <c r="N57" i="7" s="1"/>
  <c r="I9" i="8" s="1"/>
  <c r="P12" i="7"/>
  <c r="R12" i="7" s="1"/>
  <c r="T21" i="7" s="1"/>
  <c r="N12" i="7"/>
  <c r="N15" i="7"/>
  <c r="P15" i="7"/>
  <c r="R15" i="7" s="1"/>
  <c r="T24" i="7" s="1"/>
  <c r="F57" i="7"/>
  <c r="F63" i="7"/>
  <c r="F62" i="7"/>
  <c r="F60" i="7"/>
  <c r="F58" i="7"/>
  <c r="F56" i="7"/>
  <c r="F54" i="7"/>
  <c r="F52" i="7"/>
  <c r="F59" i="7"/>
  <c r="F55" i="7"/>
  <c r="F61" i="7"/>
  <c r="F53" i="7"/>
  <c r="E61" i="7" l="1"/>
  <c r="E62" i="7"/>
  <c r="E63" i="7"/>
  <c r="E53" i="7"/>
  <c r="E54" i="7"/>
  <c r="E52" i="7"/>
  <c r="AJ143" i="6" l="1"/>
  <c r="AJ144" i="6"/>
  <c r="AJ142" i="6"/>
  <c r="AV147" i="6"/>
  <c r="AS147" i="6"/>
  <c r="AP147" i="6"/>
  <c r="AM147" i="6"/>
  <c r="AJ147" i="6"/>
  <c r="AV146" i="6"/>
  <c r="AS146" i="6"/>
  <c r="AP146" i="6"/>
  <c r="AM146" i="6"/>
  <c r="AJ146" i="6"/>
  <c r="AV145" i="6"/>
  <c r="AS145" i="6"/>
  <c r="AP145" i="6"/>
  <c r="AM145" i="6"/>
  <c r="AJ145" i="6"/>
  <c r="AV144" i="6"/>
  <c r="AS144" i="6"/>
  <c r="AP144" i="6"/>
  <c r="AM144" i="6"/>
  <c r="AV143" i="6"/>
  <c r="AS143" i="6"/>
  <c r="AP143" i="6"/>
  <c r="AM143" i="6"/>
  <c r="AV142" i="6"/>
  <c r="AS142" i="6"/>
  <c r="AP142" i="6"/>
  <c r="AM142" i="6"/>
  <c r="AV141" i="6"/>
  <c r="AS141" i="6"/>
  <c r="AP141" i="6"/>
  <c r="AM141" i="6"/>
  <c r="AJ141" i="6"/>
  <c r="AV140" i="6"/>
  <c r="AS140" i="6"/>
  <c r="AP140" i="6"/>
  <c r="AM140" i="6"/>
  <c r="AJ140" i="6"/>
  <c r="AV139" i="6"/>
  <c r="AS139" i="6"/>
  <c r="AP139" i="6"/>
  <c r="AM139" i="6"/>
  <c r="AJ139" i="6"/>
  <c r="AV138" i="6"/>
  <c r="AS138" i="6"/>
  <c r="AP138" i="6"/>
  <c r="AM138" i="6"/>
  <c r="AJ138" i="6"/>
  <c r="AV137" i="6"/>
  <c r="AS137" i="6"/>
  <c r="AP137" i="6"/>
  <c r="AM137" i="6"/>
  <c r="AJ137" i="6"/>
  <c r="AV136" i="6"/>
  <c r="AS136" i="6"/>
  <c r="AP136" i="6"/>
  <c r="AM136" i="6"/>
  <c r="AJ136" i="6"/>
  <c r="AV135" i="6"/>
  <c r="AS135" i="6"/>
  <c r="AP135" i="6"/>
  <c r="AM135" i="6"/>
  <c r="AJ135" i="6"/>
  <c r="AV134" i="6"/>
  <c r="AS134" i="6"/>
  <c r="AP134" i="6"/>
  <c r="AM134" i="6"/>
  <c r="AJ134" i="6"/>
  <c r="AV133" i="6"/>
  <c r="AS133" i="6"/>
  <c r="AP133" i="6"/>
  <c r="AM133" i="6"/>
  <c r="AJ133" i="6"/>
  <c r="AV132" i="6"/>
  <c r="AS132" i="6"/>
  <c r="AP132" i="6"/>
  <c r="AM132" i="6"/>
  <c r="AJ132" i="6"/>
  <c r="AV131" i="6"/>
  <c r="AS131" i="6"/>
  <c r="AP131" i="6"/>
  <c r="AM131" i="6"/>
  <c r="AJ131" i="6"/>
  <c r="AV130" i="6"/>
  <c r="AS130" i="6"/>
  <c r="AP130" i="6"/>
  <c r="AM130" i="6"/>
  <c r="AJ130" i="6"/>
  <c r="AV129" i="6"/>
  <c r="AS129" i="6"/>
  <c r="AP129" i="6"/>
  <c r="AM129" i="6"/>
  <c r="AJ129" i="6"/>
  <c r="AV128" i="6"/>
  <c r="AS128" i="6"/>
  <c r="AP128" i="6"/>
  <c r="AM128" i="6"/>
  <c r="AJ128" i="6"/>
  <c r="AV127" i="6"/>
  <c r="AS127" i="6"/>
  <c r="AP127" i="6"/>
  <c r="AM127" i="6"/>
  <c r="AJ127" i="6"/>
  <c r="AV126" i="6"/>
  <c r="AS126" i="6"/>
  <c r="AP126" i="6"/>
  <c r="AM126" i="6"/>
  <c r="AJ126" i="6"/>
  <c r="AV125" i="6"/>
  <c r="AS125" i="6"/>
  <c r="AP125" i="6"/>
  <c r="AM125" i="6"/>
  <c r="AJ125" i="6"/>
  <c r="AV124" i="6"/>
  <c r="AS124" i="6"/>
  <c r="AP124" i="6"/>
  <c r="AM124" i="6"/>
  <c r="AJ124" i="6"/>
  <c r="AW123" i="6"/>
  <c r="AT123" i="6"/>
  <c r="AQ123" i="6"/>
  <c r="AN123" i="6"/>
  <c r="AK123" i="6"/>
  <c r="AW122" i="6"/>
  <c r="AT122" i="6"/>
  <c r="AQ122" i="6"/>
  <c r="AN122" i="6"/>
  <c r="AK122" i="6"/>
  <c r="AW121" i="6"/>
  <c r="AT121" i="6"/>
  <c r="AQ121" i="6"/>
  <c r="AN121" i="6"/>
  <c r="AK121" i="6"/>
  <c r="AW120" i="6"/>
  <c r="AT120" i="6"/>
  <c r="AQ120" i="6"/>
  <c r="AN120" i="6"/>
  <c r="AK120" i="6"/>
  <c r="AW119" i="6"/>
  <c r="AT119" i="6"/>
  <c r="AQ119" i="6"/>
  <c r="AN119" i="6"/>
  <c r="AK119" i="6"/>
  <c r="AW118" i="6"/>
  <c r="AT118" i="6"/>
  <c r="AQ118" i="6"/>
  <c r="AN118" i="6"/>
  <c r="AK118" i="6"/>
  <c r="AW117" i="6"/>
  <c r="AT117" i="6"/>
  <c r="AQ117" i="6"/>
  <c r="AN117" i="6"/>
  <c r="AK117" i="6"/>
  <c r="AW116" i="6"/>
  <c r="AT116" i="6"/>
  <c r="AQ116" i="6"/>
  <c r="AN116" i="6"/>
  <c r="AK116" i="6"/>
  <c r="AW115" i="6"/>
  <c r="AT115" i="6"/>
  <c r="AQ115" i="6"/>
  <c r="AN115" i="6"/>
  <c r="AK115" i="6"/>
  <c r="AW114" i="6"/>
  <c r="AT114" i="6"/>
  <c r="AQ114" i="6"/>
  <c r="AN114" i="6"/>
  <c r="AK114" i="6"/>
  <c r="AW113" i="6"/>
  <c r="AT113" i="6"/>
  <c r="AQ113" i="6"/>
  <c r="AN113" i="6"/>
  <c r="AK113" i="6"/>
  <c r="AW112" i="6"/>
  <c r="AT112" i="6"/>
  <c r="AQ112" i="6"/>
  <c r="AN112" i="6"/>
  <c r="AK112" i="6"/>
  <c r="AW111" i="6"/>
  <c r="AT111" i="6"/>
  <c r="AQ111" i="6"/>
  <c r="AN111" i="6"/>
  <c r="AK111" i="6"/>
  <c r="AW110" i="6"/>
  <c r="AT110" i="6"/>
  <c r="AQ110" i="6"/>
  <c r="AN110" i="6"/>
  <c r="AK110" i="6"/>
  <c r="AW109" i="6"/>
  <c r="AT109" i="6"/>
  <c r="AQ109" i="6"/>
  <c r="AN109" i="6"/>
  <c r="AK109" i="6"/>
  <c r="AW108" i="6"/>
  <c r="AT108" i="6"/>
  <c r="AQ108" i="6"/>
  <c r="AN108" i="6"/>
  <c r="AK108" i="6"/>
  <c r="AW107" i="6"/>
  <c r="AT107" i="6"/>
  <c r="AQ107" i="6"/>
  <c r="AN107" i="6"/>
  <c r="AK107" i="6"/>
  <c r="AW106" i="6"/>
  <c r="AT106" i="6"/>
  <c r="AQ106" i="6"/>
  <c r="AN106" i="6"/>
  <c r="AK106" i="6"/>
  <c r="AW105" i="6"/>
  <c r="AT105" i="6"/>
  <c r="AQ105" i="6"/>
  <c r="AN105" i="6"/>
  <c r="AK105" i="6"/>
  <c r="AW104" i="6"/>
  <c r="AT104" i="6"/>
  <c r="AQ104" i="6"/>
  <c r="AN104" i="6"/>
  <c r="AK104" i="6"/>
  <c r="AW103" i="6"/>
  <c r="AT103" i="6"/>
  <c r="AQ103" i="6"/>
  <c r="AN103" i="6"/>
  <c r="AK103" i="6"/>
  <c r="AW102" i="6"/>
  <c r="AT102" i="6"/>
  <c r="AQ102" i="6"/>
  <c r="AN102" i="6"/>
  <c r="AK102" i="6"/>
  <c r="AW101" i="6"/>
  <c r="AT101" i="6"/>
  <c r="AQ101" i="6"/>
  <c r="AN101" i="6"/>
  <c r="AK101" i="6"/>
  <c r="AW100" i="6"/>
  <c r="AT100" i="6"/>
  <c r="AQ100" i="6"/>
  <c r="AN100" i="6"/>
  <c r="AK100" i="6"/>
  <c r="S119" i="6"/>
  <c r="T119" i="6" s="1"/>
  <c r="S118" i="6"/>
  <c r="R118" i="6"/>
  <c r="S117" i="6"/>
  <c r="R117" i="6"/>
  <c r="S116" i="6"/>
  <c r="R116" i="6"/>
  <c r="S115" i="6"/>
  <c r="R115" i="6"/>
  <c r="S114" i="6"/>
  <c r="T114" i="6" s="1"/>
  <c r="R114" i="6"/>
  <c r="S113" i="6"/>
  <c r="T113" i="6" s="1"/>
  <c r="R113" i="6"/>
  <c r="S112" i="6"/>
  <c r="T112" i="6" s="1"/>
  <c r="R112" i="6"/>
  <c r="S111" i="6"/>
  <c r="T111" i="6" s="1"/>
  <c r="R111" i="6"/>
  <c r="S110" i="6"/>
  <c r="T110" i="6" s="1"/>
  <c r="S109" i="6"/>
  <c r="T109" i="6" s="1"/>
  <c r="S108" i="6"/>
  <c r="T108" i="6" s="1"/>
  <c r="R108" i="6"/>
  <c r="S107" i="6"/>
  <c r="T107" i="6" s="1"/>
  <c r="S106" i="6"/>
  <c r="T106" i="6" s="1"/>
  <c r="S105" i="6"/>
  <c r="R105" i="6"/>
  <c r="S104" i="6"/>
  <c r="T104" i="6" s="1"/>
  <c r="S103" i="6"/>
  <c r="R103" i="6"/>
  <c r="S102" i="6"/>
  <c r="T101" i="6"/>
  <c r="S101" i="6"/>
  <c r="S100" i="6"/>
  <c r="T100" i="6" s="1"/>
  <c r="S99" i="6"/>
  <c r="R99" i="6"/>
  <c r="S98" i="6"/>
  <c r="S97" i="6"/>
  <c r="S96" i="6"/>
  <c r="S95" i="6"/>
  <c r="T95" i="6" s="1"/>
  <c r="R95" i="6"/>
  <c r="S94" i="6"/>
  <c r="T94" i="6" s="1"/>
  <c r="S93" i="6"/>
  <c r="T93" i="6" s="1"/>
  <c r="S92" i="6"/>
  <c r="S91" i="6"/>
  <c r="BB90" i="6"/>
  <c r="AZ90" i="6"/>
  <c r="AY90" i="6"/>
  <c r="AW90" i="6"/>
  <c r="AV90" i="6"/>
  <c r="AT90" i="6"/>
  <c r="AS90" i="6"/>
  <c r="AQ90" i="6"/>
  <c r="AP90" i="6"/>
  <c r="AN90" i="6"/>
  <c r="AM90" i="6"/>
  <c r="AK90" i="6"/>
  <c r="AJ90" i="6"/>
  <c r="AH90" i="6"/>
  <c r="AG90" i="6"/>
  <c r="AE90" i="6"/>
  <c r="S90" i="6"/>
  <c r="S89" i="6"/>
  <c r="S88" i="6"/>
  <c r="T88" i="6" s="1"/>
  <c r="S87" i="6"/>
  <c r="S86" i="6"/>
  <c r="T86" i="6" s="1"/>
  <c r="S85" i="6"/>
  <c r="T85" i="6" s="1"/>
  <c r="S84" i="6"/>
  <c r="T84" i="6" s="1"/>
  <c r="S83" i="6"/>
  <c r="T83" i="6" s="1"/>
  <c r="T82" i="6"/>
  <c r="S82" i="6"/>
  <c r="S81" i="6"/>
  <c r="S80" i="6"/>
  <c r="S79" i="6"/>
  <c r="S78" i="6"/>
  <c r="BB77" i="6"/>
  <c r="AZ77" i="6"/>
  <c r="AY77" i="6"/>
  <c r="AW77" i="6"/>
  <c r="AV77" i="6"/>
  <c r="AT77" i="6"/>
  <c r="AS77" i="6"/>
  <c r="AQ77" i="6"/>
  <c r="AP77" i="6"/>
  <c r="AN77" i="6"/>
  <c r="AM77" i="6"/>
  <c r="AK77" i="6"/>
  <c r="AJ77" i="6"/>
  <c r="AH77" i="6"/>
  <c r="AG77" i="6"/>
  <c r="AE77" i="6"/>
  <c r="S77" i="6"/>
  <c r="S76" i="6"/>
  <c r="S75" i="6"/>
  <c r="S74" i="6"/>
  <c r="S73" i="6"/>
  <c r="S72" i="6"/>
  <c r="E68" i="6"/>
  <c r="BB64" i="6"/>
  <c r="AZ64" i="6"/>
  <c r="AY64" i="6"/>
  <c r="AW64" i="6"/>
  <c r="AV64" i="6"/>
  <c r="AT64" i="6"/>
  <c r="AS64" i="6"/>
  <c r="AQ64" i="6"/>
  <c r="AP64" i="6"/>
  <c r="AN64" i="6"/>
  <c r="AM64" i="6"/>
  <c r="AK64" i="6"/>
  <c r="AJ64" i="6"/>
  <c r="AH64" i="6"/>
  <c r="AG64" i="6"/>
  <c r="AE64" i="6"/>
  <c r="D64" i="6"/>
  <c r="E64" i="6" s="1"/>
  <c r="BQ58" i="6"/>
  <c r="BK58" i="6"/>
  <c r="E55" i="6"/>
  <c r="F55" i="6" s="1"/>
  <c r="AZ50" i="6" s="1"/>
  <c r="BB51" i="6"/>
  <c r="AZ51" i="6"/>
  <c r="AY51" i="6"/>
  <c r="AW51" i="6"/>
  <c r="AV51" i="6"/>
  <c r="AT51" i="6"/>
  <c r="AS51" i="6"/>
  <c r="AQ51" i="6"/>
  <c r="AP51" i="6"/>
  <c r="AN51" i="6"/>
  <c r="AM51" i="6"/>
  <c r="AK51" i="6"/>
  <c r="AJ51" i="6"/>
  <c r="AH51" i="6"/>
  <c r="AG51" i="6"/>
  <c r="AE51" i="6"/>
  <c r="AZ49" i="6"/>
  <c r="C49" i="6"/>
  <c r="D49" i="6" s="1"/>
  <c r="C48" i="6"/>
  <c r="D48" i="6" s="1"/>
  <c r="C47" i="6"/>
  <c r="D47" i="6" s="1"/>
  <c r="C41" i="6"/>
  <c r="D41" i="6" s="1"/>
  <c r="H41" i="6" s="1"/>
  <c r="K41" i="6" s="1"/>
  <c r="C40" i="6"/>
  <c r="D40" i="6" s="1"/>
  <c r="C39" i="6"/>
  <c r="D39" i="6" s="1"/>
  <c r="BB38" i="6"/>
  <c r="AZ38" i="6"/>
  <c r="AY38" i="6"/>
  <c r="AW38" i="6"/>
  <c r="AV38" i="6"/>
  <c r="AT38" i="6"/>
  <c r="AS38" i="6"/>
  <c r="AQ38" i="6"/>
  <c r="AP38" i="6"/>
  <c r="AN38" i="6"/>
  <c r="AM38" i="6"/>
  <c r="AK38" i="6"/>
  <c r="AJ38" i="6"/>
  <c r="AH38" i="6"/>
  <c r="AG38" i="6"/>
  <c r="AE38" i="6"/>
  <c r="C38" i="6"/>
  <c r="D38" i="6" s="1"/>
  <c r="C37" i="6"/>
  <c r="D37" i="6" s="1"/>
  <c r="AZ36" i="6"/>
  <c r="C36" i="6"/>
  <c r="D36" i="6" s="1"/>
  <c r="H31" i="6"/>
  <c r="I32" i="6" s="1"/>
  <c r="A31" i="6"/>
  <c r="AN78" i="6" s="1"/>
  <c r="BQ29" i="6"/>
  <c r="BK29" i="6"/>
  <c r="G26" i="6"/>
  <c r="BB25" i="6"/>
  <c r="AZ25" i="6"/>
  <c r="AY25" i="6"/>
  <c r="AW25" i="6"/>
  <c r="AV25" i="6"/>
  <c r="AT25" i="6"/>
  <c r="AS25" i="6"/>
  <c r="AQ25" i="6"/>
  <c r="AP25" i="6"/>
  <c r="AN25" i="6"/>
  <c r="AM25" i="6"/>
  <c r="AK25" i="6"/>
  <c r="AJ25" i="6"/>
  <c r="AH25" i="6"/>
  <c r="AG25" i="6"/>
  <c r="AE25" i="6"/>
  <c r="AT23" i="6"/>
  <c r="F21" i="6"/>
  <c r="F20" i="6"/>
  <c r="H20" i="6" s="1"/>
  <c r="H19" i="6"/>
  <c r="F19" i="6"/>
  <c r="F18" i="6"/>
  <c r="H18" i="6" s="1"/>
  <c r="F17" i="6"/>
  <c r="H17" i="6" s="1"/>
  <c r="F16" i="6"/>
  <c r="H16" i="6" s="1"/>
  <c r="F15" i="6"/>
  <c r="H15" i="6" s="1"/>
  <c r="F14" i="6"/>
  <c r="H14" i="6" s="1"/>
  <c r="AT13" i="6"/>
  <c r="AQ13" i="6"/>
  <c r="F13" i="6"/>
  <c r="H13" i="6" s="1"/>
  <c r="F12" i="6"/>
  <c r="H12" i="6" s="1"/>
  <c r="F11" i="6"/>
  <c r="E31" i="6" l="1"/>
  <c r="AZ52" i="6"/>
  <c r="T103" i="6"/>
  <c r="AD157" i="6"/>
  <c r="H12" i="8" s="1"/>
  <c r="E37" i="6"/>
  <c r="I37" i="6" s="1"/>
  <c r="L37" i="6" s="1"/>
  <c r="H37" i="6"/>
  <c r="K37" i="6" s="1"/>
  <c r="T116" i="6"/>
  <c r="K31" i="6"/>
  <c r="AD156" i="6"/>
  <c r="H11" i="8" s="1"/>
  <c r="AN26" i="6"/>
  <c r="T105" i="6"/>
  <c r="U105" i="6" s="1"/>
  <c r="T117" i="6"/>
  <c r="AQ26" i="6"/>
  <c r="AE158" i="6"/>
  <c r="H13" i="8" s="1"/>
  <c r="T99" i="6"/>
  <c r="AN39" i="6"/>
  <c r="T118" i="6"/>
  <c r="B5" i="6"/>
  <c r="C5" i="6" s="1"/>
  <c r="AQ65" i="6"/>
  <c r="U84" i="6"/>
  <c r="U108" i="6"/>
  <c r="AZ89" i="6"/>
  <c r="T115" i="6"/>
  <c r="U114" i="6" s="1"/>
  <c r="AD155" i="6"/>
  <c r="H10" i="8" s="1"/>
  <c r="AD154" i="6"/>
  <c r="H9" i="8" s="1"/>
  <c r="H39" i="6"/>
  <c r="E39" i="6"/>
  <c r="AZ56" i="6" s="1"/>
  <c r="U99" i="6"/>
  <c r="H40" i="6"/>
  <c r="E40" i="6"/>
  <c r="I40" i="6" s="1"/>
  <c r="L40" i="6" s="1"/>
  <c r="AQ70" i="6"/>
  <c r="H47" i="6"/>
  <c r="E47" i="6"/>
  <c r="I47" i="6" s="1"/>
  <c r="L47" i="6" s="1"/>
  <c r="H36" i="6"/>
  <c r="E36" i="6"/>
  <c r="I36" i="6" s="1"/>
  <c r="L36" i="6" s="1"/>
  <c r="AE53" i="6"/>
  <c r="H49" i="6"/>
  <c r="E49" i="6"/>
  <c r="I49" i="6" s="1"/>
  <c r="L49" i="6" s="1"/>
  <c r="AH88" i="6"/>
  <c r="AQ75" i="6"/>
  <c r="AZ62" i="6"/>
  <c r="AW49" i="6"/>
  <c r="AW36" i="6"/>
  <c r="AQ23" i="6"/>
  <c r="AE88" i="6"/>
  <c r="AN75" i="6"/>
  <c r="AW62" i="6"/>
  <c r="AT49" i="6"/>
  <c r="AT36" i="6"/>
  <c r="AN23" i="6"/>
  <c r="AH23" i="6"/>
  <c r="AZ88" i="6"/>
  <c r="AK75" i="6"/>
  <c r="AT62" i="6"/>
  <c r="AQ49" i="6"/>
  <c r="AQ36" i="6"/>
  <c r="AK23" i="6"/>
  <c r="AW88" i="6"/>
  <c r="AH75" i="6"/>
  <c r="AQ62" i="6"/>
  <c r="AN49" i="6"/>
  <c r="AN36" i="6"/>
  <c r="AT88" i="6"/>
  <c r="AE75" i="6"/>
  <c r="AN62" i="6"/>
  <c r="AK49" i="6"/>
  <c r="AK36" i="6"/>
  <c r="AE23" i="6"/>
  <c r="AT75" i="6"/>
  <c r="AQ88" i="6"/>
  <c r="AZ75" i="6"/>
  <c r="H64" i="6"/>
  <c r="I64" i="6" s="1"/>
  <c r="AK62" i="6"/>
  <c r="AH49" i="6"/>
  <c r="AH36" i="6"/>
  <c r="AZ23" i="6"/>
  <c r="AK88" i="6"/>
  <c r="AE62" i="6"/>
  <c r="AN88" i="6"/>
  <c r="AW75" i="6"/>
  <c r="AH62" i="6"/>
  <c r="AE49" i="6"/>
  <c r="AE36" i="6"/>
  <c r="AW23" i="6"/>
  <c r="AW13" i="6"/>
  <c r="AN24" i="6"/>
  <c r="AZ24" i="6"/>
  <c r="AT26" i="6"/>
  <c r="G31" i="6"/>
  <c r="J31" i="6" s="1"/>
  <c r="AN37" i="6"/>
  <c r="AZ37" i="6"/>
  <c r="AQ39" i="6"/>
  <c r="AE50" i="6"/>
  <c r="AQ50" i="6"/>
  <c r="AE52" i="6"/>
  <c r="I55" i="6"/>
  <c r="AT65" i="6"/>
  <c r="AT78" i="6"/>
  <c r="AE89" i="6"/>
  <c r="AQ89" i="6"/>
  <c r="AE63" i="6"/>
  <c r="AH76" i="6"/>
  <c r="AZ13" i="6"/>
  <c r="AW26" i="6"/>
  <c r="AH28" i="6"/>
  <c r="AT39" i="6"/>
  <c r="AH41" i="6"/>
  <c r="AH52" i="6"/>
  <c r="J55" i="6"/>
  <c r="AH63" i="6"/>
  <c r="AT63" i="6"/>
  <c r="AW65" i="6"/>
  <c r="AK76" i="6"/>
  <c r="AW76" i="6"/>
  <c r="AW78" i="6"/>
  <c r="AQ63" i="6"/>
  <c r="AT76" i="6"/>
  <c r="AQ78" i="6"/>
  <c r="AE13" i="6"/>
  <c r="AE24" i="6"/>
  <c r="AQ24" i="6"/>
  <c r="AZ26" i="6"/>
  <c r="AE37" i="6"/>
  <c r="AQ37" i="6"/>
  <c r="AW39" i="6"/>
  <c r="E41" i="6"/>
  <c r="AT71" i="6" s="1"/>
  <c r="AH50" i="6"/>
  <c r="AT50" i="6"/>
  <c r="AK52" i="6"/>
  <c r="AH54" i="6"/>
  <c r="AZ65" i="6"/>
  <c r="AZ78" i="6"/>
  <c r="AH89" i="6"/>
  <c r="AT89" i="6"/>
  <c r="AN52" i="6"/>
  <c r="AK63" i="6"/>
  <c r="AW63" i="6"/>
  <c r="AE65" i="6"/>
  <c r="AN76" i="6"/>
  <c r="AZ76" i="6"/>
  <c r="AE78" i="6"/>
  <c r="AH80" i="6"/>
  <c r="AH13" i="6"/>
  <c r="AE26" i="6"/>
  <c r="AK13" i="6"/>
  <c r="AH15" i="6"/>
  <c r="AH24" i="6"/>
  <c r="AT24" i="6"/>
  <c r="AH26" i="6"/>
  <c r="AH37" i="6"/>
  <c r="AT37" i="6"/>
  <c r="E38" i="6"/>
  <c r="AK16" i="6" s="1"/>
  <c r="AE39" i="6"/>
  <c r="E48" i="6"/>
  <c r="AQ86" i="6" s="1"/>
  <c r="AK50" i="6"/>
  <c r="AW50" i="6"/>
  <c r="AQ52" i="6"/>
  <c r="AW54" i="6"/>
  <c r="AH65" i="6"/>
  <c r="AH78" i="6"/>
  <c r="AK89" i="6"/>
  <c r="AW89" i="6"/>
  <c r="AN13" i="6"/>
  <c r="AK26" i="6"/>
  <c r="H38" i="6"/>
  <c r="AH39" i="6"/>
  <c r="H48" i="6"/>
  <c r="AT52" i="6"/>
  <c r="AN63" i="6"/>
  <c r="AZ63" i="6"/>
  <c r="AK65" i="6"/>
  <c r="AH67" i="6"/>
  <c r="AE76" i="6"/>
  <c r="AQ76" i="6"/>
  <c r="AK78" i="6"/>
  <c r="AK24" i="6"/>
  <c r="AW24" i="6"/>
  <c r="AK37" i="6"/>
  <c r="AW37" i="6"/>
  <c r="AK39" i="6"/>
  <c r="AN50" i="6"/>
  <c r="AW52" i="6"/>
  <c r="AN65" i="6"/>
  <c r="AN89" i="6"/>
  <c r="AQ44" i="6" l="1"/>
  <c r="BF28" i="6"/>
  <c r="M31" i="6"/>
  <c r="AK68" i="6"/>
  <c r="AE20" i="6"/>
  <c r="AQ46" i="6"/>
  <c r="AK55" i="6"/>
  <c r="AH20" i="6"/>
  <c r="AT20" i="6"/>
  <c r="AQ57" i="6"/>
  <c r="AK81" i="6"/>
  <c r="AZ22" i="6"/>
  <c r="AK46" i="6"/>
  <c r="AQ31" i="6"/>
  <c r="J37" i="6"/>
  <c r="M37" i="6" s="1"/>
  <c r="AK29" i="6"/>
  <c r="AN46" i="6"/>
  <c r="AW35" i="6"/>
  <c r="AN17" i="6"/>
  <c r="AZ69" i="6"/>
  <c r="AE66" i="6"/>
  <c r="AN82" i="6"/>
  <c r="AN73" i="6"/>
  <c r="AW74" i="6"/>
  <c r="AE14" i="6"/>
  <c r="AZ82" i="6"/>
  <c r="AN60" i="6"/>
  <c r="AT86" i="6"/>
  <c r="AF106" i="6"/>
  <c r="AH106" i="6" s="1"/>
  <c r="AF114" i="6"/>
  <c r="AH114" i="6" s="1"/>
  <c r="AF122" i="6"/>
  <c r="AH122" i="6" s="1"/>
  <c r="AE130" i="6"/>
  <c r="AG130" i="6" s="1"/>
  <c r="AE138" i="6"/>
  <c r="AG138" i="6" s="1"/>
  <c r="AE146" i="6"/>
  <c r="AG146" i="6" s="1"/>
  <c r="AE129" i="6"/>
  <c r="AG129" i="6" s="1"/>
  <c r="AF107" i="6"/>
  <c r="AH107" i="6" s="1"/>
  <c r="AF115" i="6"/>
  <c r="AH115" i="6" s="1"/>
  <c r="AF123" i="6"/>
  <c r="AH123" i="6" s="1"/>
  <c r="AE131" i="6"/>
  <c r="AG131" i="6" s="1"/>
  <c r="AE139" i="6"/>
  <c r="AG139" i="6" s="1"/>
  <c r="AE147" i="6"/>
  <c r="AG147" i="6" s="1"/>
  <c r="AF105" i="6"/>
  <c r="AH105" i="6" s="1"/>
  <c r="AF108" i="6"/>
  <c r="AH108" i="6" s="1"/>
  <c r="AF116" i="6"/>
  <c r="AH116" i="6" s="1"/>
  <c r="AE124" i="6"/>
  <c r="AG124" i="6" s="1"/>
  <c r="AE132" i="6"/>
  <c r="AG132" i="6" s="1"/>
  <c r="AE140" i="6"/>
  <c r="AG140" i="6" s="1"/>
  <c r="AF113" i="6"/>
  <c r="AH113" i="6" s="1"/>
  <c r="AF101" i="6"/>
  <c r="AH101" i="6" s="1"/>
  <c r="AF109" i="6"/>
  <c r="AH109" i="6" s="1"/>
  <c r="AF117" i="6"/>
  <c r="AH117" i="6" s="1"/>
  <c r="AE125" i="6"/>
  <c r="AG125" i="6" s="1"/>
  <c r="AE133" i="6"/>
  <c r="AG133" i="6" s="1"/>
  <c r="AE141" i="6"/>
  <c r="AG141" i="6" s="1"/>
  <c r="AF100" i="6"/>
  <c r="AH100" i="6" s="1"/>
  <c r="AF102" i="6"/>
  <c r="AH102" i="6" s="1"/>
  <c r="AF110" i="6"/>
  <c r="AH110" i="6" s="1"/>
  <c r="AF118" i="6"/>
  <c r="AH118" i="6" s="1"/>
  <c r="AE126" i="6"/>
  <c r="AG126" i="6" s="1"/>
  <c r="AE134" i="6"/>
  <c r="AG134" i="6" s="1"/>
  <c r="AE142" i="6"/>
  <c r="AG142" i="6" s="1"/>
  <c r="AF121" i="6"/>
  <c r="AH121" i="6" s="1"/>
  <c r="AF103" i="6"/>
  <c r="AH103" i="6" s="1"/>
  <c r="AF111" i="6"/>
  <c r="AH111" i="6" s="1"/>
  <c r="AF119" i="6"/>
  <c r="AH119" i="6" s="1"/>
  <c r="AE127" i="6"/>
  <c r="AG127" i="6" s="1"/>
  <c r="AE135" i="6"/>
  <c r="AG135" i="6" s="1"/>
  <c r="AE143" i="6"/>
  <c r="AG143" i="6" s="1"/>
  <c r="AE137" i="6"/>
  <c r="AG137" i="6" s="1"/>
  <c r="AF104" i="6"/>
  <c r="AH104" i="6" s="1"/>
  <c r="AF112" i="6"/>
  <c r="AH112" i="6" s="1"/>
  <c r="AF120" i="6"/>
  <c r="AH120" i="6" s="1"/>
  <c r="AE128" i="6"/>
  <c r="AG128" i="6" s="1"/>
  <c r="AE136" i="6"/>
  <c r="AG136" i="6" s="1"/>
  <c r="AE144" i="6"/>
  <c r="AG144" i="6" s="1"/>
  <c r="AE145" i="6"/>
  <c r="AG145" i="6" s="1"/>
  <c r="AW61" i="6"/>
  <c r="AW27" i="6"/>
  <c r="AN30" i="6"/>
  <c r="AT84" i="6"/>
  <c r="AZ61" i="6"/>
  <c r="AW40" i="6"/>
  <c r="AK20" i="6"/>
  <c r="AN69" i="6"/>
  <c r="AH46" i="6"/>
  <c r="U117" i="6"/>
  <c r="AW67" i="6"/>
  <c r="AW22" i="6"/>
  <c r="BF13" i="6"/>
  <c r="AN20" i="6"/>
  <c r="AW14" i="6"/>
  <c r="AW80" i="6"/>
  <c r="AY80" i="6"/>
  <c r="AJ67" i="6"/>
  <c r="AY54" i="6"/>
  <c r="AJ15" i="6"/>
  <c r="R75" i="6" s="1"/>
  <c r="T75" i="6" s="1"/>
  <c r="AJ80" i="6"/>
  <c r="AJ54" i="6"/>
  <c r="AJ41" i="6"/>
  <c r="R77" i="6" s="1"/>
  <c r="T77" i="6" s="1"/>
  <c r="AJ28" i="6"/>
  <c r="R76" i="6" s="1"/>
  <c r="T76" i="6" s="1"/>
  <c r="AY67" i="6"/>
  <c r="J47" i="6"/>
  <c r="M47" i="6" s="1"/>
  <c r="K47" i="6"/>
  <c r="AH86" i="6"/>
  <c r="AK60" i="6"/>
  <c r="AT45" i="6"/>
  <c r="I41" i="6"/>
  <c r="AT58" i="6"/>
  <c r="AT19" i="6"/>
  <c r="AT32" i="6"/>
  <c r="AT46" i="6"/>
  <c r="AW48" i="6"/>
  <c r="AE79" i="6"/>
  <c r="AN33" i="6"/>
  <c r="AE46" i="6"/>
  <c r="AQ18" i="6"/>
  <c r="K38" i="6"/>
  <c r="J38" i="6"/>
  <c r="M38" i="6" s="1"/>
  <c r="K49" i="6"/>
  <c r="J49" i="6"/>
  <c r="M49" i="6" s="1"/>
  <c r="I48" i="6"/>
  <c r="L48" i="6" s="1"/>
  <c r="AE60" i="6"/>
  <c r="AK73" i="6"/>
  <c r="AQ60" i="6"/>
  <c r="K36" i="6"/>
  <c r="J36" i="6"/>
  <c r="M36" i="6" s="1"/>
  <c r="AN86" i="6"/>
  <c r="AK86" i="6"/>
  <c r="AT60" i="6"/>
  <c r="AZ35" i="6"/>
  <c r="AH33" i="6"/>
  <c r="AT73" i="6"/>
  <c r="I38" i="6"/>
  <c r="L38" i="6" s="1"/>
  <c r="AZ29" i="6"/>
  <c r="AZ16" i="6"/>
  <c r="AQ73" i="6"/>
  <c r="AK42" i="6"/>
  <c r="AH60" i="6"/>
  <c r="BF11" i="6"/>
  <c r="BF26" i="6"/>
  <c r="AZ87" i="6"/>
  <c r="AZ74" i="6"/>
  <c r="AE27" i="6"/>
  <c r="AE33" i="6"/>
  <c r="AT33" i="6"/>
  <c r="AQ83" i="6"/>
  <c r="AN43" i="6"/>
  <c r="I39" i="6"/>
  <c r="L39" i="6" s="1"/>
  <c r="AQ20" i="6"/>
  <c r="AE86" i="6"/>
  <c r="K48" i="6"/>
  <c r="AH73" i="6"/>
  <c r="AE73" i="6"/>
  <c r="BF21" i="6"/>
  <c r="K55" i="6"/>
  <c r="BF36" i="6"/>
  <c r="AW87" i="6"/>
  <c r="AZ48" i="6"/>
  <c r="AE40" i="6"/>
  <c r="AK33" i="6"/>
  <c r="AQ33" i="6"/>
  <c r="K40" i="6"/>
  <c r="J40" i="6"/>
  <c r="M40" i="6" s="1"/>
  <c r="AN56" i="6"/>
  <c r="AZ42" i="6"/>
  <c r="K39" i="6"/>
  <c r="AD153" i="6" l="1"/>
  <c r="H8" i="8" s="1"/>
  <c r="AS76" i="6"/>
  <c r="AG76" i="6"/>
  <c r="BB63" i="6"/>
  <c r="AP63" i="6"/>
  <c r="AY89" i="6"/>
  <c r="AM89" i="6"/>
  <c r="AY50" i="6"/>
  <c r="AM50" i="6"/>
  <c r="AV37" i="6"/>
  <c r="AJ37" i="6"/>
  <c r="AV24" i="6"/>
  <c r="AJ24" i="6"/>
  <c r="AS37" i="6"/>
  <c r="BB76" i="6"/>
  <c r="AP76" i="6"/>
  <c r="AY63" i="6"/>
  <c r="AM63" i="6"/>
  <c r="AG37" i="6"/>
  <c r="AS24" i="6"/>
  <c r="AV89" i="6"/>
  <c r="AJ89" i="6"/>
  <c r="AV50" i="6"/>
  <c r="AJ50" i="6"/>
  <c r="AG24" i="6"/>
  <c r="AY76" i="6"/>
  <c r="AM76" i="6"/>
  <c r="AV63" i="6"/>
  <c r="AJ63" i="6"/>
  <c r="BB89" i="6"/>
  <c r="AS89" i="6"/>
  <c r="AG89" i="6"/>
  <c r="AS50" i="6"/>
  <c r="AG50" i="6"/>
  <c r="BB37" i="6"/>
  <c r="AP37" i="6"/>
  <c r="BB24" i="6"/>
  <c r="AP24" i="6"/>
  <c r="AP89" i="6"/>
  <c r="AV76" i="6"/>
  <c r="AJ76" i="6"/>
  <c r="AS63" i="6"/>
  <c r="AG63" i="6"/>
  <c r="AY37" i="6"/>
  <c r="AY24" i="6"/>
  <c r="AM37" i="6"/>
  <c r="AM24" i="6"/>
  <c r="BB50" i="6"/>
  <c r="AP50" i="6"/>
  <c r="BF16" i="6"/>
  <c r="BF31" i="6"/>
  <c r="L41" i="6"/>
  <c r="J41" i="6"/>
  <c r="M41" i="6" s="1"/>
  <c r="BF27" i="6"/>
  <c r="BF12" i="6"/>
  <c r="U75" i="6"/>
  <c r="BF14" i="6"/>
  <c r="BF29" i="6"/>
  <c r="J39" i="6"/>
  <c r="M39" i="6" s="1"/>
  <c r="J48" i="6"/>
  <c r="M48" i="6" s="1"/>
  <c r="BF30" i="6"/>
  <c r="BF15" i="6"/>
  <c r="BF19" i="6"/>
  <c r="BF34" i="6"/>
  <c r="BF35" i="6"/>
  <c r="BF20" i="6"/>
  <c r="BF33" i="6"/>
  <c r="BF18" i="6"/>
  <c r="AS83" i="6" l="1"/>
  <c r="AS31" i="6"/>
  <c r="AS18" i="6"/>
  <c r="AS57" i="6"/>
  <c r="AS44" i="6"/>
  <c r="AS70" i="6"/>
  <c r="BB42" i="6"/>
  <c r="AM29" i="6"/>
  <c r="R79" i="6" s="1"/>
  <c r="T79" i="6" s="1"/>
  <c r="AM81" i="6"/>
  <c r="AM55" i="6"/>
  <c r="R102" i="6" s="1"/>
  <c r="T102" i="6" s="1"/>
  <c r="AM42" i="6"/>
  <c r="R80" i="6" s="1"/>
  <c r="T80" i="6" s="1"/>
  <c r="BB16" i="6"/>
  <c r="AM68" i="6"/>
  <c r="AM16" i="6"/>
  <c r="R78" i="6" s="1"/>
  <c r="T78" i="6" s="1"/>
  <c r="BB29" i="6"/>
  <c r="BB61" i="6"/>
  <c r="BB48" i="6"/>
  <c r="BB74" i="6"/>
  <c r="BB35" i="6"/>
  <c r="AY61" i="6"/>
  <c r="AY48" i="6"/>
  <c r="AY74" i="6"/>
  <c r="AY35" i="6"/>
  <c r="BB87" i="6"/>
  <c r="BB22" i="6"/>
  <c r="AY87" i="6"/>
  <c r="AY22" i="6"/>
  <c r="AV73" i="6"/>
  <c r="AJ73" i="6"/>
  <c r="AP60" i="6"/>
  <c r="AM86" i="6"/>
  <c r="AS73" i="6"/>
  <c r="AG73" i="6"/>
  <c r="AM60" i="6"/>
  <c r="AV86" i="6"/>
  <c r="AJ86" i="6"/>
  <c r="AP73" i="6"/>
  <c r="AV60" i="6"/>
  <c r="AJ60" i="6"/>
  <c r="AS86" i="6"/>
  <c r="AG86" i="6"/>
  <c r="AP86" i="6"/>
  <c r="AM73" i="6"/>
  <c r="AS60" i="6"/>
  <c r="AG60" i="6"/>
  <c r="AP56" i="6"/>
  <c r="AP69" i="6"/>
  <c r="AP30" i="6"/>
  <c r="BB82" i="6"/>
  <c r="BB69" i="6"/>
  <c r="AP17" i="6"/>
  <c r="R81" i="6" s="1"/>
  <c r="T81" i="6" s="1"/>
  <c r="U81" i="6" s="1"/>
  <c r="AP82" i="6"/>
  <c r="BB56" i="6"/>
  <c r="AP43" i="6"/>
  <c r="AS46" i="6"/>
  <c r="AG46" i="6"/>
  <c r="AP20" i="6"/>
  <c r="AS33" i="6"/>
  <c r="AG33" i="6"/>
  <c r="AP46" i="6"/>
  <c r="AM20" i="6"/>
  <c r="AP33" i="6"/>
  <c r="AM46" i="6"/>
  <c r="AV20" i="6"/>
  <c r="AJ20" i="6"/>
  <c r="AM33" i="6"/>
  <c r="AV46" i="6"/>
  <c r="AJ46" i="6"/>
  <c r="AS20" i="6"/>
  <c r="AG20" i="6"/>
  <c r="AV33" i="6"/>
  <c r="AJ33" i="6"/>
  <c r="AG40" i="6"/>
  <c r="R74" i="6" s="1"/>
  <c r="T74" i="6" s="1"/>
  <c r="AG27" i="6"/>
  <c r="R73" i="6" s="1"/>
  <c r="T73" i="6" s="1"/>
  <c r="AG66" i="6"/>
  <c r="AG53" i="6"/>
  <c r="R96" i="6" s="1"/>
  <c r="AG79" i="6"/>
  <c r="AY14" i="6"/>
  <c r="R90" i="6" s="1"/>
  <c r="T90" i="6" s="1"/>
  <c r="AY40" i="6"/>
  <c r="R92" i="6" s="1"/>
  <c r="T92" i="6" s="1"/>
  <c r="AY27" i="6"/>
  <c r="R91" i="6" s="1"/>
  <c r="T91" i="6" s="1"/>
  <c r="AG14" i="6"/>
  <c r="R72" i="6" s="1"/>
  <c r="T72" i="6" s="1"/>
  <c r="BF32" i="6"/>
  <c r="BF17" i="6"/>
  <c r="AV58" i="6" l="1"/>
  <c r="AV45" i="6"/>
  <c r="R89" i="6" s="1"/>
  <c r="T89" i="6" s="1"/>
  <c r="AV84" i="6"/>
  <c r="AV71" i="6"/>
  <c r="AV19" i="6"/>
  <c r="R87" i="6" s="1"/>
  <c r="T87" i="6" s="1"/>
  <c r="AV32" i="6"/>
  <c r="U72" i="6"/>
  <c r="R97" i="6"/>
  <c r="T97" i="6" s="1"/>
  <c r="T96" i="6"/>
  <c r="R98" i="6"/>
  <c r="T98" i="6" s="1"/>
  <c r="U90" i="6"/>
  <c r="U96" i="6" l="1"/>
  <c r="G9" i="8" l="1"/>
  <c r="G10" i="8"/>
  <c r="G11" i="8"/>
  <c r="G12" i="8"/>
  <c r="G13" i="8"/>
  <c r="G8" i="8"/>
  <c r="AF150" i="5"/>
  <c r="AF149" i="5"/>
  <c r="AF154" i="5"/>
  <c r="AF153" i="5"/>
  <c r="AF152" i="5"/>
  <c r="AF151" i="5"/>
  <c r="AX104" i="5"/>
  <c r="AX112" i="5"/>
  <c r="AX120" i="5"/>
  <c r="AX128" i="5"/>
  <c r="AX136" i="5"/>
  <c r="AX143" i="5"/>
  <c r="AU143" i="5"/>
  <c r="AU142" i="5"/>
  <c r="AU141" i="5"/>
  <c r="AU140" i="5"/>
  <c r="AU139" i="5"/>
  <c r="AU138" i="5"/>
  <c r="AU137" i="5"/>
  <c r="AU136" i="5"/>
  <c r="AU135" i="5"/>
  <c r="AU134" i="5"/>
  <c r="AU133" i="5"/>
  <c r="AU132" i="5"/>
  <c r="AU131" i="5"/>
  <c r="AU130" i="5"/>
  <c r="AU129" i="5"/>
  <c r="AU128" i="5"/>
  <c r="AU127" i="5"/>
  <c r="AU126" i="5"/>
  <c r="AU125" i="5"/>
  <c r="AU124" i="5"/>
  <c r="AU123" i="5"/>
  <c r="AU122" i="5"/>
  <c r="AU121" i="5"/>
  <c r="AU120" i="5"/>
  <c r="AU119" i="5"/>
  <c r="AU118" i="5"/>
  <c r="AU117" i="5"/>
  <c r="AU116" i="5"/>
  <c r="AU115" i="5"/>
  <c r="AU114" i="5"/>
  <c r="AU113" i="5"/>
  <c r="AU112" i="5"/>
  <c r="AU111" i="5"/>
  <c r="AU110" i="5"/>
  <c r="AU109" i="5"/>
  <c r="AU108" i="5"/>
  <c r="AU107" i="5"/>
  <c r="AU106" i="5"/>
  <c r="AU105" i="5"/>
  <c r="AU104" i="5"/>
  <c r="AU103" i="5"/>
  <c r="AU102" i="5"/>
  <c r="AU101" i="5"/>
  <c r="AU100" i="5"/>
  <c r="AU99" i="5"/>
  <c r="AU98" i="5"/>
  <c r="AU97" i="5"/>
  <c r="AU96" i="5"/>
  <c r="AR99" i="5"/>
  <c r="AR102" i="5"/>
  <c r="AR106" i="5"/>
  <c r="AR107" i="5"/>
  <c r="AR115" i="5"/>
  <c r="AR122" i="5"/>
  <c r="AR123" i="5"/>
  <c r="AR126" i="5"/>
  <c r="AR130" i="5"/>
  <c r="AR131" i="5"/>
  <c r="AR139" i="5"/>
  <c r="AR142" i="5"/>
  <c r="AL121" i="5"/>
  <c r="AL111" i="5"/>
  <c r="AL107" i="5"/>
  <c r="AL97" i="5"/>
  <c r="AL99" i="5"/>
  <c r="AL132" i="5"/>
  <c r="AO132" i="5"/>
  <c r="AR132" i="5"/>
  <c r="AX132" i="5"/>
  <c r="AL133" i="5"/>
  <c r="AO133" i="5"/>
  <c r="AR133" i="5"/>
  <c r="AX133" i="5"/>
  <c r="AL134" i="5"/>
  <c r="AO134" i="5"/>
  <c r="AR134" i="5"/>
  <c r="AX134" i="5"/>
  <c r="AL135" i="5"/>
  <c r="AO135" i="5"/>
  <c r="AR135" i="5"/>
  <c r="AX135" i="5"/>
  <c r="AL136" i="5"/>
  <c r="AO136" i="5"/>
  <c r="AR136" i="5"/>
  <c r="AL137" i="5"/>
  <c r="AO137" i="5"/>
  <c r="AR137" i="5"/>
  <c r="AX137" i="5"/>
  <c r="AL138" i="5"/>
  <c r="AO138" i="5"/>
  <c r="AR138" i="5"/>
  <c r="AX138" i="5"/>
  <c r="AL139" i="5"/>
  <c r="AO139" i="5"/>
  <c r="AX139" i="5"/>
  <c r="AL140" i="5"/>
  <c r="AO140" i="5"/>
  <c r="AR140" i="5"/>
  <c r="AX140" i="5"/>
  <c r="AL141" i="5"/>
  <c r="AO141" i="5"/>
  <c r="AR141" i="5"/>
  <c r="AX141" i="5"/>
  <c r="AL142" i="5"/>
  <c r="AO142" i="5"/>
  <c r="AX142" i="5"/>
  <c r="AL143" i="5"/>
  <c r="AO143" i="5"/>
  <c r="AR143" i="5"/>
  <c r="AO131" i="5"/>
  <c r="AL131" i="5"/>
  <c r="AO130" i="5"/>
  <c r="AL130" i="5"/>
  <c r="AR129" i="5"/>
  <c r="AO129" i="5"/>
  <c r="AL129" i="5"/>
  <c r="AR128" i="5"/>
  <c r="AO128" i="5"/>
  <c r="AL128" i="5"/>
  <c r="AR127" i="5"/>
  <c r="AO127" i="5"/>
  <c r="AL127" i="5"/>
  <c r="AO126" i="5"/>
  <c r="AL126" i="5"/>
  <c r="AR125" i="5"/>
  <c r="AO125" i="5"/>
  <c r="AL125" i="5"/>
  <c r="AR124" i="5"/>
  <c r="AO124" i="5"/>
  <c r="AL124" i="5"/>
  <c r="AO123" i="5"/>
  <c r="AL123" i="5"/>
  <c r="AO122" i="5"/>
  <c r="AL122" i="5"/>
  <c r="AR121" i="5"/>
  <c r="AO121" i="5"/>
  <c r="AR120" i="5"/>
  <c r="AO120" i="5"/>
  <c r="AL120" i="5"/>
  <c r="AR119" i="5"/>
  <c r="AO119" i="5"/>
  <c r="AL119" i="5"/>
  <c r="AR118" i="5"/>
  <c r="AO118" i="5"/>
  <c r="AL118" i="5"/>
  <c r="AR117" i="5"/>
  <c r="AO117" i="5"/>
  <c r="AL117" i="5"/>
  <c r="AX116" i="5"/>
  <c r="AR116" i="5"/>
  <c r="AO116" i="5"/>
  <c r="AL116" i="5"/>
  <c r="AO115" i="5"/>
  <c r="AL115" i="5"/>
  <c r="AR114" i="5"/>
  <c r="AO114" i="5"/>
  <c r="AL114" i="5"/>
  <c r="AR113" i="5"/>
  <c r="AO113" i="5"/>
  <c r="AL113" i="5"/>
  <c r="AR112" i="5"/>
  <c r="AO112" i="5"/>
  <c r="AL112" i="5"/>
  <c r="AR111" i="5"/>
  <c r="AO111" i="5"/>
  <c r="AR110" i="5"/>
  <c r="AO110" i="5"/>
  <c r="AL110" i="5"/>
  <c r="AR109" i="5"/>
  <c r="AO109" i="5"/>
  <c r="AL109" i="5"/>
  <c r="AR108" i="5"/>
  <c r="AO108" i="5"/>
  <c r="AL108" i="5"/>
  <c r="AO107" i="5"/>
  <c r="AO106" i="5"/>
  <c r="AL106" i="5"/>
  <c r="AR105" i="5"/>
  <c r="AO105" i="5"/>
  <c r="AL105" i="5"/>
  <c r="AR104" i="5"/>
  <c r="AO104" i="5"/>
  <c r="AL104" i="5"/>
  <c r="AR103" i="5"/>
  <c r="AO103" i="5"/>
  <c r="AL103" i="5"/>
  <c r="AO102" i="5"/>
  <c r="AL102" i="5"/>
  <c r="AR101" i="5"/>
  <c r="AO101" i="5"/>
  <c r="AL101" i="5"/>
  <c r="AR100" i="5"/>
  <c r="AO100" i="5"/>
  <c r="AL100" i="5"/>
  <c r="AO98" i="5"/>
  <c r="AO96" i="5"/>
  <c r="C48" i="5"/>
  <c r="C47" i="5"/>
  <c r="C41" i="5"/>
  <c r="C40" i="5"/>
  <c r="C39" i="5"/>
  <c r="C38" i="5"/>
  <c r="C37" i="5"/>
  <c r="C36" i="5"/>
  <c r="I31" i="5"/>
  <c r="I32" i="5" s="1"/>
  <c r="BK29" i="5"/>
  <c r="BE29" i="5"/>
  <c r="F21" i="5"/>
  <c r="F19" i="5"/>
  <c r="H19" i="5" s="1"/>
  <c r="F18" i="5"/>
  <c r="H18" i="5" s="1"/>
  <c r="F17" i="5"/>
  <c r="H17" i="5" s="1"/>
  <c r="F16" i="5"/>
  <c r="H16" i="5" s="1"/>
  <c r="F15" i="5"/>
  <c r="H15" i="5" s="1"/>
  <c r="F14" i="5"/>
  <c r="H14" i="5" s="1"/>
  <c r="F13" i="5"/>
  <c r="H13" i="5" s="1"/>
  <c r="F12" i="5"/>
  <c r="H12" i="5" s="1"/>
  <c r="F11" i="5"/>
  <c r="AX131" i="5"/>
  <c r="AX130" i="5"/>
  <c r="AX129" i="5"/>
  <c r="AX127" i="5"/>
  <c r="AX126" i="5"/>
  <c r="AX125" i="5"/>
  <c r="AX124" i="5"/>
  <c r="AX123" i="5"/>
  <c r="AX122" i="5"/>
  <c r="AX121" i="5"/>
  <c r="AX119" i="5"/>
  <c r="AX118" i="5"/>
  <c r="AX117" i="5"/>
  <c r="AX115" i="5"/>
  <c r="AX114" i="5"/>
  <c r="AX113" i="5"/>
  <c r="AX111" i="5"/>
  <c r="AX110" i="5"/>
  <c r="AX109" i="5"/>
  <c r="AX108" i="5"/>
  <c r="AX107" i="5"/>
  <c r="AX106" i="5"/>
  <c r="AX105" i="5"/>
  <c r="AX103" i="5"/>
  <c r="AX102" i="5"/>
  <c r="AX101" i="5"/>
  <c r="AX100" i="5"/>
  <c r="AX99" i="5"/>
  <c r="AO99" i="5"/>
  <c r="AX98" i="5"/>
  <c r="AR98" i="5"/>
  <c r="AL98" i="5"/>
  <c r="AX97" i="5"/>
  <c r="AR97" i="5"/>
  <c r="AO97" i="5"/>
  <c r="AX96" i="5"/>
  <c r="AR96" i="5"/>
  <c r="AL96" i="5"/>
  <c r="BK58" i="5"/>
  <c r="BE58" i="5"/>
  <c r="C49" i="5"/>
  <c r="G26" i="5"/>
  <c r="F20" i="5"/>
  <c r="H20" i="5" s="1"/>
  <c r="B5" i="5" l="1"/>
  <c r="C5" i="5" s="1"/>
  <c r="AF77" i="5"/>
  <c r="AT64" i="5"/>
  <c r="E55" i="5"/>
  <c r="AN51" i="5"/>
  <c r="AL38" i="5"/>
  <c r="A31" i="5"/>
  <c r="AJ25" i="5"/>
  <c r="AF12" i="5"/>
  <c r="AJ64" i="5"/>
  <c r="AP51" i="5"/>
  <c r="AT77" i="5"/>
  <c r="AR64" i="5"/>
  <c r="AL51" i="5"/>
  <c r="AJ38" i="5"/>
  <c r="AH25" i="5"/>
  <c r="AT12" i="5"/>
  <c r="AF38" i="5"/>
  <c r="AT25" i="5"/>
  <c r="AL12" i="5"/>
  <c r="AF64" i="5"/>
  <c r="AR77" i="5"/>
  <c r="AP64" i="5"/>
  <c r="AJ51" i="5"/>
  <c r="AH38" i="5"/>
  <c r="AF25" i="5"/>
  <c r="AR12" i="5"/>
  <c r="AP12" i="5"/>
  <c r="AL77" i="5"/>
  <c r="AT51" i="5"/>
  <c r="AH77" i="5"/>
  <c r="AP77" i="5"/>
  <c r="AN64" i="5"/>
  <c r="AH51" i="5"/>
  <c r="AR38" i="5"/>
  <c r="AP25" i="5"/>
  <c r="AL25" i="5"/>
  <c r="AH12" i="5"/>
  <c r="AN77" i="5"/>
  <c r="AL64" i="5"/>
  <c r="AF51" i="5"/>
  <c r="AT38" i="5"/>
  <c r="AR25" i="5"/>
  <c r="AN12" i="5"/>
  <c r="AN38" i="5"/>
  <c r="AJ77" i="5"/>
  <c r="AH64" i="5"/>
  <c r="AR51" i="5"/>
  <c r="AP38" i="5"/>
  <c r="AN25" i="5"/>
  <c r="AJ12" i="5"/>
  <c r="D41" i="5"/>
  <c r="E41" i="5" s="1"/>
  <c r="E70" i="5"/>
  <c r="E67" i="5"/>
  <c r="E64" i="5"/>
  <c r="E65" i="5"/>
  <c r="E79" i="5"/>
  <c r="E69" i="5"/>
  <c r="E77" i="5"/>
  <c r="E75" i="5"/>
  <c r="E71" i="5"/>
  <c r="E68" i="5"/>
  <c r="E73" i="5"/>
  <c r="I22" i="5"/>
  <c r="E74" i="5"/>
  <c r="E76" i="5"/>
  <c r="E66" i="5"/>
  <c r="E78" i="5"/>
  <c r="E72" i="5"/>
  <c r="D37" i="5"/>
  <c r="E37" i="5" s="1"/>
  <c r="D49" i="5"/>
  <c r="E49" i="5" s="1"/>
  <c r="F49" i="5" s="1"/>
  <c r="D36" i="5"/>
  <c r="E36" i="5" s="1"/>
  <c r="AG140" i="5" l="1"/>
  <c r="AI140" i="5" s="1"/>
  <c r="AG132" i="5"/>
  <c r="AI132" i="5" s="1"/>
  <c r="AG136" i="5"/>
  <c r="AI136" i="5" s="1"/>
  <c r="AG135" i="5"/>
  <c r="AI135" i="5" s="1"/>
  <c r="AG139" i="5"/>
  <c r="AI139" i="5" s="1"/>
  <c r="AG143" i="5"/>
  <c r="AI143" i="5" s="1"/>
  <c r="AG134" i="5"/>
  <c r="AI134" i="5" s="1"/>
  <c r="AG138" i="5"/>
  <c r="AI138" i="5" s="1"/>
  <c r="AG142" i="5"/>
  <c r="AI142" i="5" s="1"/>
  <c r="AG141" i="5"/>
  <c r="AI141" i="5" s="1"/>
  <c r="AG133" i="5"/>
  <c r="AI133" i="5" s="1"/>
  <c r="AG137" i="5"/>
  <c r="AI137" i="5" s="1"/>
  <c r="AG131" i="5"/>
  <c r="AI131" i="5" s="1"/>
  <c r="AG123" i="5"/>
  <c r="AI123" i="5" s="1"/>
  <c r="AG115" i="5"/>
  <c r="AI115" i="5" s="1"/>
  <c r="AG107" i="5"/>
  <c r="AI107" i="5" s="1"/>
  <c r="AG130" i="5"/>
  <c r="AI130" i="5" s="1"/>
  <c r="AG122" i="5"/>
  <c r="AI122" i="5" s="1"/>
  <c r="AG114" i="5"/>
  <c r="AI114" i="5" s="1"/>
  <c r="AG106" i="5"/>
  <c r="AI106" i="5" s="1"/>
  <c r="AG110" i="5"/>
  <c r="AI110" i="5" s="1"/>
  <c r="AG129" i="5"/>
  <c r="AI129" i="5" s="1"/>
  <c r="AG121" i="5"/>
  <c r="AI121" i="5" s="1"/>
  <c r="AG113" i="5"/>
  <c r="AI113" i="5" s="1"/>
  <c r="AG105" i="5"/>
  <c r="AI105" i="5" s="1"/>
  <c r="AG128" i="5"/>
  <c r="AI128" i="5" s="1"/>
  <c r="AG120" i="5"/>
  <c r="AI120" i="5" s="1"/>
  <c r="AG112" i="5"/>
  <c r="AI112" i="5" s="1"/>
  <c r="AG104" i="5"/>
  <c r="AI104" i="5" s="1"/>
  <c r="AG99" i="5"/>
  <c r="AG97" i="5"/>
  <c r="AG102" i="5"/>
  <c r="AI102" i="5" s="1"/>
  <c r="AG127" i="5"/>
  <c r="AI127" i="5" s="1"/>
  <c r="AG119" i="5"/>
  <c r="AI119" i="5" s="1"/>
  <c r="AG111" i="5"/>
  <c r="AI111" i="5" s="1"/>
  <c r="AG103" i="5"/>
  <c r="AI103" i="5" s="1"/>
  <c r="AG126" i="5"/>
  <c r="AI126" i="5" s="1"/>
  <c r="AG118" i="5"/>
  <c r="AI118" i="5" s="1"/>
  <c r="AG125" i="5"/>
  <c r="AI125" i="5" s="1"/>
  <c r="AG117" i="5"/>
  <c r="AI117" i="5" s="1"/>
  <c r="AG109" i="5"/>
  <c r="AI109" i="5" s="1"/>
  <c r="AG101" i="5"/>
  <c r="AI101" i="5" s="1"/>
  <c r="AG124" i="5"/>
  <c r="AI124" i="5" s="1"/>
  <c r="AG116" i="5"/>
  <c r="AI116" i="5" s="1"/>
  <c r="AG108" i="5"/>
  <c r="AI108" i="5" s="1"/>
  <c r="AG100" i="5"/>
  <c r="AI100" i="5" s="1"/>
  <c r="AG98" i="5"/>
  <c r="AG96" i="5"/>
  <c r="F37" i="5"/>
  <c r="AH53" i="5" s="1"/>
  <c r="AR66" i="5"/>
  <c r="AR53" i="5"/>
  <c r="E31" i="5"/>
  <c r="G31" i="5"/>
  <c r="K30" i="5" s="1"/>
  <c r="F55" i="5"/>
  <c r="AN49" i="5" s="1"/>
  <c r="F36" i="5"/>
  <c r="AF26" i="5" s="1"/>
  <c r="F41" i="5"/>
  <c r="AL70" i="5" s="1"/>
  <c r="I41" i="5"/>
  <c r="D40" i="5"/>
  <c r="E40" i="5" s="1"/>
  <c r="D39" i="5"/>
  <c r="E39" i="5" s="1"/>
  <c r="D38" i="5"/>
  <c r="E38" i="5" s="1"/>
  <c r="D47" i="5"/>
  <c r="E47" i="5" s="1"/>
  <c r="D48" i="5"/>
  <c r="E48" i="5" s="1"/>
  <c r="AR86" i="5"/>
  <c r="AT73" i="5"/>
  <c r="AT21" i="5"/>
  <c r="AR73" i="5"/>
  <c r="AR21" i="5"/>
  <c r="AT60" i="5"/>
  <c r="AT34" i="5"/>
  <c r="AR34" i="5"/>
  <c r="AT86" i="5"/>
  <c r="I49" i="5"/>
  <c r="L49" i="5" s="1"/>
  <c r="AR47" i="5"/>
  <c r="G49" i="5"/>
  <c r="AT47" i="5"/>
  <c r="J49" i="5"/>
  <c r="M49" i="5" s="1"/>
  <c r="AT89" i="5"/>
  <c r="AR89" i="5"/>
  <c r="AL76" i="5"/>
  <c r="AH63" i="5"/>
  <c r="AT50" i="5"/>
  <c r="AN37" i="5"/>
  <c r="AP24" i="5"/>
  <c r="AT76" i="5"/>
  <c r="AH89" i="5"/>
  <c r="AR76" i="5"/>
  <c r="AP89" i="5"/>
  <c r="AJ76" i="5"/>
  <c r="AF63" i="5"/>
  <c r="AR50" i="5"/>
  <c r="AL37" i="5"/>
  <c r="AN24" i="5"/>
  <c r="AP63" i="5"/>
  <c r="AL50" i="5"/>
  <c r="AH24" i="5"/>
  <c r="AN89" i="5"/>
  <c r="AH76" i="5"/>
  <c r="AT63" i="5"/>
  <c r="AP50" i="5"/>
  <c r="AJ37" i="5"/>
  <c r="AL24" i="5"/>
  <c r="AF37" i="5"/>
  <c r="AL89" i="5"/>
  <c r="AF76" i="5"/>
  <c r="AR63" i="5"/>
  <c r="AN50" i="5"/>
  <c r="AH37" i="5"/>
  <c r="AJ24" i="5"/>
  <c r="AJ89" i="5"/>
  <c r="AF89" i="5"/>
  <c r="AP37" i="5"/>
  <c r="AR24" i="5"/>
  <c r="AH50" i="5"/>
  <c r="AF50" i="5"/>
  <c r="AT37" i="5"/>
  <c r="AN63" i="5"/>
  <c r="AF24" i="5"/>
  <c r="AP76" i="5"/>
  <c r="AR37" i="5"/>
  <c r="AL63" i="5"/>
  <c r="AT24" i="5"/>
  <c r="AJ63" i="5"/>
  <c r="AJ50" i="5"/>
  <c r="AN76" i="5"/>
  <c r="I36" i="5"/>
  <c r="I37" i="5"/>
  <c r="I55" i="5"/>
  <c r="L55" i="5" s="1"/>
  <c r="J55" i="5" l="1"/>
  <c r="M55" i="5" s="1"/>
  <c r="AL31" i="5"/>
  <c r="AP23" i="5"/>
  <c r="AH75" i="5"/>
  <c r="AH88" i="5"/>
  <c r="AP49" i="5"/>
  <c r="AT49" i="5"/>
  <c r="AN88" i="5"/>
  <c r="AR88" i="5"/>
  <c r="AJ75" i="5"/>
  <c r="AJ36" i="5"/>
  <c r="AP36" i="5"/>
  <c r="AT23" i="5"/>
  <c r="AF88" i="5"/>
  <c r="AF49" i="5"/>
  <c r="AF75" i="5"/>
  <c r="AR49" i="5"/>
  <c r="AN62" i="5"/>
  <c r="AN36" i="5"/>
  <c r="AJ62" i="5"/>
  <c r="AR75" i="5"/>
  <c r="AL62" i="5"/>
  <c r="AN75" i="5"/>
  <c r="AL88" i="5"/>
  <c r="AL49" i="5"/>
  <c r="AF52" i="5"/>
  <c r="AF13" i="5"/>
  <c r="AL75" i="5"/>
  <c r="AT62" i="5"/>
  <c r="AT88" i="5"/>
  <c r="AF23" i="5"/>
  <c r="AP75" i="5"/>
  <c r="AL23" i="5"/>
  <c r="AH62" i="5"/>
  <c r="AT36" i="5"/>
  <c r="AH49" i="5"/>
  <c r="AJ23" i="5"/>
  <c r="AF65" i="5"/>
  <c r="AN23" i="5"/>
  <c r="AJ88" i="5"/>
  <c r="AR36" i="5"/>
  <c r="AJ49" i="5"/>
  <c r="AT75" i="5"/>
  <c r="AH36" i="5"/>
  <c r="AF39" i="5"/>
  <c r="AR13" i="5"/>
  <c r="AL36" i="5"/>
  <c r="AR23" i="5"/>
  <c r="AP62" i="5"/>
  <c r="AR62" i="5"/>
  <c r="AH23" i="5"/>
  <c r="AF62" i="5"/>
  <c r="F77" i="5"/>
  <c r="F39" i="5"/>
  <c r="AN81" i="5" s="1"/>
  <c r="AH79" i="5"/>
  <c r="J41" i="5"/>
  <c r="M41" i="5" s="1"/>
  <c r="F38" i="5"/>
  <c r="AJ41" i="5" s="1"/>
  <c r="F40" i="5"/>
  <c r="AP17" i="5" s="1"/>
  <c r="F76" i="5"/>
  <c r="AR79" i="5"/>
  <c r="G41" i="5"/>
  <c r="AL57" i="5"/>
  <c r="AR39" i="5"/>
  <c r="AP88" i="5"/>
  <c r="AF36" i="5"/>
  <c r="AH40" i="5"/>
  <c r="AH27" i="5"/>
  <c r="L41" i="5"/>
  <c r="F48" i="5"/>
  <c r="F71" i="5" s="1"/>
  <c r="G71" i="5" s="1"/>
  <c r="F47" i="5"/>
  <c r="AJ19" i="5" s="1"/>
  <c r="AL44" i="5"/>
  <c r="AL83" i="5"/>
  <c r="AH14" i="5"/>
  <c r="AL18" i="5"/>
  <c r="AF78" i="5"/>
  <c r="AR26" i="5"/>
  <c r="AH66" i="5"/>
  <c r="AI96" i="5"/>
  <c r="AI99" i="5"/>
  <c r="AI97" i="5"/>
  <c r="AI98" i="5"/>
  <c r="G37" i="5"/>
  <c r="P55" i="5"/>
  <c r="L36" i="5"/>
  <c r="AZ20" i="5"/>
  <c r="K49" i="5"/>
  <c r="N49" i="5" s="1"/>
  <c r="G55" i="5"/>
  <c r="J36" i="5"/>
  <c r="M36" i="5" s="1"/>
  <c r="G76" i="5"/>
  <c r="J37" i="5"/>
  <c r="M37" i="5" s="1"/>
  <c r="G77" i="5"/>
  <c r="O55" i="5"/>
  <c r="AZ21" i="5" s="1"/>
  <c r="K55" i="5"/>
  <c r="N55" i="5" s="1"/>
  <c r="AR60" i="5"/>
  <c r="L37" i="5"/>
  <c r="G36" i="5"/>
  <c r="K41" i="5" l="1"/>
  <c r="N41" i="5" s="1"/>
  <c r="AZ17" i="5"/>
  <c r="F70" i="5"/>
  <c r="AF45" i="5"/>
  <c r="AP30" i="5"/>
  <c r="AF85" i="5"/>
  <c r="AT55" i="5"/>
  <c r="AL59" i="5"/>
  <c r="AP82" i="5"/>
  <c r="AF72" i="5"/>
  <c r="AJ15" i="5"/>
  <c r="AZ13" i="5"/>
  <c r="AH19" i="5"/>
  <c r="F69" i="5"/>
  <c r="AP56" i="5"/>
  <c r="AH72" i="5"/>
  <c r="AP59" i="5"/>
  <c r="AP43" i="5"/>
  <c r="AJ80" i="5"/>
  <c r="AH32" i="5"/>
  <c r="AP69" i="5"/>
  <c r="AJ72" i="5"/>
  <c r="AP32" i="5"/>
  <c r="AN72" i="5"/>
  <c r="AH87" i="5"/>
  <c r="AH61" i="5"/>
  <c r="AH74" i="5"/>
  <c r="I71" i="5"/>
  <c r="AF32" i="5"/>
  <c r="AH45" i="5"/>
  <c r="AL85" i="5"/>
  <c r="F78" i="5"/>
  <c r="F72" i="5"/>
  <c r="F66" i="5"/>
  <c r="F75" i="5"/>
  <c r="F67" i="5"/>
  <c r="F79" i="5"/>
  <c r="F73" i="5"/>
  <c r="AT81" i="5"/>
  <c r="AP19" i="5"/>
  <c r="AN19" i="5"/>
  <c r="AJ32" i="5"/>
  <c r="AJ85" i="5"/>
  <c r="AN85" i="5"/>
  <c r="AT15" i="5"/>
  <c r="AN68" i="5"/>
  <c r="AN29" i="5"/>
  <c r="AN32" i="5"/>
  <c r="AJ45" i="5"/>
  <c r="AL72" i="5"/>
  <c r="F64" i="5"/>
  <c r="AJ28" i="5"/>
  <c r="AJ54" i="5"/>
  <c r="AN42" i="5"/>
  <c r="F65" i="5"/>
  <c r="AL19" i="5"/>
  <c r="AZ12" i="5"/>
  <c r="AL32" i="5"/>
  <c r="AP72" i="5"/>
  <c r="AN45" i="5"/>
  <c r="AF19" i="5"/>
  <c r="AF59" i="5"/>
  <c r="AH85" i="5"/>
  <c r="AP85" i="5"/>
  <c r="F74" i="5"/>
  <c r="F68" i="5"/>
  <c r="AT28" i="5"/>
  <c r="AJ67" i="5"/>
  <c r="AT68" i="5"/>
  <c r="AL45" i="5"/>
  <c r="AN16" i="5"/>
  <c r="AP45" i="5"/>
  <c r="AH59" i="5"/>
  <c r="AN59" i="5"/>
  <c r="AJ59" i="5"/>
  <c r="AT41" i="5"/>
  <c r="AN55" i="5"/>
  <c r="L29" i="5"/>
  <c r="M30" i="5"/>
  <c r="AZ11" i="5" s="1"/>
  <c r="Q55" i="5"/>
  <c r="AR35" i="5"/>
  <c r="I76" i="5"/>
  <c r="AR48" i="5"/>
  <c r="AR22" i="5"/>
  <c r="K37" i="5"/>
  <c r="N37" i="5" s="1"/>
  <c r="AR87" i="5"/>
  <c r="I77" i="5"/>
  <c r="AR74" i="5"/>
  <c r="AR61" i="5"/>
  <c r="K36" i="5"/>
  <c r="N36" i="5" s="1"/>
  <c r="F9" i="8" l="1"/>
  <c r="F10" i="8"/>
  <c r="F11" i="8"/>
  <c r="F12" i="8"/>
  <c r="F13" i="8"/>
  <c r="F8" i="8"/>
  <c r="AT89" i="4"/>
  <c r="AT87" i="4"/>
  <c r="AT86" i="4"/>
  <c r="AT85" i="4"/>
  <c r="AT84" i="4"/>
  <c r="AO90" i="4"/>
  <c r="AM80" i="4"/>
  <c r="AM81" i="4"/>
  <c r="AM82" i="4"/>
  <c r="AM83" i="4"/>
  <c r="AM84" i="4"/>
  <c r="AM85" i="4"/>
  <c r="AM86" i="4"/>
  <c r="AO86" i="4" s="1"/>
  <c r="AM87" i="4"/>
  <c r="AM88" i="4"/>
  <c r="AM89" i="4"/>
  <c r="AM90" i="4"/>
  <c r="AM91" i="4"/>
  <c r="AM92" i="4"/>
  <c r="AM93" i="4"/>
  <c r="AM94" i="4"/>
  <c r="AM95" i="4"/>
  <c r="AM96" i="4"/>
  <c r="AM97" i="4"/>
  <c r="AM98" i="4"/>
  <c r="AM99" i="4"/>
  <c r="AM100" i="4"/>
  <c r="AM101" i="4"/>
  <c r="AM102" i="4"/>
  <c r="AO93" i="4"/>
  <c r="AM79" i="4"/>
  <c r="AB102" i="4"/>
  <c r="AB101" i="4"/>
  <c r="AB100" i="4"/>
  <c r="AB99" i="4"/>
  <c r="AB98" i="4"/>
  <c r="AB97" i="4"/>
  <c r="AB96" i="4"/>
  <c r="AB95" i="4"/>
  <c r="AB94" i="4"/>
  <c r="AB93" i="4"/>
  <c r="AB92" i="4"/>
  <c r="AB91" i="4"/>
  <c r="AB90" i="4"/>
  <c r="AB84" i="4"/>
  <c r="AB89" i="4"/>
  <c r="AB88" i="4"/>
  <c r="AB87" i="4"/>
  <c r="AB86" i="4"/>
  <c r="AB85" i="4"/>
  <c r="AB83" i="4"/>
  <c r="AB82" i="4"/>
  <c r="AB81" i="4"/>
  <c r="AB80" i="4"/>
  <c r="AB79" i="4"/>
  <c r="AO102" i="4"/>
  <c r="AO94" i="4"/>
  <c r="AO91" i="4"/>
  <c r="AO80" i="4"/>
  <c r="AG69" i="4"/>
  <c r="AD69" i="4"/>
  <c r="AA69" i="4"/>
  <c r="W69" i="4"/>
  <c r="F19" i="4"/>
  <c r="F18" i="4"/>
  <c r="F17" i="4"/>
  <c r="H17" i="4" s="1"/>
  <c r="F16" i="4"/>
  <c r="H16" i="4" s="1"/>
  <c r="F15" i="4"/>
  <c r="AM14" i="4"/>
  <c r="AM15" i="4" s="1"/>
  <c r="AM32" i="4" s="1"/>
  <c r="H14" i="4"/>
  <c r="F14" i="4"/>
  <c r="F13" i="4"/>
  <c r="F12" i="4"/>
  <c r="F11" i="4"/>
  <c r="BQ44" i="1"/>
  <c r="AO83" i="4" l="1"/>
  <c r="AO81" i="4"/>
  <c r="AO89" i="4"/>
  <c r="AO92" i="4"/>
  <c r="AO85" i="4"/>
  <c r="AO100" i="4"/>
  <c r="AO98" i="4"/>
  <c r="AO88" i="4"/>
  <c r="AO101" i="4"/>
  <c r="AO82" i="4"/>
  <c r="AO97" i="4"/>
  <c r="AO95" i="4"/>
  <c r="AO84" i="4"/>
  <c r="AO87" i="4"/>
  <c r="AO79" i="4"/>
  <c r="AO96" i="4"/>
  <c r="AO99" i="4"/>
  <c r="J4" i="4"/>
  <c r="K4" i="4" s="1"/>
  <c r="I11" i="4" s="1"/>
  <c r="I19" i="4"/>
  <c r="H13" i="4"/>
  <c r="H12" i="4"/>
  <c r="H15" i="4"/>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68" i="1"/>
  <c r="AL69" i="1"/>
  <c r="AL70" i="1"/>
  <c r="AL71" i="1"/>
  <c r="AL72" i="1"/>
  <c r="AL73" i="1"/>
  <c r="AL74" i="1"/>
  <c r="AL75" i="1"/>
  <c r="AL76" i="1"/>
  <c r="AL77" i="1"/>
  <c r="AL78" i="1"/>
  <c r="AL79" i="1"/>
  <c r="AL80" i="1"/>
  <c r="AL81" i="1"/>
  <c r="AL82" i="1"/>
  <c r="AL83" i="1"/>
  <c r="AL84" i="1"/>
  <c r="AL85" i="1"/>
  <c r="AL86" i="1"/>
  <c r="AL87" i="1"/>
  <c r="AL88" i="1"/>
  <c r="AL89" i="1"/>
  <c r="AN89" i="1" s="1"/>
  <c r="AL90" i="1"/>
  <c r="AL91" i="1"/>
  <c r="AL92" i="1"/>
  <c r="AL93" i="1"/>
  <c r="AL94" i="1"/>
  <c r="AL95" i="1"/>
  <c r="AL96" i="1"/>
  <c r="AL97" i="1"/>
  <c r="AN97" i="1" s="1"/>
  <c r="AL98" i="1"/>
  <c r="AL99" i="1"/>
  <c r="AL100" i="1"/>
  <c r="AL101" i="1"/>
  <c r="AL102" i="1"/>
  <c r="AL103" i="1"/>
  <c r="AL104" i="1"/>
  <c r="AL105" i="1"/>
  <c r="AL106" i="1"/>
  <c r="AL107" i="1"/>
  <c r="AL108" i="1"/>
  <c r="AL109" i="1"/>
  <c r="AL110" i="1"/>
  <c r="AL111" i="1"/>
  <c r="AL112" i="1"/>
  <c r="AL113" i="1"/>
  <c r="AL114" i="1"/>
  <c r="AL115" i="1"/>
  <c r="AL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68" i="1"/>
  <c r="V69" i="1"/>
  <c r="V70" i="1" s="1"/>
  <c r="V71" i="1" s="1"/>
  <c r="V72" i="1" s="1"/>
  <c r="V73" i="1" s="1"/>
  <c r="V74" i="1" s="1"/>
  <c r="V75" i="1" s="1"/>
  <c r="V76" i="1" s="1"/>
  <c r="V77" i="1" s="1"/>
  <c r="V78" i="1" s="1"/>
  <c r="V79" i="1" s="1"/>
  <c r="V80" i="1" s="1"/>
  <c r="V81" i="1" s="1"/>
  <c r="V82" i="1" s="1"/>
  <c r="V83" i="1" s="1"/>
  <c r="V84" i="1" s="1"/>
  <c r="V85" i="1" s="1"/>
  <c r="V86" i="1" s="1"/>
  <c r="V87" i="1" s="1"/>
  <c r="V88" i="1" s="1"/>
  <c r="V89" i="1" s="1"/>
  <c r="V90" i="1" s="1"/>
  <c r="V91" i="1" s="1"/>
  <c r="V92" i="1" s="1"/>
  <c r="V93" i="1" s="1"/>
  <c r="V94" i="1" s="1"/>
  <c r="V95" i="1" s="1"/>
  <c r="V96" i="1" s="1"/>
  <c r="V97" i="1" s="1"/>
  <c r="V98" i="1" s="1"/>
  <c r="V99" i="1" s="1"/>
  <c r="V100" i="1" s="1"/>
  <c r="V101" i="1" s="1"/>
  <c r="V102" i="1" s="1"/>
  <c r="V103" i="1" s="1"/>
  <c r="V104" i="1" s="1"/>
  <c r="V105" i="1" s="1"/>
  <c r="V106" i="1" s="1"/>
  <c r="V107" i="1" s="1"/>
  <c r="V108" i="1" s="1"/>
  <c r="V109" i="1" s="1"/>
  <c r="V110" i="1" s="1"/>
  <c r="V111" i="1" s="1"/>
  <c r="V112" i="1" s="1"/>
  <c r="V113" i="1" s="1"/>
  <c r="V114" i="1" s="1"/>
  <c r="V115" i="1" s="1"/>
  <c r="F26" i="1"/>
  <c r="H26" i="1" s="1"/>
  <c r="G11" i="1"/>
  <c r="I11" i="1" s="1"/>
  <c r="AD12" i="1"/>
  <c r="AD13" i="1" s="1"/>
  <c r="AD14" i="1" s="1"/>
  <c r="AD15" i="1" s="1"/>
  <c r="AD16" i="1" s="1"/>
  <c r="AD17" i="1" s="1"/>
  <c r="AD18" i="1" s="1"/>
  <c r="AD19" i="1" s="1"/>
  <c r="AD20" i="1" s="1"/>
  <c r="AD21" i="1" s="1"/>
  <c r="AD22" i="1" s="1"/>
  <c r="AD23" i="1" s="1"/>
  <c r="AD24" i="1" s="1"/>
  <c r="AD25" i="1" s="1"/>
  <c r="AD26" i="1" s="1"/>
  <c r="AD27" i="1" s="1"/>
  <c r="AD28" i="1" s="1"/>
  <c r="AD29" i="1" s="1"/>
  <c r="AD30" i="1" s="1"/>
  <c r="AD31" i="1" s="1"/>
  <c r="AD32" i="1" s="1"/>
  <c r="AD33" i="1" s="1"/>
  <c r="AD34" i="1" s="1"/>
  <c r="AD35" i="1" s="1"/>
  <c r="AD36" i="1" s="1"/>
  <c r="AD37" i="1" s="1"/>
  <c r="AD38" i="1" s="1"/>
  <c r="AD39" i="1" s="1"/>
  <c r="AD40" i="1" s="1"/>
  <c r="AD41" i="1" s="1"/>
  <c r="AD42" i="1" s="1"/>
  <c r="AD43" i="1" s="1"/>
  <c r="AD44" i="1" s="1"/>
  <c r="AD45" i="1" s="1"/>
  <c r="AD46" i="1" s="1"/>
  <c r="AD47" i="1" s="1"/>
  <c r="AD48" i="1" s="1"/>
  <c r="AD49" i="1" s="1"/>
  <c r="AD50" i="1" s="1"/>
  <c r="AD51" i="1" s="1"/>
  <c r="AD52" i="1" s="1"/>
  <c r="AD53" i="1" s="1"/>
  <c r="AD54" i="1" s="1"/>
  <c r="AD55" i="1" s="1"/>
  <c r="AD56" i="1" s="1"/>
  <c r="AD57" i="1" s="1"/>
  <c r="AD58" i="1" s="1"/>
  <c r="I40" i="1"/>
  <c r="J40" i="1" s="1"/>
  <c r="O38" i="1" s="1"/>
  <c r="D50" i="1"/>
  <c r="F50" i="1" s="1"/>
  <c r="G18" i="1"/>
  <c r="D45" i="1"/>
  <c r="F45" i="1" s="1"/>
  <c r="I22" i="1"/>
  <c r="G21" i="1"/>
  <c r="D47" i="1"/>
  <c r="F47" i="1" s="1"/>
  <c r="I42" i="1"/>
  <c r="D46" i="1"/>
  <c r="F46" i="1" s="1"/>
  <c r="D48" i="1"/>
  <c r="F48" i="1" s="1"/>
  <c r="D49" i="1"/>
  <c r="F49" i="1" s="1"/>
  <c r="K20" i="1"/>
  <c r="K16" i="1"/>
  <c r="K17" i="1"/>
  <c r="K18" i="1"/>
  <c r="K19" i="1"/>
  <c r="K21" i="1"/>
  <c r="AN98" i="1" l="1"/>
  <c r="AN74" i="1"/>
  <c r="AN81" i="1"/>
  <c r="I15" i="4"/>
  <c r="I18" i="4"/>
  <c r="AJ80" i="4"/>
  <c r="AL80" i="4" s="1"/>
  <c r="AJ88" i="4"/>
  <c r="AL88" i="4" s="1"/>
  <c r="AJ96" i="4"/>
  <c r="AL96" i="4" s="1"/>
  <c r="AJ81" i="4"/>
  <c r="AL81" i="4" s="1"/>
  <c r="AJ89" i="4"/>
  <c r="AL89" i="4" s="1"/>
  <c r="AJ97" i="4"/>
  <c r="AL97" i="4" s="1"/>
  <c r="AJ79" i="4"/>
  <c r="AL79" i="4" s="1"/>
  <c r="AJ82" i="4"/>
  <c r="AL82" i="4" s="1"/>
  <c r="AJ90" i="4"/>
  <c r="AL90" i="4" s="1"/>
  <c r="AJ98" i="4"/>
  <c r="AL98" i="4" s="1"/>
  <c r="AJ83" i="4"/>
  <c r="AL83" i="4" s="1"/>
  <c r="AJ91" i="4"/>
  <c r="AL91" i="4" s="1"/>
  <c r="AJ99" i="4"/>
  <c r="AL99" i="4" s="1"/>
  <c r="AJ84" i="4"/>
  <c r="AL84" i="4" s="1"/>
  <c r="AJ92" i="4"/>
  <c r="AL92" i="4" s="1"/>
  <c r="AJ100" i="4"/>
  <c r="AL100" i="4" s="1"/>
  <c r="AJ87" i="4"/>
  <c r="AL87" i="4" s="1"/>
  <c r="AJ85" i="4"/>
  <c r="AL85" i="4" s="1"/>
  <c r="AJ93" i="4"/>
  <c r="AL93" i="4" s="1"/>
  <c r="AJ101" i="4"/>
  <c r="AL101" i="4" s="1"/>
  <c r="AJ95" i="4"/>
  <c r="AL95" i="4" s="1"/>
  <c r="AJ86" i="4"/>
  <c r="AL86" i="4" s="1"/>
  <c r="AJ94" i="4"/>
  <c r="AL94" i="4" s="1"/>
  <c r="AJ102" i="4"/>
  <c r="AL102" i="4" s="1"/>
  <c r="AA84" i="4"/>
  <c r="AC84" i="4" s="1"/>
  <c r="AA92" i="4"/>
  <c r="AC92" i="4" s="1"/>
  <c r="AA100" i="4"/>
  <c r="AC100" i="4" s="1"/>
  <c r="AA99" i="4"/>
  <c r="AC99" i="4" s="1"/>
  <c r="AA85" i="4"/>
  <c r="AC85" i="4" s="1"/>
  <c r="AA93" i="4"/>
  <c r="AC93" i="4" s="1"/>
  <c r="AA101" i="4"/>
  <c r="AC101" i="4" s="1"/>
  <c r="AA86" i="4"/>
  <c r="AC86" i="4" s="1"/>
  <c r="AA94" i="4"/>
  <c r="AC94" i="4" s="1"/>
  <c r="AA102" i="4"/>
  <c r="AC102" i="4" s="1"/>
  <c r="AA95" i="4"/>
  <c r="AC95" i="4" s="1"/>
  <c r="AA87" i="4"/>
  <c r="AC87" i="4" s="1"/>
  <c r="AA79" i="4"/>
  <c r="AC79" i="4" s="1"/>
  <c r="AA80" i="4"/>
  <c r="AC80" i="4" s="1"/>
  <c r="AA88" i="4"/>
  <c r="AC88" i="4" s="1"/>
  <c r="AA96" i="4"/>
  <c r="AC96" i="4" s="1"/>
  <c r="AA81" i="4"/>
  <c r="AC81" i="4" s="1"/>
  <c r="AA89" i="4"/>
  <c r="AC89" i="4" s="1"/>
  <c r="AA97" i="4"/>
  <c r="AC97" i="4" s="1"/>
  <c r="AA82" i="4"/>
  <c r="AC82" i="4" s="1"/>
  <c r="AA90" i="4"/>
  <c r="AC90" i="4" s="1"/>
  <c r="AA98" i="4"/>
  <c r="AC98" i="4" s="1"/>
  <c r="AA83" i="4"/>
  <c r="AC83" i="4" s="1"/>
  <c r="AA91" i="4"/>
  <c r="AC91" i="4" s="1"/>
  <c r="AD102" i="4"/>
  <c r="AF102" i="4" s="1"/>
  <c r="AD98" i="4"/>
  <c r="AF98" i="4" s="1"/>
  <c r="AD99" i="4"/>
  <c r="AF99" i="4" s="1"/>
  <c r="AD100" i="4"/>
  <c r="AF100" i="4" s="1"/>
  <c r="AD97" i="4"/>
  <c r="AF97" i="4" s="1"/>
  <c r="AD101" i="4"/>
  <c r="AF101" i="4" s="1"/>
  <c r="I13" i="4"/>
  <c r="J15" i="4"/>
  <c r="K15" i="4" s="1"/>
  <c r="J18" i="4"/>
  <c r="K18" i="4" s="1"/>
  <c r="E34" i="4" s="1"/>
  <c r="J19" i="4"/>
  <c r="K19" i="4" s="1"/>
  <c r="J11" i="4"/>
  <c r="K11" i="4" s="1"/>
  <c r="I17" i="4"/>
  <c r="I20" i="4"/>
  <c r="J14" i="4"/>
  <c r="K14" i="4" s="1"/>
  <c r="I14" i="4"/>
  <c r="J12" i="4"/>
  <c r="K12" i="4" s="1"/>
  <c r="I12" i="4"/>
  <c r="I16" i="4"/>
  <c r="J16" i="4"/>
  <c r="K16" i="4" s="1"/>
  <c r="J13" i="4"/>
  <c r="K13" i="4" s="1"/>
  <c r="J17" i="4"/>
  <c r="K17" i="4" s="1"/>
  <c r="AN103" i="1"/>
  <c r="AN73" i="1"/>
  <c r="AN70" i="1"/>
  <c r="AN99" i="1"/>
  <c r="AN114" i="1"/>
  <c r="AN106" i="1"/>
  <c r="AN90" i="1"/>
  <c r="AN82" i="1"/>
  <c r="AN110" i="1"/>
  <c r="AN102" i="1"/>
  <c r="AN94" i="1"/>
  <c r="AN86" i="1"/>
  <c r="AN78" i="1"/>
  <c r="AN68" i="1"/>
  <c r="AN108" i="1"/>
  <c r="AN100" i="1"/>
  <c r="AN92" i="1"/>
  <c r="AN84" i="1"/>
  <c r="AN76" i="1"/>
  <c r="AN115" i="1"/>
  <c r="AN91" i="1"/>
  <c r="AN83" i="1"/>
  <c r="AN75" i="1"/>
  <c r="AN107" i="1"/>
  <c r="AN113" i="1"/>
  <c r="AN105" i="1"/>
  <c r="AN112" i="1"/>
  <c r="AN104" i="1"/>
  <c r="AN96" i="1"/>
  <c r="AN88" i="1"/>
  <c r="AN80" i="1"/>
  <c r="AN72" i="1"/>
  <c r="AN111" i="1"/>
  <c r="AN95" i="1"/>
  <c r="AN87" i="1"/>
  <c r="AN79" i="1"/>
  <c r="AN71" i="1"/>
  <c r="AN109" i="1"/>
  <c r="AN101" i="1"/>
  <c r="AN93" i="1"/>
  <c r="AN85" i="1"/>
  <c r="AN77" i="1"/>
  <c r="AN69" i="1"/>
  <c r="I26" i="1"/>
  <c r="G20" i="1"/>
  <c r="I20" i="1" s="1"/>
  <c r="J20" i="1" s="1"/>
  <c r="G17" i="1"/>
  <c r="G16" i="1"/>
  <c r="V126" i="1" l="1"/>
  <c r="J13" i="8" s="1"/>
  <c r="AG94" i="4"/>
  <c r="AI94" i="4" s="1"/>
  <c r="AG90" i="4"/>
  <c r="AI90" i="4" s="1"/>
  <c r="AG89" i="4"/>
  <c r="AI89" i="4" s="1"/>
  <c r="AG102" i="4"/>
  <c r="AI102" i="4" s="1"/>
  <c r="AG88" i="4"/>
  <c r="AI88" i="4" s="1"/>
  <c r="AG101" i="4"/>
  <c r="AI101" i="4" s="1"/>
  <c r="AG83" i="4"/>
  <c r="AI83" i="4" s="1"/>
  <c r="AG100" i="4"/>
  <c r="AI100" i="4" s="1"/>
  <c r="AG84" i="4"/>
  <c r="AI84" i="4" s="1"/>
  <c r="AG95" i="4"/>
  <c r="AI95" i="4" s="1"/>
  <c r="AG96" i="4"/>
  <c r="AI96" i="4" s="1"/>
  <c r="AG82" i="4"/>
  <c r="AI82" i="4" s="1"/>
  <c r="AG98" i="4"/>
  <c r="AI98" i="4" s="1"/>
  <c r="AG80" i="4"/>
  <c r="AI80" i="4" s="1"/>
  <c r="AG97" i="4"/>
  <c r="AI97" i="4" s="1"/>
  <c r="AG81" i="4"/>
  <c r="AI81" i="4" s="1"/>
  <c r="AG93" i="4"/>
  <c r="AI93" i="4" s="1"/>
  <c r="AG79" i="4"/>
  <c r="AI79" i="4" s="1"/>
  <c r="AG92" i="4"/>
  <c r="AI92" i="4" s="1"/>
  <c r="AG91" i="4"/>
  <c r="AI91" i="4" s="1"/>
  <c r="AG99" i="4"/>
  <c r="AI99" i="4" s="1"/>
  <c r="AG87" i="4"/>
  <c r="AI87" i="4" s="1"/>
  <c r="AG85" i="4"/>
  <c r="AI85" i="4" s="1"/>
  <c r="AG86" i="4"/>
  <c r="AI86" i="4" s="1"/>
  <c r="AD93" i="4"/>
  <c r="AF93" i="4" s="1"/>
  <c r="AD94" i="4"/>
  <c r="AF94" i="4" s="1"/>
  <c r="AD91" i="4"/>
  <c r="AF91" i="4" s="1"/>
  <c r="AD95" i="4"/>
  <c r="AF95" i="4" s="1"/>
  <c r="AD96" i="4"/>
  <c r="AF96" i="4" s="1"/>
  <c r="AD92" i="4"/>
  <c r="AF92" i="4" s="1"/>
  <c r="AD85" i="4"/>
  <c r="AF85" i="4" s="1"/>
  <c r="AD86" i="4"/>
  <c r="AF86" i="4" s="1"/>
  <c r="AD90" i="4"/>
  <c r="AF90" i="4" s="1"/>
  <c r="AD87" i="4"/>
  <c r="AF87" i="4" s="1"/>
  <c r="AD88" i="4"/>
  <c r="AF88" i="4" s="1"/>
  <c r="AD89" i="4"/>
  <c r="AF89" i="4" s="1"/>
  <c r="AD83" i="4"/>
  <c r="AF83" i="4" s="1"/>
  <c r="AD82" i="4"/>
  <c r="AF82" i="4" s="1"/>
  <c r="AD84" i="4"/>
  <c r="AF84" i="4" s="1"/>
  <c r="AD79" i="4"/>
  <c r="AF79" i="4" s="1"/>
  <c r="AD80" i="4"/>
  <c r="AF80" i="4" s="1"/>
  <c r="AD81" i="4"/>
  <c r="AF81" i="4" s="1"/>
  <c r="AI71" i="1"/>
  <c r="AK71" i="1" s="1"/>
  <c r="AI79" i="1"/>
  <c r="AK79" i="1" s="1"/>
  <c r="AI87" i="1"/>
  <c r="AK87" i="1" s="1"/>
  <c r="AI95" i="1"/>
  <c r="AK95" i="1" s="1"/>
  <c r="AI103" i="1"/>
  <c r="AK103" i="1" s="1"/>
  <c r="AI111" i="1"/>
  <c r="AK111" i="1" s="1"/>
  <c r="AI72" i="1"/>
  <c r="AK72" i="1" s="1"/>
  <c r="AI80" i="1"/>
  <c r="AK80" i="1" s="1"/>
  <c r="AI88" i="1"/>
  <c r="AK88" i="1" s="1"/>
  <c r="AI96" i="1"/>
  <c r="AK96" i="1" s="1"/>
  <c r="AI104" i="1"/>
  <c r="AK104" i="1" s="1"/>
  <c r="AI112" i="1"/>
  <c r="AK112" i="1" s="1"/>
  <c r="AI73" i="1"/>
  <c r="AK73" i="1" s="1"/>
  <c r="AI81" i="1"/>
  <c r="AK81" i="1" s="1"/>
  <c r="AI89" i="1"/>
  <c r="AK89" i="1" s="1"/>
  <c r="AI97" i="1"/>
  <c r="AK97" i="1" s="1"/>
  <c r="AI105" i="1"/>
  <c r="AK105" i="1" s="1"/>
  <c r="AI113" i="1"/>
  <c r="AK113" i="1" s="1"/>
  <c r="AI74" i="1"/>
  <c r="AK74" i="1" s="1"/>
  <c r="AI82" i="1"/>
  <c r="AK82" i="1" s="1"/>
  <c r="AI90" i="1"/>
  <c r="AK90" i="1" s="1"/>
  <c r="AI98" i="1"/>
  <c r="AK98" i="1" s="1"/>
  <c r="AI106" i="1"/>
  <c r="AK106" i="1" s="1"/>
  <c r="AI114" i="1"/>
  <c r="AK114" i="1" s="1"/>
  <c r="AI75" i="1"/>
  <c r="AK75" i="1" s="1"/>
  <c r="AI83" i="1"/>
  <c r="AK83" i="1" s="1"/>
  <c r="AI91" i="1"/>
  <c r="AK91" i="1" s="1"/>
  <c r="AI99" i="1"/>
  <c r="AK99" i="1" s="1"/>
  <c r="AI107" i="1"/>
  <c r="AK107" i="1" s="1"/>
  <c r="AI115" i="1"/>
  <c r="AK115" i="1" s="1"/>
  <c r="AI86" i="1"/>
  <c r="AK86" i="1" s="1"/>
  <c r="AI110" i="1"/>
  <c r="AK110" i="1" s="1"/>
  <c r="AI76" i="1"/>
  <c r="AK76" i="1" s="1"/>
  <c r="AI84" i="1"/>
  <c r="AK84" i="1" s="1"/>
  <c r="AI92" i="1"/>
  <c r="AK92" i="1" s="1"/>
  <c r="AI100" i="1"/>
  <c r="AK100" i="1" s="1"/>
  <c r="AI108" i="1"/>
  <c r="AK108" i="1" s="1"/>
  <c r="AI68" i="1"/>
  <c r="AK68" i="1" s="1"/>
  <c r="AI78" i="1"/>
  <c r="AK78" i="1" s="1"/>
  <c r="AI102" i="1"/>
  <c r="AK102" i="1" s="1"/>
  <c r="AI69" i="1"/>
  <c r="AK69" i="1" s="1"/>
  <c r="AI77" i="1"/>
  <c r="AK77" i="1" s="1"/>
  <c r="AI85" i="1"/>
  <c r="AK85" i="1" s="1"/>
  <c r="AI93" i="1"/>
  <c r="AK93" i="1" s="1"/>
  <c r="AI101" i="1"/>
  <c r="AK101" i="1" s="1"/>
  <c r="AI109" i="1"/>
  <c r="AK109" i="1" s="1"/>
  <c r="AI70" i="1"/>
  <c r="AK70" i="1" s="1"/>
  <c r="AI94" i="1"/>
  <c r="AK94" i="1" s="1"/>
  <c r="M20" i="1"/>
  <c r="C49" i="1"/>
  <c r="N20" i="1"/>
  <c r="H16" i="1"/>
  <c r="I16" i="1"/>
  <c r="J16" i="1" s="1"/>
  <c r="H17" i="1"/>
  <c r="I17" i="1"/>
  <c r="H20" i="1"/>
  <c r="H18" i="1"/>
  <c r="I18" i="1"/>
  <c r="J18" i="1" s="1"/>
  <c r="D43" i="1"/>
  <c r="F43" i="1" s="1"/>
  <c r="D44" i="1"/>
  <c r="F44" i="1" s="1"/>
  <c r="D41" i="1"/>
  <c r="F41" i="1" s="1"/>
  <c r="G26" i="1"/>
  <c r="K15" i="1"/>
  <c r="G15" i="1"/>
  <c r="H15" i="1" s="1"/>
  <c r="K11" i="1"/>
  <c r="K13" i="1"/>
  <c r="K14" i="1"/>
  <c r="K12" i="1"/>
  <c r="V125" i="1" l="1"/>
  <c r="J12" i="8" s="1"/>
  <c r="E49" i="1"/>
  <c r="O47" i="1" s="1"/>
  <c r="AG52" i="1" s="1"/>
  <c r="J17" i="1"/>
  <c r="M17" i="1"/>
  <c r="M18" i="1"/>
  <c r="M16" i="1"/>
  <c r="I15" i="1"/>
  <c r="Z82" i="1" l="1"/>
  <c r="AB82" i="1" s="1"/>
  <c r="Z80" i="1"/>
  <c r="AB80" i="1" s="1"/>
  <c r="Z100" i="1"/>
  <c r="AB100" i="1" s="1"/>
  <c r="Z99" i="1"/>
  <c r="AB99" i="1" s="1"/>
  <c r="Z98" i="1"/>
  <c r="AB98" i="1" s="1"/>
  <c r="Z81" i="1"/>
  <c r="AB81" i="1" s="1"/>
  <c r="AC71" i="1"/>
  <c r="AE71" i="1" s="1"/>
  <c r="AC79" i="1"/>
  <c r="AE79" i="1" s="1"/>
  <c r="AC87" i="1"/>
  <c r="AE87" i="1" s="1"/>
  <c r="AC95" i="1"/>
  <c r="AE95" i="1" s="1"/>
  <c r="AC103" i="1"/>
  <c r="AE103" i="1" s="1"/>
  <c r="AC111" i="1"/>
  <c r="AE111" i="1" s="1"/>
  <c r="AC80" i="1"/>
  <c r="AE80" i="1" s="1"/>
  <c r="AC96" i="1"/>
  <c r="AE96" i="1" s="1"/>
  <c r="AC112" i="1"/>
  <c r="AE112" i="1" s="1"/>
  <c r="AC72" i="1"/>
  <c r="AE72" i="1" s="1"/>
  <c r="AC88" i="1"/>
  <c r="AE88" i="1" s="1"/>
  <c r="AC104" i="1"/>
  <c r="AE104" i="1" s="1"/>
  <c r="AC73" i="1"/>
  <c r="AE73" i="1" s="1"/>
  <c r="AC81" i="1"/>
  <c r="AE81" i="1" s="1"/>
  <c r="AC89" i="1"/>
  <c r="AE89" i="1" s="1"/>
  <c r="AC97" i="1"/>
  <c r="AE97" i="1" s="1"/>
  <c r="AC105" i="1"/>
  <c r="AE105" i="1" s="1"/>
  <c r="AC113" i="1"/>
  <c r="AE113" i="1" s="1"/>
  <c r="AC74" i="1"/>
  <c r="AE74" i="1" s="1"/>
  <c r="AC82" i="1"/>
  <c r="AE82" i="1" s="1"/>
  <c r="AC90" i="1"/>
  <c r="AE90" i="1" s="1"/>
  <c r="AC98" i="1"/>
  <c r="AE98" i="1" s="1"/>
  <c r="AC106" i="1"/>
  <c r="AE106" i="1" s="1"/>
  <c r="AC114" i="1"/>
  <c r="AE114" i="1" s="1"/>
  <c r="AC75" i="1"/>
  <c r="AE75" i="1" s="1"/>
  <c r="AC83" i="1"/>
  <c r="AE83" i="1" s="1"/>
  <c r="AC91" i="1"/>
  <c r="AE91" i="1" s="1"/>
  <c r="AC99" i="1"/>
  <c r="AE99" i="1" s="1"/>
  <c r="AC107" i="1"/>
  <c r="AE107" i="1" s="1"/>
  <c r="AC115" i="1"/>
  <c r="AE115" i="1" s="1"/>
  <c r="AC76" i="1"/>
  <c r="AE76" i="1" s="1"/>
  <c r="AC84" i="1"/>
  <c r="AE84" i="1" s="1"/>
  <c r="AC92" i="1"/>
  <c r="AE92" i="1" s="1"/>
  <c r="AC100" i="1"/>
  <c r="AE100" i="1" s="1"/>
  <c r="AC108" i="1"/>
  <c r="AE108" i="1" s="1"/>
  <c r="AC68" i="1"/>
  <c r="AE68" i="1" s="1"/>
  <c r="AC78" i="1"/>
  <c r="AE78" i="1" s="1"/>
  <c r="AC94" i="1"/>
  <c r="AE94" i="1" s="1"/>
  <c r="AC110" i="1"/>
  <c r="AE110" i="1" s="1"/>
  <c r="AC69" i="1"/>
  <c r="AE69" i="1" s="1"/>
  <c r="AC77" i="1"/>
  <c r="AE77" i="1" s="1"/>
  <c r="AC85" i="1"/>
  <c r="AE85" i="1" s="1"/>
  <c r="AC93" i="1"/>
  <c r="AE93" i="1" s="1"/>
  <c r="AC101" i="1"/>
  <c r="AE101" i="1" s="1"/>
  <c r="AC109" i="1"/>
  <c r="AE109" i="1" s="1"/>
  <c r="AC70" i="1"/>
  <c r="AE70" i="1" s="1"/>
  <c r="AC86" i="1"/>
  <c r="AE86" i="1" s="1"/>
  <c r="AC102" i="1"/>
  <c r="AE102" i="1" s="1"/>
  <c r="Z103" i="1"/>
  <c r="AB103" i="1" s="1"/>
  <c r="Z101" i="1"/>
  <c r="AB101" i="1" s="1"/>
  <c r="Z84" i="1"/>
  <c r="AB84" i="1" s="1"/>
  <c r="Z85" i="1"/>
  <c r="AB85" i="1" s="1"/>
  <c r="Z83" i="1"/>
  <c r="AB83" i="1" s="1"/>
  <c r="Z102" i="1"/>
  <c r="AB102" i="1" s="1"/>
  <c r="AG57" i="1"/>
  <c r="AG51" i="1"/>
  <c r="AG49" i="1"/>
  <c r="AG56" i="1"/>
  <c r="AG47" i="1"/>
  <c r="AG48" i="1"/>
  <c r="AG55" i="1"/>
  <c r="AG58" i="1"/>
  <c r="AG54" i="1"/>
  <c r="J15" i="1"/>
  <c r="N15" i="1" s="1"/>
  <c r="AG50" i="1"/>
  <c r="AG53" i="1"/>
  <c r="C47" i="1"/>
  <c r="E47" i="1" s="1"/>
  <c r="N18" i="1"/>
  <c r="C45" i="1"/>
  <c r="E45" i="1" s="1"/>
  <c r="N16" i="1"/>
  <c r="M15" i="1"/>
  <c r="C46" i="1"/>
  <c r="E46" i="1" s="1"/>
  <c r="N17" i="1"/>
  <c r="Z113" i="1" l="1"/>
  <c r="AB113" i="1" s="1"/>
  <c r="Z97" i="1"/>
  <c r="AB97" i="1" s="1"/>
  <c r="Z96" i="1"/>
  <c r="AB96" i="1" s="1"/>
  <c r="Z95" i="1"/>
  <c r="AB95" i="1" s="1"/>
  <c r="Z78" i="1"/>
  <c r="AB78" i="1" s="1"/>
  <c r="Z77" i="1"/>
  <c r="AB77" i="1" s="1"/>
  <c r="Z115" i="1"/>
  <c r="AB115" i="1" s="1"/>
  <c r="Z114" i="1"/>
  <c r="AB114" i="1" s="1"/>
  <c r="Z79" i="1"/>
  <c r="AB79" i="1" s="1"/>
  <c r="V123" i="1"/>
  <c r="J10" i="8" s="1"/>
  <c r="C44" i="1"/>
  <c r="E44" i="1" s="1"/>
  <c r="O42" i="1" s="1"/>
  <c r="O43" i="1"/>
  <c r="O44" i="1"/>
  <c r="O45" i="1"/>
  <c r="I21" i="1"/>
  <c r="G19" i="1"/>
  <c r="G14" i="1"/>
  <c r="G13" i="1"/>
  <c r="G12" i="1"/>
  <c r="AG19" i="1" l="1"/>
  <c r="AG27" i="1"/>
  <c r="AG18" i="1"/>
  <c r="AG12" i="1"/>
  <c r="AG20" i="1"/>
  <c r="AG28" i="1"/>
  <c r="AG26" i="1"/>
  <c r="AG13" i="1"/>
  <c r="AG21" i="1"/>
  <c r="AG11" i="1"/>
  <c r="AG14" i="1"/>
  <c r="AG22" i="1"/>
  <c r="AG15" i="1"/>
  <c r="AG23" i="1"/>
  <c r="AG16" i="1"/>
  <c r="AG24" i="1"/>
  <c r="AG17" i="1"/>
  <c r="AG25" i="1"/>
  <c r="AF22" i="1"/>
  <c r="AF20" i="1"/>
  <c r="AF38" i="1"/>
  <c r="AF57" i="1"/>
  <c r="AF21" i="1"/>
  <c r="AF58" i="1"/>
  <c r="AF56" i="1"/>
  <c r="AF39" i="1"/>
  <c r="AF40" i="1"/>
  <c r="AF46" i="1"/>
  <c r="AF44" i="1"/>
  <c r="AF27" i="1"/>
  <c r="AF28" i="1"/>
  <c r="AF26" i="1"/>
  <c r="AF45" i="1"/>
  <c r="AF41" i="1"/>
  <c r="AF42" i="1"/>
  <c r="AF24" i="1"/>
  <c r="AF43" i="1"/>
  <c r="AF25" i="1"/>
  <c r="AF23" i="1"/>
  <c r="M11" i="1"/>
  <c r="M21" i="1"/>
  <c r="J21" i="1"/>
  <c r="C50" i="1" s="1"/>
  <c r="E50" i="1" s="1"/>
  <c r="H12" i="1"/>
  <c r="I12" i="1"/>
  <c r="J12" i="1" s="1"/>
  <c r="H13" i="1"/>
  <c r="I13" i="1"/>
  <c r="J13" i="1" s="1"/>
  <c r="H14" i="1"/>
  <c r="I14" i="1"/>
  <c r="J14" i="1" s="1"/>
  <c r="H19" i="1"/>
  <c r="I19" i="1"/>
  <c r="J19" i="1" s="1"/>
  <c r="W71" i="1" l="1"/>
  <c r="Y71" i="1" s="1"/>
  <c r="W79" i="1"/>
  <c r="Y79" i="1" s="1"/>
  <c r="W87" i="1"/>
  <c r="Y87" i="1" s="1"/>
  <c r="W95" i="1"/>
  <c r="Y95" i="1" s="1"/>
  <c r="W103" i="1"/>
  <c r="Y103" i="1" s="1"/>
  <c r="W111" i="1"/>
  <c r="Y111" i="1" s="1"/>
  <c r="W80" i="1"/>
  <c r="Y80" i="1" s="1"/>
  <c r="W104" i="1"/>
  <c r="Y104" i="1" s="1"/>
  <c r="W72" i="1"/>
  <c r="Y72" i="1" s="1"/>
  <c r="W88" i="1"/>
  <c r="Y88" i="1" s="1"/>
  <c r="W96" i="1"/>
  <c r="Y96" i="1" s="1"/>
  <c r="W112" i="1"/>
  <c r="Y112" i="1" s="1"/>
  <c r="W73" i="1"/>
  <c r="Y73" i="1" s="1"/>
  <c r="W81" i="1"/>
  <c r="Y81" i="1" s="1"/>
  <c r="W89" i="1"/>
  <c r="Y89" i="1" s="1"/>
  <c r="W97" i="1"/>
  <c r="Y97" i="1" s="1"/>
  <c r="W105" i="1"/>
  <c r="Y105" i="1" s="1"/>
  <c r="W113" i="1"/>
  <c r="Y113" i="1" s="1"/>
  <c r="W75" i="1"/>
  <c r="Y75" i="1" s="1"/>
  <c r="W83" i="1"/>
  <c r="Y83" i="1" s="1"/>
  <c r="W91" i="1"/>
  <c r="Y91" i="1" s="1"/>
  <c r="W99" i="1"/>
  <c r="Y99" i="1" s="1"/>
  <c r="W107" i="1"/>
  <c r="Y107" i="1" s="1"/>
  <c r="W115" i="1"/>
  <c r="Y115" i="1" s="1"/>
  <c r="W76" i="1"/>
  <c r="Y76" i="1" s="1"/>
  <c r="W84" i="1"/>
  <c r="Y84" i="1" s="1"/>
  <c r="W92" i="1"/>
  <c r="Y92" i="1" s="1"/>
  <c r="W100" i="1"/>
  <c r="Y100" i="1" s="1"/>
  <c r="W108" i="1"/>
  <c r="Y108" i="1" s="1"/>
  <c r="W68" i="1"/>
  <c r="Y68" i="1" s="1"/>
  <c r="W69" i="1"/>
  <c r="Y69" i="1" s="1"/>
  <c r="W77" i="1"/>
  <c r="Y77" i="1" s="1"/>
  <c r="W85" i="1"/>
  <c r="Y85" i="1" s="1"/>
  <c r="W93" i="1"/>
  <c r="Y93" i="1" s="1"/>
  <c r="W101" i="1"/>
  <c r="Y101" i="1" s="1"/>
  <c r="W109" i="1"/>
  <c r="Y109" i="1" s="1"/>
  <c r="W98" i="1"/>
  <c r="Y98" i="1" s="1"/>
  <c r="W106" i="1"/>
  <c r="Y106" i="1" s="1"/>
  <c r="W78" i="1"/>
  <c r="Y78" i="1" s="1"/>
  <c r="W70" i="1"/>
  <c r="Y70" i="1" s="1"/>
  <c r="W102" i="1"/>
  <c r="Y102" i="1" s="1"/>
  <c r="W74" i="1"/>
  <c r="Y74" i="1" s="1"/>
  <c r="W110" i="1"/>
  <c r="Y110" i="1" s="1"/>
  <c r="W82" i="1"/>
  <c r="Y82" i="1" s="1"/>
  <c r="W114" i="1"/>
  <c r="Y114" i="1" s="1"/>
  <c r="W86" i="1"/>
  <c r="Y86" i="1" s="1"/>
  <c r="W90" i="1"/>
  <c r="Y90" i="1" s="1"/>
  <c r="W94" i="1"/>
  <c r="Y94" i="1" s="1"/>
  <c r="AF71" i="1"/>
  <c r="AH71" i="1" s="1"/>
  <c r="AF79" i="1"/>
  <c r="AH79" i="1" s="1"/>
  <c r="AF87" i="1"/>
  <c r="AH87" i="1" s="1"/>
  <c r="AF95" i="1"/>
  <c r="AH95" i="1" s="1"/>
  <c r="AF103" i="1"/>
  <c r="AH103" i="1" s="1"/>
  <c r="AF111" i="1"/>
  <c r="AH111" i="1" s="1"/>
  <c r="AF88" i="1"/>
  <c r="AH88" i="1" s="1"/>
  <c r="AF72" i="1"/>
  <c r="AH72" i="1" s="1"/>
  <c r="AF80" i="1"/>
  <c r="AH80" i="1" s="1"/>
  <c r="AF96" i="1"/>
  <c r="AH96" i="1" s="1"/>
  <c r="AF104" i="1"/>
  <c r="AH104" i="1" s="1"/>
  <c r="AF112" i="1"/>
  <c r="AH112" i="1" s="1"/>
  <c r="AF73" i="1"/>
  <c r="AH73" i="1" s="1"/>
  <c r="AF81" i="1"/>
  <c r="AH81" i="1" s="1"/>
  <c r="AF89" i="1"/>
  <c r="AH89" i="1" s="1"/>
  <c r="AF97" i="1"/>
  <c r="AH97" i="1" s="1"/>
  <c r="AF105" i="1"/>
  <c r="AH105" i="1" s="1"/>
  <c r="AF113" i="1"/>
  <c r="AH113" i="1" s="1"/>
  <c r="AF74" i="1"/>
  <c r="AH74" i="1" s="1"/>
  <c r="AF82" i="1"/>
  <c r="AH82" i="1" s="1"/>
  <c r="AF90" i="1"/>
  <c r="AH90" i="1" s="1"/>
  <c r="AF98" i="1"/>
  <c r="AH98" i="1" s="1"/>
  <c r="AF106" i="1"/>
  <c r="AH106" i="1" s="1"/>
  <c r="AF114" i="1"/>
  <c r="AH114" i="1" s="1"/>
  <c r="AF75" i="1"/>
  <c r="AH75" i="1" s="1"/>
  <c r="AF83" i="1"/>
  <c r="AH83" i="1" s="1"/>
  <c r="AF91" i="1"/>
  <c r="AH91" i="1" s="1"/>
  <c r="AF99" i="1"/>
  <c r="AH99" i="1" s="1"/>
  <c r="AF107" i="1"/>
  <c r="AH107" i="1" s="1"/>
  <c r="AF115" i="1"/>
  <c r="AH115" i="1" s="1"/>
  <c r="AF86" i="1"/>
  <c r="AH86" i="1" s="1"/>
  <c r="AF76" i="1"/>
  <c r="AH76" i="1" s="1"/>
  <c r="AF84" i="1"/>
  <c r="AH84" i="1" s="1"/>
  <c r="AF92" i="1"/>
  <c r="AH92" i="1" s="1"/>
  <c r="AF100" i="1"/>
  <c r="AH100" i="1" s="1"/>
  <c r="AF108" i="1"/>
  <c r="AH108" i="1" s="1"/>
  <c r="AF68" i="1"/>
  <c r="AH68" i="1" s="1"/>
  <c r="AF78" i="1"/>
  <c r="AH78" i="1" s="1"/>
  <c r="AF102" i="1"/>
  <c r="AH102" i="1" s="1"/>
  <c r="AF69" i="1"/>
  <c r="AH69" i="1" s="1"/>
  <c r="AF77" i="1"/>
  <c r="AH77" i="1" s="1"/>
  <c r="AF85" i="1"/>
  <c r="AH85" i="1" s="1"/>
  <c r="AF93" i="1"/>
  <c r="AH93" i="1" s="1"/>
  <c r="AF101" i="1"/>
  <c r="AH101" i="1" s="1"/>
  <c r="AF109" i="1"/>
  <c r="AH109" i="1" s="1"/>
  <c r="AF70" i="1"/>
  <c r="AH70" i="1" s="1"/>
  <c r="AF94" i="1"/>
  <c r="AH94" i="1" s="1"/>
  <c r="AF110" i="1"/>
  <c r="AH110" i="1" s="1"/>
  <c r="C5" i="1"/>
  <c r="M19" i="1"/>
  <c r="G42" i="1"/>
  <c r="N21" i="1"/>
  <c r="O48" i="1"/>
  <c r="M14" i="1"/>
  <c r="M13" i="1"/>
  <c r="M12" i="1"/>
  <c r="Z105" i="1" l="1"/>
  <c r="AB105" i="1" s="1"/>
  <c r="Z104" i="1"/>
  <c r="AB104" i="1" s="1"/>
  <c r="Z88" i="1"/>
  <c r="AB88" i="1" s="1"/>
  <c r="Z87" i="1"/>
  <c r="AB87" i="1" s="1"/>
  <c r="Z70" i="1"/>
  <c r="AB70" i="1" s="1"/>
  <c r="Z68" i="1"/>
  <c r="AB68" i="1" s="1"/>
  <c r="Z69" i="1"/>
  <c r="AB69" i="1" s="1"/>
  <c r="Z86" i="1"/>
  <c r="AB86" i="1" s="1"/>
  <c r="Z106" i="1"/>
  <c r="AB106" i="1" s="1"/>
  <c r="Z112" i="1"/>
  <c r="AB112" i="1" s="1"/>
  <c r="Z111" i="1"/>
  <c r="AB111" i="1" s="1"/>
  <c r="Z93" i="1"/>
  <c r="AB93" i="1" s="1"/>
  <c r="Z92" i="1"/>
  <c r="AB92" i="1" s="1"/>
  <c r="Z75" i="1"/>
  <c r="AB75" i="1" s="1"/>
  <c r="Z76" i="1"/>
  <c r="AB76" i="1" s="1"/>
  <c r="Z94" i="1"/>
  <c r="AB94" i="1" s="1"/>
  <c r="Z74" i="1"/>
  <c r="AB74" i="1" s="1"/>
  <c r="Z110" i="1"/>
  <c r="AB110" i="1" s="1"/>
  <c r="V121" i="1"/>
  <c r="J8" i="8" s="1"/>
  <c r="V124" i="1"/>
  <c r="J11" i="8" s="1"/>
  <c r="Z89" i="1"/>
  <c r="AB89" i="1" s="1"/>
  <c r="Z72" i="1"/>
  <c r="AB72" i="1" s="1"/>
  <c r="Z71" i="1"/>
  <c r="AB71" i="1" s="1"/>
  <c r="Z109" i="1"/>
  <c r="AB109" i="1" s="1"/>
  <c r="Z108" i="1"/>
  <c r="AB108" i="1" s="1"/>
  <c r="Z107" i="1"/>
  <c r="AB107" i="1" s="1"/>
  <c r="Z91" i="1"/>
  <c r="AB91" i="1" s="1"/>
  <c r="Z73" i="1"/>
  <c r="AB73" i="1" s="1"/>
  <c r="Z90" i="1"/>
  <c r="AB90" i="1" s="1"/>
  <c r="AK24" i="1"/>
  <c r="AL24" i="1" s="1"/>
  <c r="AK27" i="1"/>
  <c r="AL27" i="1" s="1"/>
  <c r="AK22" i="1"/>
  <c r="AL22" i="1" s="1"/>
  <c r="AK57" i="1"/>
  <c r="AL57" i="1" s="1"/>
  <c r="AK58" i="1"/>
  <c r="AL58" i="1" s="1"/>
  <c r="AK21" i="1"/>
  <c r="AL21" i="1" s="1"/>
  <c r="AK28" i="1"/>
  <c r="AL28" i="1" s="1"/>
  <c r="AK23" i="1"/>
  <c r="AL23" i="1" s="1"/>
  <c r="AK26" i="1"/>
  <c r="AL26" i="1" s="1"/>
  <c r="AK56" i="1"/>
  <c r="AL56" i="1" s="1"/>
  <c r="AK20" i="1"/>
  <c r="AL20" i="1" s="1"/>
  <c r="AK25" i="1"/>
  <c r="AL25" i="1" s="1"/>
  <c r="AH17" i="1"/>
  <c r="AH25" i="1"/>
  <c r="AH33" i="1"/>
  <c r="AH41" i="1"/>
  <c r="AH49" i="1"/>
  <c r="AH57" i="1"/>
  <c r="AH24" i="1"/>
  <c r="AH18" i="1"/>
  <c r="AH26" i="1"/>
  <c r="AH34" i="1"/>
  <c r="AH42" i="1"/>
  <c r="AH50" i="1"/>
  <c r="AH58" i="1"/>
  <c r="AH16" i="1"/>
  <c r="AH19" i="1"/>
  <c r="AH27" i="1"/>
  <c r="AH35" i="1"/>
  <c r="AH43" i="1"/>
  <c r="AH51" i="1"/>
  <c r="AH11" i="1"/>
  <c r="AH56" i="1"/>
  <c r="AH12" i="1"/>
  <c r="AH20" i="1"/>
  <c r="AH28" i="1"/>
  <c r="AH36" i="1"/>
  <c r="AH44" i="1"/>
  <c r="AH52" i="1"/>
  <c r="AH32" i="1"/>
  <c r="AH13" i="1"/>
  <c r="AH21" i="1"/>
  <c r="AH29" i="1"/>
  <c r="AH37" i="1"/>
  <c r="AH45" i="1"/>
  <c r="AH53" i="1"/>
  <c r="AH14" i="1"/>
  <c r="AH22" i="1"/>
  <c r="AH30" i="1"/>
  <c r="AH38" i="1"/>
  <c r="AH46" i="1"/>
  <c r="AH54" i="1"/>
  <c r="AH40" i="1"/>
  <c r="AH15" i="1"/>
  <c r="AH23" i="1"/>
  <c r="AH31" i="1"/>
  <c r="AH39" i="1"/>
  <c r="AH47" i="1"/>
  <c r="AH55" i="1"/>
  <c r="AH48" i="1"/>
  <c r="AE21" i="1"/>
  <c r="AE29" i="1"/>
  <c r="AE37" i="1"/>
  <c r="AE45" i="1"/>
  <c r="AE53" i="1"/>
  <c r="AE14" i="1"/>
  <c r="AE33" i="1"/>
  <c r="AE43" i="1"/>
  <c r="AE22" i="1"/>
  <c r="AE30" i="1"/>
  <c r="AE38" i="1"/>
  <c r="AE46" i="1"/>
  <c r="AE54" i="1"/>
  <c r="AE11" i="1"/>
  <c r="AE25" i="1"/>
  <c r="AE12" i="1"/>
  <c r="AE19" i="1"/>
  <c r="AE13" i="1"/>
  <c r="AE20" i="1"/>
  <c r="AE23" i="1"/>
  <c r="AE31" i="1"/>
  <c r="AE39" i="1"/>
  <c r="AE47" i="1"/>
  <c r="AE55" i="1"/>
  <c r="AE41" i="1"/>
  <c r="AE57" i="1"/>
  <c r="AE15" i="1"/>
  <c r="AE24" i="1"/>
  <c r="AE32" i="1"/>
  <c r="AE40" i="1"/>
  <c r="AE48" i="1"/>
  <c r="AE56" i="1"/>
  <c r="AE49" i="1"/>
  <c r="AE27" i="1"/>
  <c r="AE52" i="1"/>
  <c r="AE16" i="1"/>
  <c r="AE36" i="1"/>
  <c r="AE17" i="1"/>
  <c r="AE26" i="1"/>
  <c r="AE34" i="1"/>
  <c r="AE42" i="1"/>
  <c r="AE50" i="1"/>
  <c r="AE58" i="1"/>
  <c r="AE18" i="1"/>
  <c r="AE51" i="1"/>
  <c r="AE28" i="1"/>
  <c r="AE35" i="1"/>
  <c r="AE44" i="1"/>
  <c r="C41" i="1"/>
  <c r="E41" i="1" s="1"/>
  <c r="N12" i="1"/>
  <c r="C48" i="1"/>
  <c r="E48" i="1" s="1"/>
  <c r="N19" i="1"/>
  <c r="J42" i="1"/>
  <c r="O40" i="1" s="1"/>
  <c r="N14" i="1"/>
  <c r="C43" i="1"/>
  <c r="E43" i="1" s="1"/>
  <c r="N13" i="1"/>
  <c r="V122" i="1" l="1"/>
  <c r="J9" i="8" s="1"/>
  <c r="AK46" i="1"/>
  <c r="AL46" i="1" s="1"/>
  <c r="AK38" i="1"/>
  <c r="AL38" i="1" s="1"/>
  <c r="AK41" i="1"/>
  <c r="AL41" i="1" s="1"/>
  <c r="AK39" i="1"/>
  <c r="AL39" i="1" s="1"/>
  <c r="AK44" i="1"/>
  <c r="AL44" i="1" s="1"/>
  <c r="AK42" i="1"/>
  <c r="AL42" i="1" s="1"/>
  <c r="AK40" i="1"/>
  <c r="AL40" i="1" s="1"/>
  <c r="AK45" i="1"/>
  <c r="AL45" i="1" s="1"/>
  <c r="AK43" i="1"/>
  <c r="AL43" i="1" s="1"/>
  <c r="AK49" i="1"/>
  <c r="AL49" i="1" s="1"/>
  <c r="AK30" i="1"/>
  <c r="AL30" i="1" s="1"/>
  <c r="AK31" i="1"/>
  <c r="AL31" i="1" s="1"/>
  <c r="AK29" i="1"/>
  <c r="AL29" i="1" s="1"/>
  <c r="AK11" i="1"/>
  <c r="AL11" i="1" s="1"/>
  <c r="AK12" i="1"/>
  <c r="AL12" i="1" s="1"/>
  <c r="AK13" i="1"/>
  <c r="AL13" i="1" s="1"/>
  <c r="AK48" i="1"/>
  <c r="AL48" i="1" s="1"/>
  <c r="AK47" i="1"/>
  <c r="AL47" i="1" s="1"/>
  <c r="AK32" i="1"/>
  <c r="AL32" i="1" s="1"/>
  <c r="AK15" i="1"/>
  <c r="AL15" i="1" s="1"/>
  <c r="AK16" i="1"/>
  <c r="AL16" i="1" s="1"/>
  <c r="AK14" i="1"/>
  <c r="AL14" i="1" s="1"/>
  <c r="AK33" i="1"/>
  <c r="AL33" i="1" s="1"/>
  <c r="AK51" i="1"/>
  <c r="AL51" i="1" s="1"/>
  <c r="AK52" i="1"/>
  <c r="AL52" i="1" s="1"/>
  <c r="AK50" i="1"/>
  <c r="AL50" i="1" s="1"/>
  <c r="AK34" i="1"/>
  <c r="AL34" i="1" s="1"/>
  <c r="AK54" i="1"/>
  <c r="AL54" i="1" s="1"/>
  <c r="AK55" i="1"/>
  <c r="AL55" i="1" s="1"/>
  <c r="AK53" i="1"/>
  <c r="AL53" i="1" s="1"/>
  <c r="AK36" i="1"/>
  <c r="AL36" i="1" s="1"/>
  <c r="AK19" i="1"/>
  <c r="AL19" i="1" s="1"/>
  <c r="AK37" i="1"/>
  <c r="AL37" i="1" s="1"/>
  <c r="AK35" i="1"/>
  <c r="AL35" i="1" s="1"/>
  <c r="AK18" i="1"/>
  <c r="AL18" i="1" s="1"/>
  <c r="AK17" i="1"/>
  <c r="AL17" i="1" s="1"/>
  <c r="AF14" i="1"/>
  <c r="AF51" i="1"/>
  <c r="AF52" i="1"/>
  <c r="AF50" i="1"/>
  <c r="AF33" i="1"/>
  <c r="AF34" i="1"/>
  <c r="AF32" i="1"/>
  <c r="AF15" i="1"/>
  <c r="AF16" i="1"/>
  <c r="O39" i="1"/>
  <c r="O46" i="1"/>
  <c r="AG31" i="1" l="1"/>
  <c r="AG39" i="1"/>
  <c r="AG29" i="1"/>
  <c r="AG32" i="1"/>
  <c r="AG40" i="1"/>
  <c r="AG33" i="1"/>
  <c r="AG41" i="1"/>
  <c r="AG34" i="1"/>
  <c r="AG42" i="1"/>
  <c r="AG46" i="1"/>
  <c r="AG35" i="1"/>
  <c r="AG43" i="1"/>
  <c r="AG36" i="1"/>
  <c r="AG44" i="1"/>
  <c r="AG30" i="1"/>
  <c r="AG37" i="1"/>
  <c r="AG45" i="1"/>
  <c r="AG38" i="1"/>
  <c r="AF29" i="1"/>
  <c r="AF12" i="1"/>
  <c r="AF13" i="1"/>
  <c r="AF48" i="1"/>
  <c r="AF11" i="1"/>
  <c r="AF49" i="1"/>
  <c r="AF47" i="1"/>
  <c r="AF30" i="1"/>
  <c r="AF31" i="1"/>
  <c r="O41" i="1"/>
  <c r="AF53" i="1" l="1"/>
  <c r="AF36" i="1"/>
  <c r="AF37" i="1"/>
  <c r="AF35" i="1"/>
  <c r="AF18" i="1"/>
  <c r="AF19" i="1"/>
  <c r="AF17" i="1"/>
  <c r="AF54" i="1"/>
  <c r="AF55" i="1"/>
  <c r="G74" i="5"/>
  <c r="I74" i="5" s="1"/>
  <c r="G75" i="5"/>
  <c r="I75" i="5" s="1"/>
  <c r="AP74" i="5"/>
  <c r="G78" i="5"/>
  <c r="I78" i="5" s="1"/>
  <c r="G73" i="5"/>
  <c r="AL61" i="5" s="1"/>
  <c r="G72" i="5"/>
  <c r="AJ87" i="5" s="1"/>
  <c r="G70" i="5"/>
  <c r="I70" i="5" s="1"/>
  <c r="G79" i="5"/>
  <c r="AT87" i="5" s="1"/>
  <c r="AT74" i="5"/>
  <c r="J39" i="5"/>
  <c r="M39" i="5" s="1"/>
  <c r="J38" i="5"/>
  <c r="M38" i="5" s="1"/>
  <c r="I40" i="5"/>
  <c r="L40" i="5" s="1"/>
  <c r="I38" i="5"/>
  <c r="L38" i="5"/>
  <c r="I47" i="5"/>
  <c r="L47" i="5" s="1"/>
  <c r="I39" i="5"/>
  <c r="L39" i="5"/>
  <c r="J48" i="5"/>
  <c r="M48" i="5" s="1"/>
  <c r="J40" i="5"/>
  <c r="I48" i="5"/>
  <c r="L48" i="5" s="1"/>
  <c r="G39" i="5"/>
  <c r="G47" i="5"/>
  <c r="J47" i="5"/>
  <c r="M47" i="5" s="1"/>
  <c r="G65" i="5"/>
  <c r="AH48" i="5" s="1"/>
  <c r="G67" i="5"/>
  <c r="AL48" i="5" s="1"/>
  <c r="G38" i="5"/>
  <c r="G48" i="5"/>
  <c r="G69" i="5"/>
  <c r="AP35" i="5" s="1"/>
  <c r="G40" i="5"/>
  <c r="G68" i="5"/>
  <c r="AN35" i="5" s="1"/>
  <c r="G64" i="5"/>
  <c r="AF35" i="5" s="1"/>
  <c r="G66" i="5"/>
  <c r="I66" i="5" s="1"/>
  <c r="K40" i="5" l="1"/>
  <c r="N40" i="5" s="1"/>
  <c r="AJ35" i="5"/>
  <c r="AP48" i="5"/>
  <c r="I69" i="5"/>
  <c r="K38" i="5"/>
  <c r="N38" i="5" s="1"/>
  <c r="AZ19" i="5"/>
  <c r="AF87" i="5"/>
  <c r="AT48" i="5"/>
  <c r="AN22" i="5"/>
  <c r="AF61" i="5"/>
  <c r="I67" i="5"/>
  <c r="AL22" i="5"/>
  <c r="AH22" i="5"/>
  <c r="AF74" i="5"/>
  <c r="M40" i="5"/>
  <c r="AZ16" i="5" s="1"/>
  <c r="I65" i="5"/>
  <c r="AP61" i="5"/>
  <c r="I72" i="5"/>
  <c r="AL35" i="5"/>
  <c r="K39" i="5"/>
  <c r="N39" i="5" s="1"/>
  <c r="AJ22" i="5"/>
  <c r="AL74" i="5"/>
  <c r="AZ14" i="5"/>
  <c r="AF22" i="5"/>
  <c r="AJ48" i="5"/>
  <c r="AP22" i="5"/>
  <c r="AH35" i="5"/>
  <c r="AJ61" i="5"/>
  <c r="AT22" i="5"/>
  <c r="AN74" i="5"/>
  <c r="AN61" i="5"/>
  <c r="I64" i="5"/>
  <c r="AZ15" i="5"/>
  <c r="I68" i="5"/>
  <c r="I73" i="5"/>
  <c r="AN87" i="5"/>
  <c r="AT35" i="5"/>
  <c r="AN48" i="5"/>
  <c r="AT61" i="5"/>
  <c r="AJ74" i="5"/>
  <c r="AL87" i="5"/>
  <c r="K47" i="5"/>
  <c r="N47" i="5" s="1"/>
  <c r="AF48" i="5"/>
  <c r="I79" i="5"/>
  <c r="AP87" i="5"/>
  <c r="K48" i="5"/>
  <c r="N48" i="5" s="1"/>
  <c r="AZ18" i="5"/>
  <c r="I80" i="5" l="1"/>
  <c r="L65" i="5"/>
  <c r="M65" i="5" s="1"/>
</calcChain>
</file>

<file path=xl/sharedStrings.xml><?xml version="1.0" encoding="utf-8"?>
<sst xmlns="http://schemas.openxmlformats.org/spreadsheetml/2006/main" count="5410" uniqueCount="485">
  <si>
    <t>MW (g/mol)</t>
  </si>
  <si>
    <t>Aldehyde A</t>
  </si>
  <si>
    <t>Aldehyde B</t>
  </si>
  <si>
    <t>ACN</t>
  </si>
  <si>
    <t>Aldehyde C</t>
  </si>
  <si>
    <t>BrCF2CO2Et</t>
  </si>
  <si>
    <t>Cs2CO3</t>
  </si>
  <si>
    <t>Olefin B</t>
  </si>
  <si>
    <t>Cesium Carbonate</t>
  </si>
  <si>
    <t>-</t>
  </si>
  <si>
    <t>Furfural</t>
  </si>
  <si>
    <t>4-chlorostyrene</t>
  </si>
  <si>
    <t>Aldehyde D</t>
  </si>
  <si>
    <t>3,5-difluorobenzaldehyde</t>
  </si>
  <si>
    <t>CAS</t>
  </si>
  <si>
    <t>98-01-1</t>
  </si>
  <si>
    <t>32085-88-4</t>
  </si>
  <si>
    <t>1073-67-2</t>
  </si>
  <si>
    <t>534-17-8</t>
  </si>
  <si>
    <t>Catalyst</t>
  </si>
  <si>
    <t>Scale Factor</t>
  </si>
  <si>
    <t>Highest vol from rxn specs (ul)</t>
  </si>
  <si>
    <t>Solution Prep</t>
  </si>
  <si>
    <t>Reactant Measurements</t>
  </si>
  <si>
    <t>3-fluorobenzaldehyde</t>
  </si>
  <si>
    <t>4-methoxybenzaldehyde</t>
  </si>
  <si>
    <t>ul</t>
  </si>
  <si>
    <t>mg</t>
  </si>
  <si>
    <t>456-48-4</t>
  </si>
  <si>
    <t>123-11-5</t>
  </si>
  <si>
    <t>Ethylbromodifluoroacetate</t>
  </si>
  <si>
    <t>667-27-6</t>
  </si>
  <si>
    <t>Total Wells</t>
  </si>
  <si>
    <t>4-Chlorostyrene</t>
  </si>
  <si>
    <t>Olefin A</t>
  </si>
  <si>
    <t>Styrene</t>
  </si>
  <si>
    <t>Aldehyde E</t>
  </si>
  <si>
    <t>Aldehyde F</t>
  </si>
  <si>
    <t>1-napthaldehyde</t>
  </si>
  <si>
    <t>66-77-3</t>
  </si>
  <si>
    <t>591-31-1</t>
  </si>
  <si>
    <t>100-42-5</t>
  </si>
  <si>
    <t>48 well compounds</t>
  </si>
  <si>
    <t>12 well compounds</t>
  </si>
  <si>
    <t>9 well compounds</t>
  </si>
  <si>
    <t>Reaction max volume (ul)</t>
  </si>
  <si>
    <t>Aldehyde</t>
  </si>
  <si>
    <t>Olefin</t>
  </si>
  <si>
    <t>A</t>
  </si>
  <si>
    <t>B</t>
  </si>
  <si>
    <t>C</t>
  </si>
  <si>
    <t>D</t>
  </si>
  <si>
    <t>E</t>
  </si>
  <si>
    <t>F</t>
  </si>
  <si>
    <t>Actual Dispense Amounts of Reactant Solutions (Compound + ACN) [mg]</t>
  </si>
  <si>
    <t>Well</t>
  </si>
  <si>
    <t>Catalyst Solution</t>
  </si>
  <si>
    <t>Aldehyde Solution</t>
  </si>
  <si>
    <t>BrCF2CO2Et Solution</t>
  </si>
  <si>
    <t>A1</t>
  </si>
  <si>
    <t>A2</t>
  </si>
  <si>
    <t>A3</t>
  </si>
  <si>
    <t>B1</t>
  </si>
  <si>
    <t>B2</t>
  </si>
  <si>
    <t>B3</t>
  </si>
  <si>
    <t>C1</t>
  </si>
  <si>
    <t>C2</t>
  </si>
  <si>
    <t>C3</t>
  </si>
  <si>
    <t>D1</t>
  </si>
  <si>
    <t>D2</t>
  </si>
  <si>
    <t>D3</t>
  </si>
  <si>
    <t>Actual Amounts of Compound Dispensed [mg]</t>
  </si>
  <si>
    <t>4-Vinylpyridine</t>
  </si>
  <si>
    <t>3-methoxybenzaldehyde</t>
  </si>
  <si>
    <t>100-43-6</t>
  </si>
  <si>
    <t>Olefin C</t>
  </si>
  <si>
    <t>E1</t>
  </si>
  <si>
    <t>E2</t>
  </si>
  <si>
    <t>E3</t>
  </si>
  <si>
    <t>F1</t>
  </si>
  <si>
    <t>F2</t>
  </si>
  <si>
    <t>F3</t>
  </si>
  <si>
    <t>A4</t>
  </si>
  <si>
    <t>A5</t>
  </si>
  <si>
    <t>A6</t>
  </si>
  <si>
    <t>B4</t>
  </si>
  <si>
    <t>C4</t>
  </si>
  <si>
    <t>D4</t>
  </si>
  <si>
    <t>E4</t>
  </si>
  <si>
    <t>F4</t>
  </si>
  <si>
    <t>B5</t>
  </si>
  <si>
    <t>C5</t>
  </si>
  <si>
    <t>D5</t>
  </si>
  <si>
    <t>E5</t>
  </si>
  <si>
    <t>F5</t>
  </si>
  <si>
    <t>B6</t>
  </si>
  <si>
    <t>C6</t>
  </si>
  <si>
    <t>D6</t>
  </si>
  <si>
    <t>E6</t>
  </si>
  <si>
    <t>F6</t>
  </si>
  <si>
    <t>A7</t>
  </si>
  <si>
    <t>B7</t>
  </si>
  <si>
    <t>C7</t>
  </si>
  <si>
    <t>D7</t>
  </si>
  <si>
    <t>E7</t>
  </si>
  <si>
    <t>F7</t>
  </si>
  <si>
    <t>A8</t>
  </si>
  <si>
    <t>B8</t>
  </si>
  <si>
    <t>C8</t>
  </si>
  <si>
    <t>D8</t>
  </si>
  <si>
    <t>E8</t>
  </si>
  <si>
    <t>F8</t>
  </si>
  <si>
    <t>Olefin Solution</t>
  </si>
  <si>
    <t>Paradox Rack (All wells contain catalyst, BrCF2CO2Et, and CS2CO3)</t>
  </si>
  <si>
    <t>Compound Information</t>
  </si>
  <si>
    <t>Compound</t>
  </si>
  <si>
    <t>Total Amounts Needed (ul)</t>
  </si>
  <si>
    <t xml:space="preserve">Total Amounts Needed x Scale Factor (ul) </t>
  </si>
  <si>
    <t>Scale Factors</t>
  </si>
  <si>
    <t>Solid Compounds</t>
  </si>
  <si>
    <t>Liquid Compounds</t>
  </si>
  <si>
    <t>Total Compound Needed x Scale Factor (mg)</t>
  </si>
  <si>
    <t>Required</t>
  </si>
  <si>
    <t xml:space="preserve">Required </t>
  </si>
  <si>
    <t>Actual</t>
  </si>
  <si>
    <t>Total Required after Scaling</t>
  </si>
  <si>
    <t>ACN Dilution for Each Compound</t>
  </si>
  <si>
    <t>Dispense Amounts</t>
  </si>
  <si>
    <t>Amount Required befoe Dilution</t>
  </si>
  <si>
    <t>Amount Required after Dilution</t>
  </si>
  <si>
    <t>Solvent</t>
  </si>
  <si>
    <t>Acetonitrile (ACN)</t>
  </si>
  <si>
    <t>18 well compounds</t>
  </si>
  <si>
    <t>6 well compounds</t>
  </si>
  <si>
    <t xml:space="preserve"> </t>
  </si>
  <si>
    <t>Exp. ID</t>
  </si>
  <si>
    <t>Total ACN needed (ul)</t>
  </si>
  <si>
    <t>Before Solvent Washing</t>
  </si>
  <si>
    <t>After Solvent Washing</t>
  </si>
  <si>
    <t>Solvent Washing Information</t>
  </si>
  <si>
    <t>CAN Added per Wash (ul)</t>
  </si>
  <si>
    <t>Wash Times</t>
  </si>
  <si>
    <t>Total Reaction Volumes [uL]</t>
  </si>
  <si>
    <t>Experiment Information</t>
  </si>
  <si>
    <t>Solution Concentrations [mg compound/mg solution]</t>
  </si>
  <si>
    <t>CAS #</t>
  </si>
  <si>
    <t>Density (g/ml)</t>
  </si>
  <si>
    <t>[mmol]</t>
  </si>
  <si>
    <t>[mg]</t>
  </si>
  <si>
    <t>[uL]</t>
  </si>
  <si>
    <t>Amount Required from Reaction Specifications</t>
  </si>
  <si>
    <t>Factor</t>
  </si>
  <si>
    <t>Well Count</t>
  </si>
  <si>
    <t>Results</t>
  </si>
  <si>
    <t>75-05-8</t>
  </si>
  <si>
    <t>[ul]</t>
  </si>
  <si>
    <t>Analysis</t>
  </si>
  <si>
    <t>Difference [%]</t>
  </si>
  <si>
    <t>Planned [mg]</t>
  </si>
  <si>
    <t>Actual [mg]</t>
  </si>
  <si>
    <t>Acetonitrile</t>
  </si>
  <si>
    <t>GDU-V Dispense Accuracies</t>
  </si>
  <si>
    <t>GDU-Pfd Dispense Accuracy</t>
  </si>
  <si>
    <t>GDU-V</t>
  </si>
  <si>
    <t>Accuracy [%]</t>
  </si>
  <si>
    <t>Tip Size [mL]</t>
  </si>
  <si>
    <t>GDU-Pfd</t>
  </si>
  <si>
    <t>Average Dispense Accuracy (Target = 5%)</t>
  </si>
  <si>
    <t>Expected Products</t>
  </si>
  <si>
    <t>Aldehyde A: Furfural</t>
  </si>
  <si>
    <t>AB 323.1095</t>
  </si>
  <si>
    <t>CB 362.1130</t>
  </si>
  <si>
    <t>AA 357.7578</t>
  </si>
  <si>
    <t>CA 396.0940</t>
  </si>
  <si>
    <t>F1-F3</t>
  </si>
  <si>
    <t>F4-F6</t>
  </si>
  <si>
    <t>F7,F8,E1</t>
  </si>
  <si>
    <t>MW 368.1</t>
  </si>
  <si>
    <t>E2-E4</t>
  </si>
  <si>
    <t>E5-E7</t>
  </si>
  <si>
    <t>E8,D1,D2</t>
  </si>
  <si>
    <t>MW 382.41</t>
  </si>
  <si>
    <t>D3-D5</t>
  </si>
  <si>
    <t>MW 402.77</t>
  </si>
  <si>
    <t>MW 416.85</t>
  </si>
  <si>
    <t>D6-D8</t>
  </si>
  <si>
    <t>C1-C3</t>
  </si>
  <si>
    <t>C4-C6</t>
  </si>
  <si>
    <t>C7,C8,B1</t>
  </si>
  <si>
    <t>B2-B4</t>
  </si>
  <si>
    <t>B8,A1,A2</t>
  </si>
  <si>
    <t>A3-A5</t>
  </si>
  <si>
    <t>A6-A8</t>
  </si>
  <si>
    <t>B5-B6</t>
  </si>
  <si>
    <t>Aldehyde B: 3,5-Difluorobenzaldehyde</t>
  </si>
  <si>
    <t>Aldehyde C: 3-Fluorobenzaldehyde</t>
  </si>
  <si>
    <t>Aldehyde D: 4-Methoxybenzaldehyde</t>
  </si>
  <si>
    <t>Aldehyde E: 1-Naphthaldehyde</t>
  </si>
  <si>
    <t>Aldehyde F: 3-Methoxybenzaldehyde</t>
  </si>
  <si>
    <t>Vial</t>
  </si>
  <si>
    <t>Peak Area</t>
  </si>
  <si>
    <t>Volume injection (uL)</t>
  </si>
  <si>
    <t>Dilution factor</t>
  </si>
  <si>
    <t>Total volume (uL)</t>
  </si>
  <si>
    <t>Actual Target amount (mg)</t>
  </si>
  <si>
    <t>Obtained amount (mg)</t>
  </si>
  <si>
    <t>Yield %</t>
  </si>
  <si>
    <t>O3</t>
  </si>
  <si>
    <t>O2</t>
  </si>
  <si>
    <t>O1</t>
  </si>
  <si>
    <t>Yield Calculations</t>
  </si>
  <si>
    <t>Reaction volume (ul)</t>
  </si>
  <si>
    <t>ALL AMOUNTS IN mg</t>
  </si>
  <si>
    <t>mmol required</t>
  </si>
  <si>
    <t>mg required</t>
  </si>
  <si>
    <t>density (g/ml)</t>
  </si>
  <si>
    <t>ul required</t>
  </si>
  <si>
    <t>Scaled to vial (mg)</t>
  </si>
  <si>
    <t>Scaled to vial  (ul)</t>
  </si>
  <si>
    <t>Total needed for reaction (24 vials)</t>
  </si>
  <si>
    <t>Target</t>
  </si>
  <si>
    <t>Wash Number</t>
  </si>
  <si>
    <t>ACN added (ml)</t>
  </si>
  <si>
    <t>D1_MTPVial</t>
  </si>
  <si>
    <t>Catalyst (ACN)</t>
  </si>
  <si>
    <t>C1_MTPVial</t>
  </si>
  <si>
    <t>C2_MTPVial</t>
  </si>
  <si>
    <t>1-naphthaldehyde</t>
  </si>
  <si>
    <t>C3_MTPVial</t>
  </si>
  <si>
    <t>Total ACN</t>
  </si>
  <si>
    <t>C4_MTPVial</t>
  </si>
  <si>
    <t xml:space="preserve">Total rxn solution after washing </t>
  </si>
  <si>
    <t>B1_MTPVial</t>
  </si>
  <si>
    <t>*****But tthis is not entirely accurate. See note below</t>
  </si>
  <si>
    <t>B2_MTPVial</t>
  </si>
  <si>
    <t>The total liquid after the heating and stirring step in each vial should be roughly the same. However, it varied from about 0.5ml to 1.2ml (from what I could see). Most of the liquid is from the ACN dispened by the 4NH. This should be very accurate and not that variable. Some of the ACN could be evaporating, but why in only certain reaction vials? Does this correspond to which reacitons were successful (I bet not but good to double checik)? Maybe the 4NH was not aligned for certain vials, but i think we already checked the alignment of all paradox vials with the 4NH earlier. Double check that it's not out of alignment again. Could the turning of the 4NH cause it to unalign?</t>
  </si>
  <si>
    <t>Valve port C</t>
  </si>
  <si>
    <t>N/A</t>
  </si>
  <si>
    <t>BrCF2CO3</t>
  </si>
  <si>
    <t>Bromodifluoromethzl carbonate</t>
  </si>
  <si>
    <t>D6_MTPVial</t>
  </si>
  <si>
    <t>GDUPfd Cont. 1</t>
  </si>
  <si>
    <t>*Values in green used for dispense</t>
  </si>
  <si>
    <t>1mg in 20 ul</t>
  </si>
  <si>
    <t>*solvent used is ACN</t>
  </si>
  <si>
    <t>24 mg in 480 ul</t>
  </si>
  <si>
    <t>30 mg in 600 ul</t>
  </si>
  <si>
    <t>measured</t>
  </si>
  <si>
    <t>30.5mg in 610 ul</t>
  </si>
  <si>
    <t>0.05 mmol required</t>
  </si>
  <si>
    <t>7.105 mg required</t>
  </si>
  <si>
    <t>7.1 mg in 6 ul</t>
  </si>
  <si>
    <t xml:space="preserve">142 mg in 120 ul </t>
  </si>
  <si>
    <t>Total rxn solution in HPLC Vials</t>
  </si>
  <si>
    <t>182.6 mg 154.3 ul</t>
  </si>
  <si>
    <t>Perc. of final solution in HPLC</t>
  </si>
  <si>
    <t>from reactant prep (ml)</t>
  </si>
  <si>
    <t xml:space="preserve">from ACN dispense </t>
  </si>
  <si>
    <t xml:space="preserve">amount of degassed and dry ACN required: </t>
  </si>
  <si>
    <t>We should expect the total amount of product found in the HPLC vials to be only 30% of the total product produced by the reaction, since the rest remains in the SPE filtration vials</t>
  </si>
  <si>
    <t>Things that went wrong during the reaction</t>
  </si>
  <si>
    <t>Stopped catalyst dispense because it overshot how much it should dispense and I need to make more. It ran out in row 3 or 4</t>
  </si>
  <si>
    <t>new solution is 52.2 mg of catalyst in 1,044 ul</t>
  </si>
  <si>
    <t>resarted to dispense from column 5</t>
  </si>
  <si>
    <t>For next time, make the 4NH go down farther when dispensing</t>
  </si>
  <si>
    <t>Changed to 20mm bottom up instead of 25mm</t>
  </si>
  <si>
    <t>Need to restart and reload app tomorrow morning</t>
  </si>
  <si>
    <t>App stopped counting wait time during the heating/shaking</t>
  </si>
  <si>
    <t xml:space="preserve">There was a notifaction that the computer was 'low on disc space' - that could have had something to do with it </t>
  </si>
  <si>
    <t xml:space="preserve">Does continuously exporting the log file cause the computer (and app) to crash? Something to look at for later </t>
  </si>
  <si>
    <t>For next time, change to code to have it waiting to cool on the heating rack</t>
  </si>
  <si>
    <t>N/A = dispened with 4NH so no mass feedback available. Assume perfect dispense</t>
  </si>
  <si>
    <t>It will take longer, but opening it up right after the reaction might cause some of the ACN to evaporate</t>
  </si>
  <si>
    <t xml:space="preserve">Furthermore, you can't transport the plate with the cover on </t>
  </si>
  <si>
    <t xml:space="preserve">Silly mistake on my part. The gripper mtp task was not configured correctly, so an error occurred during the washing step </t>
  </si>
  <si>
    <t xml:space="preserve">No effect on the actual reaction, but I did have to restart the app </t>
  </si>
  <si>
    <t>Talk to Van thahn about what the rpm on the washing step should be</t>
  </si>
  <si>
    <t>I put it at 100 rpm because the paradox plate is uncovered and I didn't want it toi spill</t>
  </si>
  <si>
    <t>The 4NH got less precise during each washing step</t>
  </si>
  <si>
    <t>I think this has to do with all the rotation it does during the washing/spe filtration</t>
  </si>
  <si>
    <t xml:space="preserve">Talk with stefano about ways to fix this </t>
  </si>
  <si>
    <t>It was hitting the side of the vial on the second paradox -&gt; collect step</t>
  </si>
  <si>
    <t>Nothing messed up, but just for later, change the way the SPE collect and direct zones are created</t>
  </si>
  <si>
    <t>Make al the direct/collect wells just one zone. This will let the machine skip the 'check SPE' step</t>
  </si>
  <si>
    <t>During the solvent washing steps, have the 4NH aspirate and dispense to the SPE more than you put in during each washing</t>
  </si>
  <si>
    <t>Example: if washing with .90ml of ACN per wash, aspirate 1ml from the paradox to the SPE collect each time</t>
  </si>
  <si>
    <t>This will help correct for any innacuracies during the dispense and ensure that all liquid is transferred from the paradox to filtration</t>
  </si>
  <si>
    <t>A1-A3</t>
  </si>
  <si>
    <t>B1-B3</t>
  </si>
  <si>
    <t>D1-D3</t>
  </si>
  <si>
    <t>We dispensed ACN directly from valve port C, if there are no successful reactions, it's most likely because this ACN was not fully gassed and fully</t>
  </si>
  <si>
    <t>ethyl 2,2-difluoro-5-(naphthalen-1-yl)-5-oxo-4-phenylpentanoate</t>
  </si>
  <si>
    <t>ethyl 4-(4-chlorophenyl)-2,2-difluoro-5-(naphthalen-1-yl)-5-oxopentanoate</t>
  </si>
  <si>
    <t>ethyl 5-(3,5-difluorophenyl)-2,2-difluoro-5-oxo-4-phenylpentanoate</t>
  </si>
  <si>
    <t>ethyl 4-(4-chlorophenyl)-5-(3,5-difluorophenyl)-2,2-difluoro-5-oxopentanoate</t>
  </si>
  <si>
    <t>Olefin target values inputed wrong in the CSV files</t>
  </si>
  <si>
    <t>Chemical Formula: C23H20F2O3</t>
  </si>
  <si>
    <t>Chemical Formula: C23H19ClF2O3</t>
  </si>
  <si>
    <t>Chemical Formula: C19H16F4O3</t>
  </si>
  <si>
    <t>Chemical Formula: C19H15ClF4O3</t>
  </si>
  <si>
    <t>Exact Mass: 382.14</t>
  </si>
  <si>
    <t>Exact Mass: 416.10</t>
  </si>
  <si>
    <t>Exact Mass: 368.10</t>
  </si>
  <si>
    <t>Exact Mass: 402.06</t>
  </si>
  <si>
    <t>Molecular Weight: 382.41</t>
  </si>
  <si>
    <t>Molecular Weight: 416.85</t>
  </si>
  <si>
    <t>Molecular Weight: 368.33</t>
  </si>
  <si>
    <t>Molecular Weight: 402.77</t>
  </si>
  <si>
    <t>m/z: 382.14 (100.0%), 383.14 (25.2%), 384.14 (3.6%)</t>
  </si>
  <si>
    <t>m/z: 416.10 (100.0%), 418.10 (32.6%), 417.10 (25.0%), 419.10 (8.1%), 418.11 (3.0%), 420.10 (1.2%)</t>
  </si>
  <si>
    <t>m/z: 368.10 (100.0%), 369.11 (20.8%), 370.11 (2.7%)</t>
  </si>
  <si>
    <t>m/z: 402.06 (100.0%), 404.06 (32.0%), 403.07 (20.8%), 405.06 (6.6%), 404.07 (2.7%)</t>
  </si>
  <si>
    <t>Elemental Analysis: C, 72.24; H, 5.27; F, 9.94; O, 12.55</t>
  </si>
  <si>
    <t>Elemental Analysis: C, 66.27; H, 4.59; Cl, 8.50; F, 9.12; O, 11.51</t>
  </si>
  <si>
    <t>Elemental Analysis: C, 61.96; H, 4.38; F, 20.63; O, 13.03</t>
  </si>
  <si>
    <t>Elemental Analysis: C, 56.66; H, 3.75; Cl, 8.80; F, 18.87; O, 11.92</t>
  </si>
  <si>
    <t>What to fix with Unit OP CSV File</t>
  </si>
  <si>
    <t xml:space="preserve">Add workflow step and absolute time for each step </t>
  </si>
  <si>
    <t>Add instrument type export to each function</t>
  </si>
  <si>
    <t>GDU-V (Volume): Delete first column, move third column to first one. Change target amount to divide by density to get target amount in mg instead of ul. Add liquid name in final column</t>
  </si>
  <si>
    <t>4NH: Find a way to break up zones with multiple wells so that you can export each well as one line. Fix transfer times. Add liquid name.</t>
  </si>
  <si>
    <t>GDU-V (Mass): Delete first column, move third column to first one. Add liquid name</t>
  </si>
  <si>
    <t>GDUPfd: Delete first column, move third column to first one. Add solid name</t>
  </si>
  <si>
    <t>Temp/Stirring/Pressure: Include date and time in file name so it doesn't over write any previous experiments</t>
  </si>
  <si>
    <t>Average Dispense Accuracy</t>
  </si>
  <si>
    <t>Trial 3</t>
  </si>
  <si>
    <t>Trial 4</t>
  </si>
  <si>
    <t>Trial 5</t>
  </si>
  <si>
    <t>Trial 6</t>
  </si>
  <si>
    <t>Trial 7</t>
  </si>
  <si>
    <t>Solution Concentrations</t>
  </si>
  <si>
    <t>Reactant</t>
  </si>
  <si>
    <t>mg of reactant / 1ul Solution</t>
  </si>
  <si>
    <t>Olefin A: Styrene</t>
  </si>
  <si>
    <t>Aldehyde B: 3-methoxybenzaldehyde</t>
  </si>
  <si>
    <t>Aldehyde C: 1-naphthaldehyde</t>
  </si>
  <si>
    <t>Aldehyde D; 3,5-difluorobenzaldehyde</t>
  </si>
  <si>
    <t>Aldehyde E; 3-fluorobenzaldehyde</t>
  </si>
  <si>
    <t>Aldehyde F: 4-methoxybenzaldehyde</t>
  </si>
  <si>
    <t>Cat. Sol.</t>
  </si>
  <si>
    <t>4-methoxystyrene</t>
  </si>
  <si>
    <t>637-69-4</t>
  </si>
  <si>
    <t>Bromodifluoromethyl carbonate</t>
  </si>
  <si>
    <t>amount requried before dilution</t>
  </si>
  <si>
    <t>A6-C6</t>
  </si>
  <si>
    <t>A1-C1</t>
  </si>
  <si>
    <t>A2-C2</t>
  </si>
  <si>
    <t>A3-C3</t>
  </si>
  <si>
    <t>A5-C5</t>
  </si>
  <si>
    <t>A4-F4</t>
  </si>
  <si>
    <t>Amount of solid catalyst needed after scaling</t>
  </si>
  <si>
    <t>Amount of ACN to dispense with catalyst</t>
  </si>
  <si>
    <t>Catalyst solution concentration</t>
  </si>
  <si>
    <t>Total Cat needed for 48 wells</t>
  </si>
  <si>
    <t>Total ACN needed for Cat Solution</t>
  </si>
  <si>
    <t>mg cat/ul ACN</t>
  </si>
  <si>
    <t>ml</t>
  </si>
  <si>
    <t>Amount of Aldehydes needed after scaling</t>
  </si>
  <si>
    <t>Solution Prep x2</t>
  </si>
  <si>
    <t>mg required after scale</t>
  </si>
  <si>
    <t>ul required after scale</t>
  </si>
  <si>
    <t xml:space="preserve">ul ACN added per vial </t>
  </si>
  <si>
    <t>Total Dispense Volume</t>
  </si>
  <si>
    <t xml:space="preserve">Total wells </t>
  </si>
  <si>
    <t>total ul aldehyde needed</t>
  </si>
  <si>
    <t>Total ACN needed</t>
  </si>
  <si>
    <t>Total Sol. Vial. ul</t>
  </si>
  <si>
    <t>total ul Aldehyde needed</t>
  </si>
  <si>
    <t>Olefin B: 4-chlorostyrene</t>
  </si>
  <si>
    <t>Aldehyde dilution factor:</t>
  </si>
  <si>
    <t>Amount of Olefins needed after scaling</t>
  </si>
  <si>
    <t>Solution Prep x1.5</t>
  </si>
  <si>
    <t>total ul olefin needed</t>
  </si>
  <si>
    <t>*The order of aldehydes disepnsed is not correct due to an error with the zones in AutoSuite. This caused both Aldehyde A/B and Aldehyde F to be dispensed in Row 7.</t>
  </si>
  <si>
    <t>Olefin dilution factor:</t>
  </si>
  <si>
    <t>Amount of BrCF2CO3 needed after scaling</t>
  </si>
  <si>
    <t>Solution Prep x 1.5/2</t>
  </si>
  <si>
    <t>total ul BrCF2CO3 needed</t>
  </si>
  <si>
    <t>D6-F6</t>
  </si>
  <si>
    <t>D4-F4</t>
  </si>
  <si>
    <t>*split this into two separate vials and two destination zones</t>
  </si>
  <si>
    <t>D1-F1</t>
  </si>
  <si>
    <t>D2-F2</t>
  </si>
  <si>
    <t>D3-F3</t>
  </si>
  <si>
    <t>D5-F5</t>
  </si>
  <si>
    <t>C20H19ClF2O4</t>
  </si>
  <si>
    <t>BfCF2CO3 dilutin factor:</t>
  </si>
  <si>
    <t>Amount of ACN needed after scaling</t>
  </si>
  <si>
    <t>mg required after scaling</t>
  </si>
  <si>
    <t>ul required after scaling</t>
  </si>
  <si>
    <t>ul used for dilution</t>
  </si>
  <si>
    <t>Amount of wells</t>
  </si>
  <si>
    <t>Total ACN required (ul)</t>
  </si>
  <si>
    <t xml:space="preserve">Total ACN required for whole plate </t>
  </si>
  <si>
    <t>ACN (A1-C1)</t>
  </si>
  <si>
    <t>ACN (A2-C2)</t>
  </si>
  <si>
    <t>ACN (A3-C3)</t>
  </si>
  <si>
    <t>*split this into three separate zones and three destination zones</t>
  </si>
  <si>
    <t>ACN (A4-C4)</t>
  </si>
  <si>
    <t>Olefin C: 4-methoxystyrene</t>
  </si>
  <si>
    <t>ACN (A5-C5)</t>
  </si>
  <si>
    <t>ACN (A6-C6)</t>
  </si>
  <si>
    <t>ACN (D1-F1)</t>
  </si>
  <si>
    <t>ACN (D2-F2)</t>
  </si>
  <si>
    <t>ACN (D3-F3)</t>
  </si>
  <si>
    <t>ACN (D4-F4)</t>
  </si>
  <si>
    <t>ACN (D5-F5)</t>
  </si>
  <si>
    <t>ACN (D6-F6)</t>
  </si>
  <si>
    <t>ACN (A7-C7)</t>
  </si>
  <si>
    <t>ACN (D7-F7)</t>
  </si>
  <si>
    <t>ACN (A8-C8)</t>
  </si>
  <si>
    <t>ACN (D8-F8)</t>
  </si>
  <si>
    <t>Things to do after you have the data</t>
  </si>
  <si>
    <t>Apply concetrations to real mass dispensed in order to find actual mass dispensed</t>
  </si>
  <si>
    <t xml:space="preserve">Note on target amounts: The dilutions of each reactant used volume as base (i.e. 100 ul of reactant was diluted with 500 ul of solvent). This is because dilution has to occur within the Swing XL platform, and there is no accurate way to create a solution based on mass. Thus, the target amount (in mg) was found by using perfect mixture assumptions. Example: mass to dispense = (volume_solvent added for dilution X density_solvent) + (volume_reactant for each vial x density reactant). The platform will dispense based on total volume required, but since the feedback is only gives mass, the target masses are shown above. These may not be entirely accurate due to real physical mixture laws. </t>
  </si>
  <si>
    <t>DISPENSE AMOUNTS</t>
  </si>
  <si>
    <t>Reactant Solution Concentrations (mg/ul)</t>
  </si>
  <si>
    <t xml:space="preserve">Column: </t>
  </si>
  <si>
    <t>Solution (mg)</t>
  </si>
  <si>
    <t>Row</t>
  </si>
  <si>
    <t>Solution</t>
  </si>
  <si>
    <t>Actual mmol</t>
  </si>
  <si>
    <t xml:space="preserve"> Reactant Solution Concentrations (mg/mg)</t>
  </si>
  <si>
    <t>mg of reactant / 1mg Solution</t>
  </si>
  <si>
    <t>A4-C4</t>
  </si>
  <si>
    <t>Solution Prep x1.1</t>
  </si>
  <si>
    <t>Total mg  Cat needed for 48 wells</t>
  </si>
  <si>
    <t>Total ul ACN needed for Cat Solution</t>
  </si>
  <si>
    <t>Total mg catalyst</t>
  </si>
  <si>
    <t>Total ul ACN</t>
  </si>
  <si>
    <t>Actual mg catalyst</t>
  </si>
  <si>
    <t>Total ul ACN needed</t>
  </si>
  <si>
    <t>Solution Prep x1.25</t>
  </si>
  <si>
    <t>Total solvent added during washing (ml)</t>
  </si>
  <si>
    <t>Solution Prep x1</t>
  </si>
  <si>
    <t>ul required after sc</t>
  </si>
  <si>
    <t>ul liquid from reactants</t>
  </si>
  <si>
    <t>ul ACN required</t>
  </si>
  <si>
    <t>vial total volume ul</t>
  </si>
  <si>
    <t>Filtration and aspiration</t>
  </si>
  <si>
    <t>Total volume (mL)</t>
  </si>
  <si>
    <t>Target amount (mg)</t>
  </si>
  <si>
    <t>Actual amount (mg)</t>
  </si>
  <si>
    <t>Medium triplicate yield %</t>
  </si>
  <si>
    <t>&lt; LOD</t>
  </si>
  <si>
    <t>A7-C7</t>
  </si>
  <si>
    <t>D7-F7</t>
  </si>
  <si>
    <t>A8-C8</t>
  </si>
  <si>
    <t>D8-F8</t>
  </si>
  <si>
    <t>&lt; LOQ</t>
  </si>
  <si>
    <t>These values are for the solution dispense amounts (ex: furfural + ACN)</t>
  </si>
  <si>
    <t>These values are for the compound dispense amounts (ex: furfural) in mol. = solution actual dispense amount x solution concentration / compound MW</t>
  </si>
  <si>
    <t>Solutino Prep x1.5</t>
  </si>
  <si>
    <t>Solution Prep (solid + liquid)</t>
  </si>
  <si>
    <t>TOTAL REQUIRED AFTER SCALING</t>
  </si>
  <si>
    <t>ACN DILUTION FOR EACH COMPOUND</t>
  </si>
  <si>
    <t>Total Compound Needed</t>
  </si>
  <si>
    <t>Total ACN Needed</t>
  </si>
  <si>
    <t>Total Compound Needed (x1.5)</t>
  </si>
  <si>
    <t>Total ACN Needed (x1.5)</t>
  </si>
  <si>
    <t xml:space="preserve">mg actual </t>
  </si>
  <si>
    <t xml:space="preserve">ul actual </t>
  </si>
  <si>
    <t>Sol. Concentrations (mg compound /mg solution)</t>
  </si>
  <si>
    <t>ACN Added for each experiment</t>
  </si>
  <si>
    <t>Experiment 1 (Ald A)</t>
  </si>
  <si>
    <t>Experiment 2 (Ald B)</t>
  </si>
  <si>
    <t>Experiment 3 (Ald C)</t>
  </si>
  <si>
    <t>Experiment 4 (Ald D)</t>
  </si>
  <si>
    <t>EXPECTED PRODUCTS</t>
  </si>
  <si>
    <t>C19H15ClF4O3</t>
  </si>
  <si>
    <t>Average Dispese Accuracy [%]</t>
  </si>
  <si>
    <t>Target amount [mg]</t>
  </si>
  <si>
    <t>Obtained Amount [mg]</t>
  </si>
  <si>
    <t>Total volume [uL]</t>
  </si>
  <si>
    <t>Avg. Triplicate Yield [%]</t>
  </si>
  <si>
    <t>Actual amount [mg]</t>
  </si>
  <si>
    <t>Total Volume [mL]</t>
  </si>
  <si>
    <t>Target Amount [mg]</t>
  </si>
  <si>
    <t>Yield [%]</t>
  </si>
  <si>
    <t>Total Volume [uL]</t>
  </si>
  <si>
    <t>4-cholorstyrene</t>
  </si>
  <si>
    <t>4-vinylpyridine</t>
  </si>
  <si>
    <t>Avg. Triplicate</t>
  </si>
  <si>
    <t>Aldeyhde</t>
  </si>
  <si>
    <t xml:space="preserve">Avg. Triplicate Yield per Trial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</si>
</sst>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6" x14ac:knownFonts="1">
    <font>
      <sz val="11"/>
      <color theme="1"/>
      <name val="Calibri"/>
      <family val="2"/>
      <scheme val="minor"/>
    </font>
    <font>
      <b/>
      <sz val="11"/>
      <color theme="1"/>
      <name val="Calibri"/>
      <family val="2"/>
      <scheme val="minor"/>
    </font>
    <font>
      <strike/>
      <sz val="11"/>
      <color theme="1"/>
      <name val="Calibri"/>
      <family val="2"/>
      <scheme val="minor"/>
    </font>
    <font>
      <u/>
      <sz val="11"/>
      <color theme="1"/>
      <name val="Calibri"/>
      <family val="2"/>
      <scheme val="minor"/>
    </font>
    <font>
      <sz val="8"/>
      <name val="Calibri"/>
      <family val="2"/>
      <scheme val="minor"/>
    </font>
    <font>
      <b/>
      <sz val="30"/>
      <color theme="1"/>
      <name val="Calibri"/>
      <family val="2"/>
      <scheme val="minor"/>
    </font>
    <font>
      <sz val="11"/>
      <color rgb="FFFF0000"/>
      <name val="Calibri"/>
      <family val="2"/>
      <scheme val="minor"/>
    </font>
    <font>
      <b/>
      <u/>
      <sz val="14"/>
      <color theme="1"/>
      <name val="Calibri"/>
      <family val="2"/>
      <scheme val="minor"/>
    </font>
    <font>
      <b/>
      <sz val="16"/>
      <color theme="1"/>
      <name val="Calibri"/>
      <family val="2"/>
      <scheme val="minor"/>
    </font>
    <font>
      <b/>
      <sz val="20"/>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trike/>
      <sz val="11"/>
      <color theme="1"/>
      <name val="Calibri"/>
      <family val="2"/>
      <scheme val="minor"/>
    </font>
    <font>
      <b/>
      <sz val="13"/>
      <color theme="1"/>
      <name val="Calibri"/>
      <family val="2"/>
      <scheme val="minor"/>
    </font>
    <font>
      <sz val="11"/>
      <color rgb="FF9C0006"/>
      <name val="Calibri"/>
      <family val="2"/>
      <scheme val="minor"/>
    </font>
  </fonts>
  <fills count="3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3" tint="0.89999084444715716"/>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rgb="FFC6EFCE"/>
      </patternFill>
    </fill>
    <fill>
      <patternFill patternType="solid">
        <fgColor rgb="FFFFEB9C"/>
      </patternFill>
    </fill>
    <fill>
      <patternFill patternType="solid">
        <fgColor theme="2" tint="-0.249977111117893"/>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C7CE"/>
      </patternFill>
    </fill>
  </fills>
  <borders count="83">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tted">
        <color indexed="64"/>
      </top>
      <bottom/>
      <diagonal/>
    </border>
    <border>
      <left/>
      <right style="thin">
        <color indexed="64"/>
      </right>
      <top style="dotted">
        <color indexed="64"/>
      </top>
      <bottom/>
      <diagonal/>
    </border>
    <border>
      <left/>
      <right/>
      <top style="dotted">
        <color indexed="64"/>
      </top>
      <bottom/>
      <diagonal/>
    </border>
    <border>
      <left style="medium">
        <color indexed="64"/>
      </left>
      <right style="medium">
        <color indexed="64"/>
      </right>
      <top style="thin">
        <color indexed="64"/>
      </top>
      <bottom/>
      <diagonal/>
    </border>
    <border>
      <left style="thin">
        <color indexed="64"/>
      </left>
      <right/>
      <top/>
      <bottom style="dotted">
        <color indexed="64"/>
      </bottom>
      <diagonal/>
    </border>
    <border>
      <left/>
      <right style="thin">
        <color indexed="64"/>
      </right>
      <top/>
      <bottom style="dotted">
        <color indexed="64"/>
      </bottom>
      <diagonal/>
    </border>
    <border>
      <left/>
      <right/>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style="medium">
        <color indexed="64"/>
      </left>
      <right style="thin">
        <color indexed="64"/>
      </right>
      <top/>
      <bottom style="thin">
        <color indexed="64"/>
      </bottom>
      <diagonal/>
    </border>
    <border>
      <left/>
      <right style="medium">
        <color indexed="64"/>
      </right>
      <top style="dotted">
        <color indexed="64"/>
      </top>
      <bottom/>
      <diagonal/>
    </border>
    <border>
      <left style="medium">
        <color indexed="64"/>
      </left>
      <right style="thin">
        <color indexed="64"/>
      </right>
      <top style="thin">
        <color indexed="64"/>
      </top>
      <bottom style="medium">
        <color indexed="64"/>
      </bottom>
      <diagonal/>
    </border>
  </borders>
  <cellStyleXfs count="5">
    <xf numFmtId="0" fontId="0" fillId="0" borderId="0"/>
    <xf numFmtId="9" fontId="10" fillId="0" borderId="0" applyFont="0" applyFill="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5" fillId="32" borderId="0" applyNumberFormat="0" applyBorder="0" applyAlignment="0" applyProtection="0"/>
  </cellStyleXfs>
  <cellXfs count="931">
    <xf numFmtId="0" fontId="0" fillId="0" borderId="0" xfId="0"/>
    <xf numFmtId="0" fontId="2" fillId="0" borderId="0" xfId="0" applyFont="1"/>
    <xf numFmtId="164" fontId="0" fillId="0" borderId="0" xfId="0" applyNumberFormat="1"/>
    <xf numFmtId="0" fontId="1" fillId="0" borderId="0" xfId="0" applyFont="1"/>
    <xf numFmtId="0" fontId="0" fillId="0" borderId="0" xfId="0" applyFill="1"/>
    <xf numFmtId="0" fontId="0" fillId="0" borderId="0" xfId="0" applyFill="1" applyBorder="1"/>
    <xf numFmtId="0" fontId="0" fillId="0" borderId="0" xfId="0" applyFill="1" applyBorder="1" applyAlignment="1">
      <alignment vertical="center"/>
    </xf>
    <xf numFmtId="164" fontId="0" fillId="0" borderId="0" xfId="0" applyNumberFormat="1" applyFill="1" applyBorder="1"/>
    <xf numFmtId="0" fontId="0" fillId="0" borderId="0" xfId="0" applyFont="1"/>
    <xf numFmtId="0" fontId="0" fillId="0" borderId="0" xfId="0" applyBorder="1"/>
    <xf numFmtId="0" fontId="0" fillId="0" borderId="0" xfId="0" applyAlignment="1">
      <alignment vertical="top" wrapText="1"/>
    </xf>
    <xf numFmtId="0" fontId="0" fillId="0" borderId="0" xfId="0" applyAlignment="1"/>
    <xf numFmtId="1" fontId="0" fillId="0" borderId="0" xfId="0" applyNumberFormat="1" applyFill="1" applyBorder="1"/>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0" fillId="0" borderId="0" xfId="0"/>
    <xf numFmtId="1" fontId="0" fillId="0" borderId="0" xfId="0" applyNumberFormat="1" applyFill="1"/>
    <xf numFmtId="0" fontId="0" fillId="0" borderId="0" xfId="0" applyFont="1" applyFill="1" applyBorder="1" applyAlignment="1"/>
    <xf numFmtId="164" fontId="0" fillId="0" borderId="0" xfId="0" applyNumberFormat="1" applyBorder="1"/>
    <xf numFmtId="0" fontId="0" fillId="0" borderId="0" xfId="0" applyFill="1" applyBorder="1" applyAlignment="1">
      <alignment horizontal="center"/>
    </xf>
    <xf numFmtId="0" fontId="0" fillId="0" borderId="0" xfId="0" applyFill="1" applyBorder="1" applyAlignment="1"/>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Font="1" applyFill="1" applyBorder="1" applyAlignment="1">
      <alignment horizontal="center"/>
    </xf>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vertical="top" wrapText="1"/>
    </xf>
    <xf numFmtId="0" fontId="5" fillId="0" borderId="0" xfId="0" applyFont="1" applyFill="1" applyBorder="1" applyAlignment="1">
      <alignment vertical="center"/>
    </xf>
    <xf numFmtId="0" fontId="1" fillId="0" borderId="0" xfId="0" applyFont="1" applyFill="1" applyBorder="1" applyAlignment="1">
      <alignment horizontal="center"/>
    </xf>
    <xf numFmtId="0" fontId="0" fillId="0" borderId="0" xfId="0" applyAlignment="1">
      <alignment vertical="center"/>
    </xf>
    <xf numFmtId="164" fontId="0" fillId="0" borderId="0" xfId="0" applyNumberFormat="1" applyFill="1" applyBorder="1" applyAlignment="1">
      <alignment horizontal="center"/>
    </xf>
    <xf numFmtId="0" fontId="3" fillId="0" borderId="0" xfId="0" applyFont="1" applyFill="1" applyBorder="1"/>
    <xf numFmtId="0" fontId="1" fillId="0" borderId="0" xfId="0" applyFont="1" applyFill="1" applyBorder="1"/>
    <xf numFmtId="0" fontId="0" fillId="4" borderId="3" xfId="0" applyFill="1" applyBorder="1" applyAlignment="1">
      <alignment horizontal="center"/>
    </xf>
    <xf numFmtId="0" fontId="0" fillId="4" borderId="1"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5"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164" fontId="0" fillId="4" borderId="1" xfId="0" applyNumberFormat="1" applyFill="1" applyBorder="1" applyAlignment="1">
      <alignment horizontal="center"/>
    </xf>
    <xf numFmtId="164" fontId="0" fillId="4" borderId="2" xfId="0" applyNumberFormat="1" applyFill="1" applyBorder="1" applyAlignment="1">
      <alignment horizontal="center"/>
    </xf>
    <xf numFmtId="164" fontId="0" fillId="4" borderId="20" xfId="0" applyNumberFormat="1" applyFill="1" applyBorder="1" applyAlignment="1">
      <alignment horizontal="center"/>
    </xf>
    <xf numFmtId="0" fontId="0" fillId="0" borderId="0" xfId="0" applyBorder="1" applyAlignment="1">
      <alignment vertic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0" xfId="0" applyFill="1" applyBorder="1" applyAlignment="1">
      <alignment horizontal="center"/>
    </xf>
    <xf numFmtId="0" fontId="0" fillId="4" borderId="25"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13" xfId="0" applyFill="1" applyBorder="1" applyAlignment="1">
      <alignment horizontal="center"/>
    </xf>
    <xf numFmtId="0" fontId="0" fillId="3" borderId="0"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5" borderId="2" xfId="0" applyFill="1" applyBorder="1" applyAlignment="1">
      <alignment horizontal="center"/>
    </xf>
    <xf numFmtId="0" fontId="0" fillId="2" borderId="12" xfId="0" applyFill="1" applyBorder="1" applyAlignment="1">
      <alignment horizontal="center"/>
    </xf>
    <xf numFmtId="0" fontId="0" fillId="2" borderId="17" xfId="0" applyFill="1" applyBorder="1" applyAlignment="1">
      <alignment horizontal="center"/>
    </xf>
    <xf numFmtId="0" fontId="0" fillId="0" borderId="0" xfId="0" applyBorder="1" applyAlignment="1">
      <alignment horizontal="center" vertical="center"/>
    </xf>
    <xf numFmtId="0" fontId="0" fillId="4" borderId="30" xfId="0" applyFill="1" applyBorder="1" applyAlignment="1">
      <alignment horizontal="center"/>
    </xf>
    <xf numFmtId="0" fontId="0" fillId="4" borderId="31" xfId="0" applyFill="1" applyBorder="1" applyAlignment="1">
      <alignment horizontal="center"/>
    </xf>
    <xf numFmtId="164" fontId="0" fillId="4" borderId="0" xfId="0" applyNumberFormat="1" applyFill="1" applyBorder="1" applyAlignment="1">
      <alignment horizontal="center"/>
    </xf>
    <xf numFmtId="0" fontId="0" fillId="0" borderId="31" xfId="0" applyBorder="1" applyAlignment="1">
      <alignment horizontal="center" vertical="center"/>
    </xf>
    <xf numFmtId="164" fontId="0" fillId="0" borderId="0" xfId="0" applyNumberFormat="1" applyBorder="1" applyAlignment="1">
      <alignment horizontal="center"/>
    </xf>
    <xf numFmtId="164" fontId="0" fillId="3" borderId="5" xfId="0" applyNumberFormat="1" applyFill="1" applyBorder="1" applyAlignment="1">
      <alignment horizontal="center"/>
    </xf>
    <xf numFmtId="164" fontId="0" fillId="3" borderId="6" xfId="0" applyNumberFormat="1" applyFill="1" applyBorder="1" applyAlignment="1">
      <alignment horizontal="center"/>
    </xf>
    <xf numFmtId="164" fontId="0" fillId="4" borderId="3" xfId="0" applyNumberFormat="1" applyFill="1" applyBorder="1" applyAlignment="1">
      <alignment horizontal="center"/>
    </xf>
    <xf numFmtId="164" fontId="0" fillId="4" borderId="5" xfId="0" applyNumberFormat="1" applyFill="1" applyBorder="1" applyAlignment="1">
      <alignment horizontal="center"/>
    </xf>
    <xf numFmtId="164" fontId="0" fillId="4" borderId="7" xfId="0" applyNumberFormat="1" applyFill="1" applyBorder="1" applyAlignment="1">
      <alignment horizontal="center"/>
    </xf>
    <xf numFmtId="164" fontId="0" fillId="4" borderId="19" xfId="0" applyNumberFormat="1" applyFill="1" applyBorder="1" applyAlignment="1">
      <alignment horizontal="center"/>
    </xf>
    <xf numFmtId="0" fontId="7" fillId="0" borderId="0" xfId="0" applyFont="1"/>
    <xf numFmtId="0" fontId="7" fillId="0" borderId="0" xfId="0" applyFont="1" applyFill="1"/>
    <xf numFmtId="0" fontId="0" fillId="3" borderId="6" xfId="0" applyFill="1" applyBorder="1" applyAlignment="1">
      <alignment horizontal="center"/>
    </xf>
    <xf numFmtId="0" fontId="0" fillId="4" borderId="37" xfId="0" applyFill="1" applyBorder="1" applyAlignment="1">
      <alignment horizontal="center"/>
    </xf>
    <xf numFmtId="0" fontId="0" fillId="2" borderId="4" xfId="0" applyFill="1" applyBorder="1" applyAlignment="1">
      <alignment horizontal="center"/>
    </xf>
    <xf numFmtId="0" fontId="0" fillId="3" borderId="5" xfId="0" applyFill="1" applyBorder="1" applyAlignment="1">
      <alignment horizontal="center"/>
    </xf>
    <xf numFmtId="0" fontId="0" fillId="5"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5" xfId="0" applyFill="1" applyBorder="1" applyAlignment="1">
      <alignment horizontal="center"/>
    </xf>
    <xf numFmtId="0" fontId="0" fillId="2" borderId="3" xfId="0" applyFill="1" applyBorder="1" applyAlignment="1">
      <alignment horizontal="center"/>
    </xf>
    <xf numFmtId="0" fontId="0" fillId="2" borderId="1" xfId="0" applyFill="1" applyBorder="1" applyAlignment="1">
      <alignment horizontal="center"/>
    </xf>
    <xf numFmtId="0" fontId="0" fillId="2" borderId="7"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8" xfId="0" applyFill="1" applyBorder="1" applyAlignment="1">
      <alignment horizontal="center"/>
    </xf>
    <xf numFmtId="0" fontId="0" fillId="2" borderId="39" xfId="0" applyFill="1" applyBorder="1" applyAlignment="1">
      <alignment horizontal="center"/>
    </xf>
    <xf numFmtId="0" fontId="0" fillId="5" borderId="12" xfId="0" applyFill="1" applyBorder="1" applyAlignment="1">
      <alignment horizontal="center"/>
    </xf>
    <xf numFmtId="0" fontId="0" fillId="5" borderId="17"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3" borderId="40" xfId="0" applyFill="1" applyBorder="1" applyAlignment="1">
      <alignment horizontal="center"/>
    </xf>
    <xf numFmtId="0" fontId="0" fillId="3" borderId="21" xfId="0" applyFill="1" applyBorder="1" applyAlignment="1">
      <alignment horizontal="center"/>
    </xf>
    <xf numFmtId="0" fontId="0" fillId="0" borderId="22" xfId="0" applyFill="1" applyBorder="1" applyAlignment="1">
      <alignment horizontal="center"/>
    </xf>
    <xf numFmtId="0" fontId="0" fillId="0" borderId="4" xfId="0" applyBorder="1" applyAlignment="1">
      <alignment horizontal="center"/>
    </xf>
    <xf numFmtId="0" fontId="0" fillId="3" borderId="30" xfId="0" applyFill="1" applyBorder="1" applyAlignment="1">
      <alignment horizontal="center"/>
    </xf>
    <xf numFmtId="0" fontId="0" fillId="3" borderId="36" xfId="0" applyFill="1" applyBorder="1" applyAlignment="1">
      <alignment horizontal="center"/>
    </xf>
    <xf numFmtId="0" fontId="0" fillId="0" borderId="0" xfId="0" applyFont="1" applyFill="1" applyBorder="1" applyAlignment="1">
      <alignment vertical="center"/>
    </xf>
    <xf numFmtId="0" fontId="0" fillId="4" borderId="28" xfId="0" applyFill="1" applyBorder="1" applyAlignment="1">
      <alignment horizontal="center"/>
    </xf>
    <xf numFmtId="0" fontId="0" fillId="4" borderId="26" xfId="0" applyFill="1" applyBorder="1" applyAlignment="1">
      <alignment horizontal="center"/>
    </xf>
    <xf numFmtId="0" fontId="0" fillId="4" borderId="27" xfId="0" applyFill="1" applyBorder="1" applyAlignment="1">
      <alignment horizontal="center"/>
    </xf>
    <xf numFmtId="0" fontId="1" fillId="4" borderId="11" xfId="0" applyFont="1" applyFill="1" applyBorder="1" applyAlignment="1">
      <alignment horizontal="center"/>
    </xf>
    <xf numFmtId="0" fontId="0" fillId="0" borderId="0" xfId="0" applyAlignment="1">
      <alignment horizontal="center"/>
    </xf>
    <xf numFmtId="0" fontId="0" fillId="4" borderId="41" xfId="0" applyFill="1" applyBorder="1" applyAlignment="1">
      <alignment horizontal="center"/>
    </xf>
    <xf numFmtId="0" fontId="0" fillId="0" borderId="0" xfId="0" applyFill="1" applyAlignment="1">
      <alignment horizontal="center"/>
    </xf>
    <xf numFmtId="1" fontId="0" fillId="5" borderId="0" xfId="0" applyNumberFormat="1" applyFill="1" applyBorder="1" applyAlignment="1">
      <alignment horizontal="center"/>
    </xf>
    <xf numFmtId="1" fontId="0" fillId="5" borderId="6" xfId="0" applyNumberFormat="1" applyFill="1" applyBorder="1" applyAlignment="1">
      <alignment horizontal="center"/>
    </xf>
    <xf numFmtId="164" fontId="0" fillId="4" borderId="26" xfId="0" applyNumberFormat="1" applyFont="1" applyFill="1" applyBorder="1" applyAlignment="1">
      <alignment horizontal="center"/>
    </xf>
    <xf numFmtId="164" fontId="0" fillId="4" borderId="14" xfId="0" applyNumberFormat="1" applyFont="1" applyFill="1" applyBorder="1" applyAlignment="1">
      <alignment horizontal="center"/>
    </xf>
    <xf numFmtId="164" fontId="0" fillId="4" borderId="27" xfId="0" applyNumberFormat="1" applyFont="1" applyFill="1" applyBorder="1" applyAlignment="1">
      <alignment horizontal="center"/>
    </xf>
    <xf numFmtId="164" fontId="0" fillId="4" borderId="21" xfId="0" applyNumberFormat="1" applyFont="1" applyFill="1" applyBorder="1" applyAlignment="1">
      <alignment horizontal="center"/>
    </xf>
    <xf numFmtId="165" fontId="0" fillId="4" borderId="42" xfId="0" applyNumberFormat="1" applyFont="1" applyFill="1" applyBorder="1" applyAlignment="1">
      <alignment horizontal="center"/>
    </xf>
    <xf numFmtId="0" fontId="0" fillId="4" borderId="41" xfId="0" applyFont="1" applyFill="1" applyBorder="1" applyAlignment="1">
      <alignment horizontal="center"/>
    </xf>
    <xf numFmtId="164" fontId="0" fillId="4" borderId="28" xfId="0" applyNumberFormat="1" applyFont="1" applyFill="1" applyBorder="1" applyAlignment="1">
      <alignment horizontal="center"/>
    </xf>
    <xf numFmtId="164" fontId="0" fillId="4" borderId="12" xfId="0" applyNumberFormat="1" applyFont="1" applyFill="1" applyBorder="1" applyAlignment="1">
      <alignment horizontal="center"/>
    </xf>
    <xf numFmtId="164" fontId="0" fillId="4" borderId="29" xfId="0" applyNumberFormat="1" applyFont="1" applyFill="1" applyBorder="1" applyAlignment="1">
      <alignment horizontal="center"/>
    </xf>
    <xf numFmtId="164" fontId="0" fillId="4" borderId="17" xfId="0" applyNumberFormat="1" applyFont="1" applyFill="1" applyBorder="1" applyAlignment="1">
      <alignment horizontal="center"/>
    </xf>
    <xf numFmtId="0" fontId="0" fillId="4" borderId="38" xfId="0" applyFill="1" applyBorder="1" applyAlignment="1">
      <alignment horizontal="center"/>
    </xf>
    <xf numFmtId="0" fontId="0" fillId="4" borderId="43" xfId="0" applyFill="1" applyBorder="1" applyAlignment="1">
      <alignment horizontal="center"/>
    </xf>
    <xf numFmtId="0" fontId="0" fillId="4" borderId="39" xfId="0" applyFill="1" applyBorder="1" applyAlignment="1">
      <alignment horizontal="center"/>
    </xf>
    <xf numFmtId="0" fontId="0" fillId="4" borderId="44" xfId="0" applyFill="1" applyBorder="1" applyAlignment="1">
      <alignment horizontal="center"/>
    </xf>
    <xf numFmtId="0" fontId="0" fillId="4" borderId="5" xfId="0" applyFill="1" applyBorder="1"/>
    <xf numFmtId="0" fontId="0" fillId="4" borderId="0" xfId="0" applyFill="1" applyBorder="1"/>
    <xf numFmtId="0" fontId="0" fillId="4" borderId="7" xfId="0" applyFill="1" applyBorder="1"/>
    <xf numFmtId="0" fontId="0" fillId="4" borderId="2" xfId="0" applyFill="1" applyBorder="1"/>
    <xf numFmtId="2" fontId="0" fillId="4" borderId="38" xfId="0" applyNumberFormat="1" applyFill="1" applyBorder="1" applyAlignment="1">
      <alignment horizontal="center"/>
    </xf>
    <xf numFmtId="2" fontId="0" fillId="4" borderId="43" xfId="0" applyNumberFormat="1" applyFill="1" applyBorder="1" applyAlignment="1">
      <alignment horizontal="center"/>
    </xf>
    <xf numFmtId="2" fontId="0" fillId="4" borderId="44" xfId="0" applyNumberFormat="1" applyFill="1" applyBorder="1" applyAlignment="1">
      <alignment horizontal="center"/>
    </xf>
    <xf numFmtId="0" fontId="0" fillId="4" borderId="26" xfId="0" applyFont="1" applyFill="1" applyBorder="1" applyAlignment="1">
      <alignment horizontal="center"/>
    </xf>
    <xf numFmtId="0" fontId="0" fillId="4" borderId="14" xfId="0" applyFont="1" applyFill="1" applyBorder="1" applyAlignment="1">
      <alignment horizontal="center"/>
    </xf>
    <xf numFmtId="0" fontId="0" fillId="4" borderId="27" xfId="0" applyFont="1" applyFill="1" applyBorder="1" applyAlignment="1">
      <alignment horizontal="center"/>
    </xf>
    <xf numFmtId="1" fontId="0" fillId="4" borderId="21" xfId="0" applyNumberFormat="1" applyFont="1" applyFill="1" applyBorder="1" applyAlignment="1">
      <alignment horizontal="center"/>
    </xf>
    <xf numFmtId="164" fontId="0" fillId="0" borderId="43" xfId="0" applyNumberFormat="1" applyFill="1" applyBorder="1" applyAlignment="1">
      <alignment horizontal="center"/>
    </xf>
    <xf numFmtId="164" fontId="0" fillId="3" borderId="51" xfId="0" applyNumberFormat="1" applyFill="1" applyBorder="1" applyAlignment="1">
      <alignment horizontal="center"/>
    </xf>
    <xf numFmtId="164" fontId="0" fillId="3" borderId="50" xfId="0" applyNumberFormat="1" applyFill="1" applyBorder="1" applyAlignment="1">
      <alignment horizontal="center"/>
    </xf>
    <xf numFmtId="164" fontId="0" fillId="0" borderId="52" xfId="0" applyNumberFormat="1" applyFill="1" applyBorder="1" applyAlignment="1">
      <alignment horizontal="center"/>
    </xf>
    <xf numFmtId="0" fontId="0" fillId="4" borderId="42" xfId="0" applyFill="1" applyBorder="1" applyAlignment="1">
      <alignment horizontal="center"/>
    </xf>
    <xf numFmtId="0" fontId="0" fillId="4" borderId="36" xfId="0" applyFill="1" applyBorder="1" applyAlignment="1">
      <alignment horizontal="center"/>
    </xf>
    <xf numFmtId="0" fontId="0" fillId="4" borderId="6" xfId="0" applyFill="1" applyBorder="1" applyAlignment="1">
      <alignment horizontal="center"/>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164" fontId="0" fillId="4" borderId="49" xfId="0" applyNumberFormat="1" applyFill="1" applyBorder="1" applyAlignment="1">
      <alignment horizontal="center"/>
    </xf>
    <xf numFmtId="164" fontId="0" fillId="4" borderId="51" xfId="0" applyNumberFormat="1" applyFill="1" applyBorder="1" applyAlignment="1">
      <alignment horizontal="center"/>
    </xf>
    <xf numFmtId="164" fontId="0" fillId="4" borderId="6" xfId="0" applyNumberFormat="1" applyFill="1" applyBorder="1" applyAlignment="1">
      <alignment horizontal="center"/>
    </xf>
    <xf numFmtId="1" fontId="0" fillId="4" borderId="5" xfId="0" applyNumberFormat="1" applyFill="1" applyBorder="1" applyAlignment="1">
      <alignment horizontal="center"/>
    </xf>
    <xf numFmtId="1" fontId="0" fillId="4" borderId="6" xfId="0" applyNumberFormat="1" applyFill="1" applyBorder="1" applyAlignment="1">
      <alignment horizontal="center"/>
    </xf>
    <xf numFmtId="1" fontId="0" fillId="4" borderId="0" xfId="0" applyNumberFormat="1" applyFill="1" applyBorder="1" applyAlignment="1">
      <alignment horizontal="center"/>
    </xf>
    <xf numFmtId="0" fontId="0" fillId="0" borderId="41" xfId="0" applyFill="1" applyBorder="1" applyAlignment="1">
      <alignment horizontal="center"/>
    </xf>
    <xf numFmtId="164" fontId="0" fillId="4" borderId="26" xfId="0" applyNumberFormat="1" applyFill="1" applyBorder="1" applyAlignment="1">
      <alignment horizontal="center"/>
    </xf>
    <xf numFmtId="1" fontId="0" fillId="5" borderId="14" xfId="0" applyNumberFormat="1" applyFill="1" applyBorder="1" applyAlignment="1">
      <alignment horizontal="center"/>
    </xf>
    <xf numFmtId="1" fontId="0" fillId="4" borderId="14" xfId="0" applyNumberFormat="1" applyFill="1" applyBorder="1" applyAlignment="1">
      <alignment horizontal="center"/>
    </xf>
    <xf numFmtId="164" fontId="0" fillId="4" borderId="27" xfId="0" applyNumberFormat="1" applyFill="1" applyBorder="1" applyAlignment="1">
      <alignment horizontal="center"/>
    </xf>
    <xf numFmtId="164" fontId="0" fillId="4" borderId="40" xfId="0" applyNumberFormat="1" applyFill="1" applyBorder="1" applyAlignment="1">
      <alignment horizontal="center"/>
    </xf>
    <xf numFmtId="1" fontId="0" fillId="5" borderId="20" xfId="0" applyNumberFormat="1" applyFill="1" applyBorder="1" applyAlignment="1">
      <alignment horizontal="center"/>
    </xf>
    <xf numFmtId="1" fontId="0" fillId="5" borderId="21" xfId="0" applyNumberFormat="1" applyFill="1" applyBorder="1" applyAlignment="1">
      <alignment horizontal="center"/>
    </xf>
    <xf numFmtId="0" fontId="0" fillId="5" borderId="14" xfId="0" applyFill="1" applyBorder="1" applyAlignment="1">
      <alignment horizontal="center"/>
    </xf>
    <xf numFmtId="1" fontId="0" fillId="4" borderId="26" xfId="0" applyNumberFormat="1" applyFill="1" applyBorder="1" applyAlignment="1">
      <alignment horizontal="center"/>
    </xf>
    <xf numFmtId="0" fontId="0" fillId="4" borderId="40" xfId="0" applyFill="1" applyBorder="1" applyAlignment="1">
      <alignment horizontal="center"/>
    </xf>
    <xf numFmtId="164" fontId="0" fillId="6" borderId="19" xfId="0" applyNumberFormat="1" applyFill="1" applyBorder="1" applyAlignment="1">
      <alignment horizontal="center"/>
    </xf>
    <xf numFmtId="0" fontId="0" fillId="4" borderId="0" xfId="0" applyFill="1"/>
    <xf numFmtId="0" fontId="0" fillId="4" borderId="33" xfId="0" applyFill="1" applyBorder="1" applyAlignment="1">
      <alignment horizontal="center"/>
    </xf>
    <xf numFmtId="0" fontId="0" fillId="4" borderId="35" xfId="0" applyFill="1" applyBorder="1" applyAlignment="1">
      <alignment horizontal="center"/>
    </xf>
    <xf numFmtId="0" fontId="0" fillId="0" borderId="27" xfId="0" applyBorder="1" applyAlignment="1">
      <alignment horizontal="center"/>
    </xf>
    <xf numFmtId="164" fontId="0" fillId="0" borderId="20" xfId="0" applyNumberFormat="1" applyBorder="1" applyAlignment="1">
      <alignment horizontal="center"/>
    </xf>
    <xf numFmtId="0" fontId="1" fillId="0" borderId="3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2" fontId="0" fillId="0" borderId="21" xfId="0" applyNumberFormat="1" applyFont="1" applyBorder="1" applyAlignment="1">
      <alignment horizontal="center"/>
    </xf>
    <xf numFmtId="164" fontId="0" fillId="4" borderId="21" xfId="0" applyNumberFormat="1" applyFill="1" applyBorder="1" applyAlignment="1">
      <alignment horizontal="center"/>
    </xf>
    <xf numFmtId="0" fontId="0" fillId="7" borderId="0" xfId="0" applyFill="1"/>
    <xf numFmtId="0" fontId="0" fillId="7" borderId="0" xfId="0" applyFill="1" applyBorder="1"/>
    <xf numFmtId="0" fontId="0" fillId="7" borderId="0" xfId="0" applyFill="1" applyBorder="1" applyAlignment="1">
      <alignment horizontal="center" vertical="center"/>
    </xf>
    <xf numFmtId="164" fontId="0" fillId="7" borderId="0" xfId="0" applyNumberFormat="1" applyFill="1" applyBorder="1" applyAlignment="1">
      <alignment horizontal="center"/>
    </xf>
    <xf numFmtId="164" fontId="0" fillId="7" borderId="0" xfId="0" applyNumberFormat="1" applyFill="1" applyBorder="1"/>
    <xf numFmtId="0" fontId="0" fillId="4" borderId="54" xfId="0" applyFill="1" applyBorder="1" applyAlignment="1">
      <alignment horizontal="center"/>
    </xf>
    <xf numFmtId="0" fontId="0" fillId="7" borderId="0" xfId="0" applyFill="1" applyBorder="1" applyAlignment="1">
      <alignment horizontal="center"/>
    </xf>
    <xf numFmtId="0" fontId="0" fillId="7" borderId="0" xfId="0" applyFont="1" applyFill="1" applyBorder="1" applyAlignment="1">
      <alignment horizontal="center"/>
    </xf>
    <xf numFmtId="0" fontId="0" fillId="7" borderId="0" xfId="0" applyFill="1" applyAlignment="1">
      <alignment vertical="center"/>
    </xf>
    <xf numFmtId="0" fontId="0" fillId="4" borderId="0" xfId="0" applyFill="1" applyBorder="1" applyAlignment="1">
      <alignment vertical="center"/>
    </xf>
    <xf numFmtId="10" fontId="0" fillId="4" borderId="0" xfId="0" applyNumberFormat="1" applyFill="1" applyBorder="1" applyAlignment="1">
      <alignment horizontal="center"/>
    </xf>
    <xf numFmtId="10" fontId="0" fillId="4" borderId="14" xfId="0" applyNumberFormat="1" applyFill="1" applyBorder="1" applyAlignment="1">
      <alignment horizontal="center"/>
    </xf>
    <xf numFmtId="10" fontId="0" fillId="4" borderId="20" xfId="0" applyNumberFormat="1" applyFill="1" applyBorder="1" applyAlignment="1">
      <alignment horizontal="center"/>
    </xf>
    <xf numFmtId="10" fontId="0" fillId="4" borderId="21" xfId="0" applyNumberFormat="1" applyFill="1" applyBorder="1" applyAlignment="1">
      <alignment horizontal="center"/>
    </xf>
    <xf numFmtId="164" fontId="0" fillId="4" borderId="28" xfId="0" applyNumberFormat="1" applyFill="1" applyBorder="1" applyAlignment="1">
      <alignment horizontal="center"/>
    </xf>
    <xf numFmtId="10" fontId="0" fillId="4" borderId="1" xfId="0" applyNumberFormat="1" applyFill="1" applyBorder="1" applyAlignment="1">
      <alignment horizontal="center"/>
    </xf>
    <xf numFmtId="10" fontId="0" fillId="4" borderId="12" xfId="0" applyNumberFormat="1" applyFill="1" applyBorder="1" applyAlignment="1">
      <alignment horizontal="center"/>
    </xf>
    <xf numFmtId="164" fontId="0" fillId="4" borderId="29" xfId="0" applyNumberFormat="1" applyFill="1" applyBorder="1" applyAlignment="1">
      <alignment horizontal="center"/>
    </xf>
    <xf numFmtId="10" fontId="0" fillId="4" borderId="2" xfId="0" applyNumberFormat="1" applyFill="1" applyBorder="1" applyAlignment="1">
      <alignment horizontal="center"/>
    </xf>
    <xf numFmtId="10" fontId="0" fillId="4" borderId="17" xfId="0" applyNumberFormat="1" applyFill="1" applyBorder="1" applyAlignment="1">
      <alignment horizontal="center"/>
    </xf>
    <xf numFmtId="10" fontId="0" fillId="4" borderId="6" xfId="0" applyNumberFormat="1" applyFill="1" applyBorder="1" applyAlignment="1">
      <alignment horizontal="center"/>
    </xf>
    <xf numFmtId="10" fontId="0" fillId="4" borderId="4" xfId="0" applyNumberFormat="1" applyFill="1" applyBorder="1" applyAlignment="1">
      <alignment horizontal="center"/>
    </xf>
    <xf numFmtId="10" fontId="0" fillId="4" borderId="8" xfId="0" applyNumberFormat="1" applyFill="1" applyBorder="1" applyAlignment="1">
      <alignment horizontal="center"/>
    </xf>
    <xf numFmtId="10" fontId="0" fillId="4" borderId="40" xfId="0" applyNumberFormat="1" applyFill="1" applyBorder="1" applyAlignment="1">
      <alignment horizontal="center"/>
    </xf>
    <xf numFmtId="0" fontId="0" fillId="0" borderId="34" xfId="0" applyBorder="1" applyAlignment="1">
      <alignment horizontal="center"/>
    </xf>
    <xf numFmtId="0" fontId="0" fillId="4" borderId="1" xfId="0" applyFill="1" applyBorder="1"/>
    <xf numFmtId="0" fontId="0" fillId="4" borderId="20" xfId="0" applyFill="1" applyBorder="1"/>
    <xf numFmtId="0" fontId="0" fillId="0" borderId="56" xfId="0" applyBorder="1" applyAlignment="1">
      <alignment horizontal="center" vertical="center"/>
    </xf>
    <xf numFmtId="0" fontId="0" fillId="0" borderId="37" xfId="0" applyBorder="1" applyAlignment="1">
      <alignment horizontal="center"/>
    </xf>
    <xf numFmtId="0" fontId="0" fillId="4" borderId="53" xfId="0" applyFill="1" applyBorder="1" applyAlignment="1">
      <alignment horizontal="center"/>
    </xf>
    <xf numFmtId="0" fontId="0" fillId="4" borderId="47" xfId="0" applyFill="1" applyBorder="1" applyAlignment="1">
      <alignment horizontal="center"/>
    </xf>
    <xf numFmtId="10" fontId="0" fillId="4" borderId="54" xfId="0" applyNumberFormat="1" applyFill="1" applyBorder="1" applyAlignment="1">
      <alignment horizontal="center"/>
    </xf>
    <xf numFmtId="0" fontId="0" fillId="4" borderId="3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164" fontId="0" fillId="4" borderId="41" xfId="0" applyNumberFormat="1" applyFill="1" applyBorder="1" applyAlignment="1">
      <alignment horizontal="center"/>
    </xf>
    <xf numFmtId="0" fontId="0" fillId="4" borderId="0" xfId="0" applyFont="1" applyFill="1" applyBorder="1" applyAlignment="1">
      <alignment horizontal="center"/>
    </xf>
    <xf numFmtId="1" fontId="0" fillId="4" borderId="0" xfId="0" applyNumberFormat="1" applyFont="1" applyFill="1" applyBorder="1" applyAlignment="1">
      <alignment horizontal="center"/>
    </xf>
    <xf numFmtId="165" fontId="0" fillId="4" borderId="0" xfId="0" applyNumberFormat="1" applyFont="1" applyFill="1" applyBorder="1" applyAlignment="1">
      <alignment horizontal="center"/>
    </xf>
    <xf numFmtId="0" fontId="0" fillId="4" borderId="0" xfId="0" applyFill="1" applyBorder="1" applyAlignment="1">
      <alignment wrapText="1"/>
    </xf>
    <xf numFmtId="0" fontId="0" fillId="4" borderId="0" xfId="0" applyFill="1" applyBorder="1" applyAlignment="1">
      <alignment vertical="top" wrapText="1"/>
    </xf>
    <xf numFmtId="0" fontId="0" fillId="4" borderId="0" xfId="0" applyFill="1" applyBorder="1" applyAlignment="1">
      <alignment horizontal="left" wrapText="1"/>
    </xf>
    <xf numFmtId="0" fontId="0" fillId="4" borderId="5" xfId="0" applyFont="1" applyFill="1" applyBorder="1" applyAlignment="1">
      <alignment horizontal="center"/>
    </xf>
    <xf numFmtId="1" fontId="0" fillId="4" borderId="6" xfId="0" applyNumberFormat="1" applyFont="1" applyFill="1" applyBorder="1" applyAlignment="1">
      <alignment horizontal="center"/>
    </xf>
    <xf numFmtId="0" fontId="0" fillId="4" borderId="6" xfId="0" applyFont="1" applyFill="1" applyBorder="1" applyAlignment="1">
      <alignment horizontal="center"/>
    </xf>
    <xf numFmtId="165" fontId="0" fillId="4" borderId="5" xfId="0" applyNumberFormat="1" applyFont="1" applyFill="1" applyBorder="1" applyAlignment="1">
      <alignment horizontal="center"/>
    </xf>
    <xf numFmtId="0" fontId="0" fillId="4" borderId="6" xfId="0" applyFill="1" applyBorder="1"/>
    <xf numFmtId="0" fontId="0" fillId="4" borderId="5" xfId="0" applyFill="1" applyBorder="1" applyAlignment="1">
      <alignment vertical="top" wrapText="1"/>
    </xf>
    <xf numFmtId="0" fontId="0" fillId="4" borderId="6" xfId="0" applyFill="1" applyBorder="1" applyAlignment="1">
      <alignment vertical="top" wrapText="1"/>
    </xf>
    <xf numFmtId="0" fontId="0" fillId="4" borderId="5" xfId="0" applyFill="1" applyBorder="1" applyAlignment="1">
      <alignment horizontal="left" vertical="top" wrapText="1"/>
    </xf>
    <xf numFmtId="0" fontId="0" fillId="4" borderId="6" xfId="0" applyFill="1" applyBorder="1" applyAlignment="1">
      <alignment horizontal="left" wrapText="1"/>
    </xf>
    <xf numFmtId="0" fontId="0" fillId="4" borderId="6" xfId="0" applyFill="1" applyBorder="1" applyAlignment="1">
      <alignment wrapText="1"/>
    </xf>
    <xf numFmtId="0" fontId="0" fillId="4" borderId="8" xfId="0" applyFill="1" applyBorder="1"/>
    <xf numFmtId="165" fontId="0" fillId="4" borderId="6" xfId="0" applyNumberFormat="1" applyFont="1" applyFill="1" applyBorder="1" applyAlignment="1">
      <alignment horizontal="center"/>
    </xf>
    <xf numFmtId="0" fontId="0" fillId="4" borderId="5" xfId="0" applyFill="1" applyBorder="1" applyAlignment="1">
      <alignment wrapText="1"/>
    </xf>
    <xf numFmtId="1" fontId="0" fillId="4" borderId="5" xfId="0" applyNumberFormat="1" applyFont="1" applyFill="1" applyBorder="1" applyAlignment="1">
      <alignment horizontal="center"/>
    </xf>
    <xf numFmtId="0" fontId="1" fillId="4" borderId="5" xfId="0" applyFont="1" applyFill="1" applyBorder="1"/>
    <xf numFmtId="0" fontId="1" fillId="4" borderId="0" xfId="0" applyFont="1" applyFill="1" applyBorder="1"/>
    <xf numFmtId="0" fontId="0" fillId="4" borderId="1" xfId="0" applyFont="1" applyFill="1" applyBorder="1" applyAlignment="1">
      <alignment horizontal="center"/>
    </xf>
    <xf numFmtId="1" fontId="0" fillId="4" borderId="4" xfId="0" applyNumberFormat="1" applyFont="1" applyFill="1" applyBorder="1" applyAlignment="1">
      <alignment horizontal="center"/>
    </xf>
    <xf numFmtId="1" fontId="0" fillId="4" borderId="1" xfId="0" applyNumberFormat="1" applyFont="1" applyFill="1" applyBorder="1" applyAlignment="1">
      <alignment horizontal="center"/>
    </xf>
    <xf numFmtId="165" fontId="0" fillId="4" borderId="1" xfId="0" applyNumberFormat="1" applyFont="1" applyFill="1" applyBorder="1" applyAlignment="1">
      <alignment horizontal="center"/>
    </xf>
    <xf numFmtId="0" fontId="0" fillId="4" borderId="4" xfId="0" applyFill="1" applyBorder="1"/>
    <xf numFmtId="0" fontId="0" fillId="4" borderId="3" xfId="0" applyFill="1" applyBorder="1"/>
    <xf numFmtId="0" fontId="0" fillId="4" borderId="7" xfId="0" applyFont="1" applyFill="1" applyBorder="1" applyAlignment="1">
      <alignment horizontal="center"/>
    </xf>
    <xf numFmtId="1" fontId="0" fillId="4" borderId="2" xfId="0" applyNumberFormat="1" applyFont="1" applyFill="1" applyBorder="1" applyAlignment="1">
      <alignment horizontal="center"/>
    </xf>
    <xf numFmtId="0" fontId="0" fillId="4" borderId="2" xfId="0" applyFont="1" applyFill="1" applyBorder="1" applyAlignment="1">
      <alignment horizontal="center"/>
    </xf>
    <xf numFmtId="1" fontId="0" fillId="4" borderId="8" xfId="0" applyNumberFormat="1" applyFont="1" applyFill="1" applyBorder="1" applyAlignment="1">
      <alignment horizontal="center"/>
    </xf>
    <xf numFmtId="0" fontId="0" fillId="0" borderId="1" xfId="0" applyFill="1" applyBorder="1"/>
    <xf numFmtId="165" fontId="1" fillId="4" borderId="0" xfId="0" applyNumberFormat="1" applyFont="1" applyFill="1" applyBorder="1" applyAlignment="1">
      <alignment horizontal="center"/>
    </xf>
    <xf numFmtId="0" fontId="1" fillId="4" borderId="0" xfId="0" applyFont="1" applyFill="1" applyBorder="1" applyAlignment="1">
      <alignment horizontal="center"/>
    </xf>
    <xf numFmtId="0" fontId="0" fillId="4" borderId="53" xfId="0" applyFill="1" applyBorder="1"/>
    <xf numFmtId="0" fontId="0" fillId="4" borderId="10" xfId="0" applyFill="1" applyBorder="1"/>
    <xf numFmtId="0" fontId="0" fillId="4" borderId="37" xfId="0" applyFill="1" applyBorder="1"/>
    <xf numFmtId="0" fontId="0" fillId="4" borderId="11" xfId="0" applyFill="1" applyBorder="1"/>
    <xf numFmtId="0" fontId="0" fillId="4" borderId="14" xfId="0" applyFill="1" applyBorder="1"/>
    <xf numFmtId="0" fontId="0" fillId="4" borderId="19" xfId="0" applyFill="1" applyBorder="1"/>
    <xf numFmtId="0" fontId="0" fillId="4" borderId="40" xfId="0" applyFill="1" applyBorder="1"/>
    <xf numFmtId="0" fontId="0" fillId="4" borderId="21" xfId="0" applyFill="1" applyBorder="1"/>
    <xf numFmtId="0" fontId="0" fillId="4" borderId="53" xfId="0" applyFont="1" applyFill="1" applyBorder="1" applyAlignment="1">
      <alignment horizontal="center"/>
    </xf>
    <xf numFmtId="0" fontId="0" fillId="4" borderId="10" xfId="0" applyFont="1" applyFill="1" applyBorder="1" applyAlignment="1">
      <alignment horizontal="center"/>
    </xf>
    <xf numFmtId="1" fontId="0" fillId="4" borderId="37" xfId="0" applyNumberFormat="1" applyFont="1" applyFill="1" applyBorder="1" applyAlignment="1">
      <alignment horizontal="center"/>
    </xf>
    <xf numFmtId="1" fontId="0" fillId="4" borderId="10" xfId="0" applyNumberFormat="1" applyFont="1" applyFill="1" applyBorder="1" applyAlignment="1">
      <alignment horizontal="center"/>
    </xf>
    <xf numFmtId="165" fontId="0" fillId="4" borderId="37" xfId="0" applyNumberFormat="1" applyFont="1" applyFill="1" applyBorder="1" applyAlignment="1">
      <alignment horizontal="center"/>
    </xf>
    <xf numFmtId="1" fontId="0" fillId="4" borderId="53" xfId="0" applyNumberFormat="1" applyFill="1" applyBorder="1" applyAlignment="1">
      <alignment horizontal="center"/>
    </xf>
    <xf numFmtId="165" fontId="0" fillId="4" borderId="10" xfId="0" applyNumberFormat="1" applyFont="1" applyFill="1" applyBorder="1" applyAlignment="1">
      <alignment horizontal="center"/>
    </xf>
    <xf numFmtId="0" fontId="0" fillId="4" borderId="10" xfId="0" applyFill="1" applyBorder="1" applyAlignment="1">
      <alignment vertical="center"/>
    </xf>
    <xf numFmtId="0" fontId="1" fillId="4" borderId="0" xfId="0" applyFont="1" applyFill="1" applyBorder="1" applyAlignment="1">
      <alignment horizontal="left"/>
    </xf>
    <xf numFmtId="0" fontId="0" fillId="4" borderId="17" xfId="0" applyFill="1" applyBorder="1"/>
    <xf numFmtId="0" fontId="0" fillId="4" borderId="12" xfId="0" applyFill="1" applyBorder="1"/>
    <xf numFmtId="165" fontId="0" fillId="4" borderId="3" xfId="0" applyNumberFormat="1" applyFont="1" applyFill="1" applyBorder="1" applyAlignment="1">
      <alignment horizontal="center"/>
    </xf>
    <xf numFmtId="0" fontId="0" fillId="4" borderId="3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0" fillId="4" borderId="46" xfId="0" applyFill="1" applyBorder="1" applyAlignment="1">
      <alignment horizontal="center"/>
    </xf>
    <xf numFmtId="0" fontId="0" fillId="4" borderId="45" xfId="0" applyFill="1" applyBorder="1" applyAlignment="1">
      <alignment horizontal="center"/>
    </xf>
    <xf numFmtId="0" fontId="0" fillId="0" borderId="0" xfId="0" applyAlignment="1">
      <alignment horizontal="center"/>
    </xf>
    <xf numFmtId="0" fontId="1" fillId="4" borderId="0" xfId="0" applyFont="1" applyFill="1"/>
    <xf numFmtId="0" fontId="1" fillId="4" borderId="25" xfId="0" applyFont="1" applyFill="1" applyBorder="1" applyAlignment="1">
      <alignment horizontal="center"/>
    </xf>
    <xf numFmtId="0" fontId="1" fillId="4" borderId="10" xfId="0" applyFont="1" applyFill="1" applyBorder="1" applyAlignment="1">
      <alignment horizontal="center"/>
    </xf>
    <xf numFmtId="0" fontId="1" fillId="4" borderId="37" xfId="0" applyFont="1"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3" borderId="0" xfId="0" applyFill="1" applyAlignment="1">
      <alignment horizontal="center"/>
    </xf>
    <xf numFmtId="0" fontId="0" fillId="4" borderId="4" xfId="0" applyFill="1" applyBorder="1" applyAlignment="1">
      <alignment horizontal="center"/>
    </xf>
    <xf numFmtId="0" fontId="0" fillId="4" borderId="8" xfId="0" applyFill="1" applyBorder="1" applyAlignment="1">
      <alignment horizontal="center"/>
    </xf>
    <xf numFmtId="0" fontId="0" fillId="3" borderId="17" xfId="0" applyFill="1" applyBorder="1" applyAlignment="1">
      <alignment horizontal="center"/>
    </xf>
    <xf numFmtId="0" fontId="0" fillId="4" borderId="0" xfId="0" applyFill="1" applyAlignment="1">
      <alignment horizontal="center"/>
    </xf>
    <xf numFmtId="0" fontId="1" fillId="0" borderId="0" xfId="0" applyFont="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2" fontId="0" fillId="4" borderId="0" xfId="0" applyNumberFormat="1" applyFill="1" applyBorder="1" applyAlignment="1">
      <alignment horizontal="center"/>
    </xf>
    <xf numFmtId="0" fontId="0" fillId="4" borderId="22" xfId="0" applyFont="1" applyFill="1" applyBorder="1" applyAlignment="1">
      <alignment horizontal="center"/>
    </xf>
    <xf numFmtId="0" fontId="0" fillId="4" borderId="42" xfId="0" applyFont="1" applyFill="1" applyBorder="1" applyAlignment="1">
      <alignment horizontal="center"/>
    </xf>
    <xf numFmtId="2" fontId="0" fillId="4" borderId="14" xfId="0" applyNumberFormat="1" applyFill="1" applyBorder="1" applyAlignment="1">
      <alignment horizontal="center"/>
    </xf>
    <xf numFmtId="2" fontId="0" fillId="4" borderId="20" xfId="0" applyNumberFormat="1" applyFill="1" applyBorder="1" applyAlignment="1">
      <alignment horizontal="center"/>
    </xf>
    <xf numFmtId="2" fontId="0" fillId="4" borderId="21" xfId="0" applyNumberFormat="1" applyFill="1" applyBorder="1" applyAlignment="1">
      <alignment horizontal="center"/>
    </xf>
    <xf numFmtId="0" fontId="3" fillId="0" borderId="0" xfId="0" applyFont="1"/>
    <xf numFmtId="0" fontId="0" fillId="0" borderId="36" xfId="0" applyBorder="1" applyAlignment="1">
      <alignment horizontal="center"/>
    </xf>
    <xf numFmtId="0" fontId="0" fillId="0" borderId="9" xfId="0" applyBorder="1"/>
    <xf numFmtId="0" fontId="0" fillId="0" borderId="11" xfId="0" applyBorder="1"/>
    <xf numFmtId="0" fontId="0" fillId="0" borderId="60" xfId="0"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0" fontId="0" fillId="0" borderId="56" xfId="0" applyBorder="1" applyAlignment="1">
      <alignment horizontal="center"/>
    </xf>
    <xf numFmtId="0" fontId="0" fillId="0" borderId="24" xfId="0" applyBorder="1" applyAlignment="1">
      <alignment horizontal="center"/>
    </xf>
    <xf numFmtId="0" fontId="0" fillId="0" borderId="6" xfId="0" applyBorder="1" applyAlignment="1">
      <alignment horizontal="center"/>
    </xf>
    <xf numFmtId="164" fontId="0" fillId="0" borderId="26" xfId="0" applyNumberFormat="1" applyBorder="1"/>
    <xf numFmtId="164" fontId="0" fillId="9" borderId="14" xfId="0" applyNumberFormat="1" applyFill="1" applyBorder="1"/>
    <xf numFmtId="0" fontId="1" fillId="6" borderId="63" xfId="0" applyFont="1" applyFill="1" applyBorder="1" applyAlignment="1">
      <alignment horizontal="center"/>
    </xf>
    <xf numFmtId="0" fontId="1" fillId="6" borderId="10" xfId="0" applyFont="1" applyFill="1" applyBorder="1" applyAlignment="1">
      <alignment horizontal="center"/>
    </xf>
    <xf numFmtId="0" fontId="1" fillId="6" borderId="47" xfId="0" applyFont="1" applyFill="1" applyBorder="1" applyAlignment="1">
      <alignment horizontal="center"/>
    </xf>
    <xf numFmtId="0" fontId="1" fillId="10" borderId="10" xfId="0" applyFont="1" applyFill="1" applyBorder="1" applyAlignment="1">
      <alignment horizontal="center"/>
    </xf>
    <xf numFmtId="0" fontId="1" fillId="10" borderId="25" xfId="0" applyFont="1" applyFill="1" applyBorder="1" applyAlignment="1">
      <alignment horizontal="center"/>
    </xf>
    <xf numFmtId="0" fontId="0" fillId="4" borderId="64"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164" fontId="0" fillId="9" borderId="26" xfId="0" applyNumberFormat="1" applyFill="1" applyBorder="1"/>
    <xf numFmtId="164" fontId="0" fillId="0" borderId="14" xfId="0" applyNumberFormat="1" applyBorder="1"/>
    <xf numFmtId="1" fontId="0" fillId="0" borderId="0" xfId="0" applyNumberFormat="1"/>
    <xf numFmtId="0" fontId="0" fillId="6" borderId="64" xfId="0" applyFill="1" applyBorder="1" applyAlignment="1">
      <alignment horizontal="center"/>
    </xf>
    <xf numFmtId="0" fontId="0" fillId="6" borderId="0" xfId="0" applyFill="1" applyAlignment="1">
      <alignment horizontal="center"/>
    </xf>
    <xf numFmtId="0" fontId="0" fillId="6" borderId="43" xfId="0" applyFill="1" applyBorder="1" applyAlignment="1">
      <alignment horizontal="center"/>
    </xf>
    <xf numFmtId="0" fontId="0" fillId="10" borderId="0" xfId="0" applyFill="1" applyAlignment="1">
      <alignment horizontal="center"/>
    </xf>
    <xf numFmtId="0" fontId="0" fillId="10" borderId="13" xfId="0" applyFill="1" applyBorder="1" applyAlignment="1">
      <alignment horizontal="center"/>
    </xf>
    <xf numFmtId="0" fontId="1" fillId="6" borderId="64" xfId="0" applyFont="1" applyFill="1" applyBorder="1" applyAlignment="1">
      <alignment horizontal="center"/>
    </xf>
    <xf numFmtId="0" fontId="1" fillId="6" borderId="0" xfId="0" applyFont="1" applyFill="1" applyAlignment="1">
      <alignment horizontal="center"/>
    </xf>
    <xf numFmtId="0" fontId="1" fillId="6" borderId="43" xfId="0" applyFont="1" applyFill="1" applyBorder="1" applyAlignment="1">
      <alignment horizontal="center"/>
    </xf>
    <xf numFmtId="0" fontId="1" fillId="10" borderId="0" xfId="0" applyFont="1" applyFill="1" applyAlignment="1">
      <alignment horizontal="center"/>
    </xf>
    <xf numFmtId="0" fontId="1" fillId="10" borderId="13" xfId="0" applyFont="1" applyFill="1" applyBorder="1" applyAlignment="1">
      <alignment horizontal="center"/>
    </xf>
    <xf numFmtId="2" fontId="1" fillId="0" borderId="0" xfId="0" applyNumberFormat="1" applyFont="1" applyAlignment="1">
      <alignment horizontal="center"/>
    </xf>
    <xf numFmtId="0" fontId="1" fillId="11" borderId="63" xfId="0" applyFont="1" applyFill="1" applyBorder="1" applyAlignment="1">
      <alignment horizontal="center"/>
    </xf>
    <xf numFmtId="0" fontId="1" fillId="11" borderId="10" xfId="0" applyFont="1" applyFill="1" applyBorder="1" applyAlignment="1">
      <alignment horizontal="center"/>
    </xf>
    <xf numFmtId="0" fontId="1" fillId="11" borderId="47" xfId="0" applyFont="1" applyFill="1" applyBorder="1" applyAlignment="1">
      <alignment horizontal="center"/>
    </xf>
    <xf numFmtId="0" fontId="1" fillId="12" borderId="10" xfId="0" applyFont="1" applyFill="1" applyBorder="1" applyAlignment="1">
      <alignment horizontal="center"/>
    </xf>
    <xf numFmtId="0" fontId="1" fillId="12" borderId="25" xfId="0" applyFont="1" applyFill="1" applyBorder="1" applyAlignment="1">
      <alignment horizontal="center"/>
    </xf>
    <xf numFmtId="0" fontId="0" fillId="0" borderId="0" xfId="0" applyAlignment="1">
      <alignment horizontal="left" vertical="top" wrapText="1"/>
    </xf>
    <xf numFmtId="0" fontId="0" fillId="11" borderId="64" xfId="0" applyFill="1" applyBorder="1" applyAlignment="1">
      <alignment horizontal="center"/>
    </xf>
    <xf numFmtId="0" fontId="0" fillId="11" borderId="0" xfId="0" applyFill="1" applyAlignment="1">
      <alignment horizontal="center"/>
    </xf>
    <xf numFmtId="0" fontId="0" fillId="11" borderId="43" xfId="0" applyFill="1" applyBorder="1" applyAlignment="1">
      <alignment horizontal="center"/>
    </xf>
    <xf numFmtId="0" fontId="0" fillId="12" borderId="0" xfId="0" applyFill="1" applyAlignment="1">
      <alignment horizontal="center"/>
    </xf>
    <xf numFmtId="0" fontId="0" fillId="12" borderId="13" xfId="0" applyFill="1" applyBorder="1" applyAlignment="1">
      <alignment horizontal="center"/>
    </xf>
    <xf numFmtId="164" fontId="0" fillId="9" borderId="27" xfId="0" applyNumberFormat="1" applyFill="1" applyBorder="1"/>
    <xf numFmtId="164" fontId="0" fillId="0" borderId="21" xfId="0" applyNumberFormat="1" applyBorder="1"/>
    <xf numFmtId="0" fontId="1" fillId="11" borderId="64" xfId="0" applyFont="1" applyFill="1" applyBorder="1" applyAlignment="1">
      <alignment horizontal="center"/>
    </xf>
    <xf numFmtId="0" fontId="1" fillId="11" borderId="0" xfId="0" applyFont="1" applyFill="1" applyAlignment="1">
      <alignment horizontal="center"/>
    </xf>
    <xf numFmtId="0" fontId="1" fillId="11" borderId="43" xfId="0" applyFont="1" applyFill="1" applyBorder="1" applyAlignment="1">
      <alignment horizontal="center"/>
    </xf>
    <xf numFmtId="0" fontId="1" fillId="12" borderId="0" xfId="0" applyFont="1" applyFill="1" applyAlignment="1">
      <alignment horizontal="center"/>
    </xf>
    <xf numFmtId="0" fontId="1" fillId="12" borderId="13" xfId="0" applyFont="1" applyFill="1" applyBorder="1" applyAlignment="1">
      <alignment horizontal="center"/>
    </xf>
    <xf numFmtId="0" fontId="0" fillId="0" borderId="8" xfId="0" applyBorder="1" applyAlignment="1">
      <alignment horizontal="center"/>
    </xf>
    <xf numFmtId="0" fontId="1" fillId="11" borderId="66" xfId="0" applyFont="1" applyFill="1" applyBorder="1" applyAlignment="1">
      <alignment horizontal="center"/>
    </xf>
    <xf numFmtId="0" fontId="1" fillId="11" borderId="20" xfId="0" applyFont="1" applyFill="1" applyBorder="1" applyAlignment="1">
      <alignment horizontal="center"/>
    </xf>
    <xf numFmtId="0" fontId="1" fillId="11" borderId="44" xfId="0" applyFont="1" applyFill="1" applyBorder="1" applyAlignment="1">
      <alignment horizontal="center"/>
    </xf>
    <xf numFmtId="0" fontId="1" fillId="12" borderId="20" xfId="0" applyFont="1" applyFill="1" applyBorder="1" applyAlignment="1">
      <alignment horizontal="center"/>
    </xf>
    <xf numFmtId="0" fontId="1" fillId="12" borderId="18" xfId="0" applyFont="1" applyFill="1" applyBorder="1" applyAlignment="1">
      <alignment horizontal="center"/>
    </xf>
    <xf numFmtId="0" fontId="1" fillId="13" borderId="64" xfId="0" applyFont="1" applyFill="1" applyBorder="1" applyAlignment="1">
      <alignment horizontal="center"/>
    </xf>
    <xf numFmtId="0" fontId="1" fillId="13" borderId="0" xfId="0" applyFont="1" applyFill="1" applyAlignment="1">
      <alignment horizontal="center"/>
    </xf>
    <xf numFmtId="0" fontId="1" fillId="13" borderId="43" xfId="0" applyFont="1" applyFill="1" applyBorder="1" applyAlignment="1">
      <alignment horizontal="center"/>
    </xf>
    <xf numFmtId="0" fontId="1" fillId="14" borderId="0" xfId="0" applyFont="1" applyFill="1" applyAlignment="1">
      <alignment horizontal="center"/>
    </xf>
    <xf numFmtId="0" fontId="1" fillId="14" borderId="13" xfId="0" applyFont="1" applyFill="1" applyBorder="1" applyAlignment="1">
      <alignment horizontal="center"/>
    </xf>
    <xf numFmtId="0" fontId="0" fillId="13" borderId="64" xfId="0" applyFill="1" applyBorder="1" applyAlignment="1">
      <alignment horizontal="center"/>
    </xf>
    <xf numFmtId="0" fontId="0" fillId="13" borderId="0" xfId="0" applyFill="1" applyAlignment="1">
      <alignment horizontal="center"/>
    </xf>
    <xf numFmtId="0" fontId="0" fillId="13" borderId="43" xfId="0" applyFill="1" applyBorder="1" applyAlignment="1">
      <alignment horizontal="center"/>
    </xf>
    <xf numFmtId="0" fontId="0" fillId="14" borderId="0" xfId="0" applyFill="1" applyAlignment="1">
      <alignment horizontal="center"/>
    </xf>
    <xf numFmtId="0" fontId="0" fillId="14" borderId="13" xfId="0" applyFill="1" applyBorder="1" applyAlignment="1">
      <alignment horizontal="center"/>
    </xf>
    <xf numFmtId="0" fontId="0" fillId="4" borderId="64" xfId="0" applyFill="1" applyBorder="1"/>
    <xf numFmtId="0" fontId="1" fillId="15" borderId="63" xfId="0" applyFont="1" applyFill="1" applyBorder="1" applyAlignment="1">
      <alignment horizontal="center"/>
    </xf>
    <xf numFmtId="0" fontId="1" fillId="15" borderId="10" xfId="0" applyFont="1" applyFill="1" applyBorder="1" applyAlignment="1">
      <alignment horizontal="center"/>
    </xf>
    <xf numFmtId="0" fontId="1" fillId="15" borderId="47" xfId="0" applyFont="1" applyFill="1" applyBorder="1" applyAlignment="1">
      <alignment horizontal="center"/>
    </xf>
    <xf numFmtId="0" fontId="1" fillId="16" borderId="10" xfId="0" applyFont="1" applyFill="1" applyBorder="1" applyAlignment="1">
      <alignment horizontal="center"/>
    </xf>
    <xf numFmtId="0" fontId="1" fillId="16" borderId="25" xfId="0" applyFont="1" applyFill="1" applyBorder="1" applyAlignment="1">
      <alignment horizontal="center"/>
    </xf>
    <xf numFmtId="0" fontId="0" fillId="15" borderId="64" xfId="0" applyFill="1" applyBorder="1" applyAlignment="1">
      <alignment horizontal="center"/>
    </xf>
    <xf numFmtId="0" fontId="0" fillId="15" borderId="0" xfId="0" applyFill="1" applyAlignment="1">
      <alignment horizontal="center"/>
    </xf>
    <xf numFmtId="0" fontId="0" fillId="15" borderId="43" xfId="0" applyFill="1" applyBorder="1" applyAlignment="1">
      <alignment horizontal="center"/>
    </xf>
    <xf numFmtId="0" fontId="0" fillId="16" borderId="0" xfId="0" applyFill="1" applyAlignment="1">
      <alignment horizontal="center"/>
    </xf>
    <xf numFmtId="0" fontId="0" fillId="16" borderId="13" xfId="0" applyFill="1" applyBorder="1" applyAlignment="1">
      <alignment horizontal="center"/>
    </xf>
    <xf numFmtId="0" fontId="1" fillId="15" borderId="64" xfId="0" applyFont="1" applyFill="1" applyBorder="1" applyAlignment="1">
      <alignment horizontal="center"/>
    </xf>
    <xf numFmtId="0" fontId="1" fillId="15" borderId="0" xfId="0" applyFont="1" applyFill="1" applyAlignment="1">
      <alignment horizontal="center"/>
    </xf>
    <xf numFmtId="0" fontId="1" fillId="15" borderId="43" xfId="0" applyFont="1" applyFill="1" applyBorder="1" applyAlignment="1">
      <alignment horizontal="center"/>
    </xf>
    <xf numFmtId="0" fontId="1" fillId="16" borderId="0" xfId="0" applyFont="1" applyFill="1" applyAlignment="1">
      <alignment horizontal="center"/>
    </xf>
    <xf numFmtId="0" fontId="1" fillId="16" borderId="13" xfId="0" applyFont="1" applyFill="1" applyBorder="1" applyAlignment="1">
      <alignment horizontal="center"/>
    </xf>
    <xf numFmtId="0" fontId="0" fillId="4" borderId="13" xfId="0" applyFill="1" applyBorder="1"/>
    <xf numFmtId="0" fontId="0" fillId="0" borderId="0" xfId="0" applyAlignment="1">
      <alignment horizontal="left"/>
    </xf>
    <xf numFmtId="9" fontId="0" fillId="0" borderId="0" xfId="1" applyFont="1"/>
    <xf numFmtId="0" fontId="1" fillId="15" borderId="66" xfId="0" applyFont="1" applyFill="1" applyBorder="1" applyAlignment="1">
      <alignment horizontal="center"/>
    </xf>
    <xf numFmtId="0" fontId="1" fillId="15" borderId="20" xfId="0" applyFont="1" applyFill="1" applyBorder="1" applyAlignment="1">
      <alignment horizontal="center"/>
    </xf>
    <xf numFmtId="0" fontId="1" fillId="15" borderId="44" xfId="0" applyFont="1" applyFill="1" applyBorder="1" applyAlignment="1">
      <alignment horizontal="center"/>
    </xf>
    <xf numFmtId="0" fontId="1" fillId="16" borderId="20" xfId="0" applyFont="1" applyFill="1" applyBorder="1" applyAlignment="1">
      <alignment horizontal="center"/>
    </xf>
    <xf numFmtId="0" fontId="1" fillId="16" borderId="18" xfId="0" applyFont="1" applyFill="1" applyBorder="1" applyAlignment="1">
      <alignment horizontal="center"/>
    </xf>
    <xf numFmtId="0" fontId="0" fillId="4" borderId="16" xfId="0" applyFill="1" applyBorder="1"/>
    <xf numFmtId="0" fontId="0" fillId="0" borderId="0" xfId="0" applyAlignment="1">
      <alignment horizontal="left" wrapText="1"/>
    </xf>
    <xf numFmtId="0" fontId="1" fillId="4" borderId="64" xfId="0" applyFont="1" applyFill="1" applyBorder="1" applyAlignment="1">
      <alignment horizontal="center"/>
    </xf>
    <xf numFmtId="0" fontId="1" fillId="4" borderId="0" xfId="0" applyFont="1" applyFill="1" applyAlignment="1">
      <alignment horizontal="center"/>
    </xf>
    <xf numFmtId="0" fontId="1" fillId="4" borderId="43" xfId="0" applyFont="1" applyFill="1" applyBorder="1" applyAlignment="1">
      <alignment horizontal="center"/>
    </xf>
    <xf numFmtId="0" fontId="1" fillId="4" borderId="13" xfId="0" applyFont="1" applyFill="1" applyBorder="1" applyAlignment="1">
      <alignment horizontal="center"/>
    </xf>
    <xf numFmtId="0" fontId="0" fillId="0" borderId="0" xfId="0" applyAlignment="1">
      <alignment wrapText="1"/>
    </xf>
    <xf numFmtId="0" fontId="1" fillId="4" borderId="63" xfId="0" applyFont="1" applyFill="1" applyBorder="1" applyAlignment="1">
      <alignment horizontal="center"/>
    </xf>
    <xf numFmtId="0" fontId="1" fillId="4" borderId="47" xfId="0" applyFont="1" applyFill="1" applyBorder="1" applyAlignment="1">
      <alignment horizontal="center"/>
    </xf>
    <xf numFmtId="0" fontId="0" fillId="4" borderId="67" xfId="0" applyFill="1" applyBorder="1" applyAlignment="1">
      <alignment horizontal="center"/>
    </xf>
    <xf numFmtId="0" fontId="1" fillId="4" borderId="66" xfId="0" applyFont="1" applyFill="1" applyBorder="1" applyAlignment="1">
      <alignment horizontal="center"/>
    </xf>
    <xf numFmtId="0" fontId="1" fillId="4" borderId="20" xfId="0" applyFont="1" applyFill="1" applyBorder="1" applyAlignment="1">
      <alignment horizontal="center"/>
    </xf>
    <xf numFmtId="0" fontId="1" fillId="4" borderId="44" xfId="0" applyFont="1" applyFill="1" applyBorder="1" applyAlignment="1">
      <alignment horizontal="center"/>
    </xf>
    <xf numFmtId="0" fontId="1" fillId="4" borderId="18" xfId="0" applyFont="1" applyFill="1" applyBorder="1" applyAlignment="1">
      <alignment horizontal="center"/>
    </xf>
    <xf numFmtId="0" fontId="0" fillId="4" borderId="66" xfId="0" applyFill="1" applyBorder="1"/>
    <xf numFmtId="10" fontId="0" fillId="0" borderId="0" xfId="0" applyNumberForma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0" borderId="9" xfId="0" applyBorder="1" applyAlignment="1">
      <alignment horizontal="center"/>
    </xf>
    <xf numFmtId="0" fontId="0" fillId="0" borderId="68" xfId="0" applyBorder="1" applyAlignment="1">
      <alignment horizontal="center" vertical="center"/>
    </xf>
    <xf numFmtId="0" fontId="1" fillId="4" borderId="32" xfId="0" applyFont="1" applyFill="1" applyBorder="1" applyAlignment="1">
      <alignment horizontal="center"/>
    </xf>
    <xf numFmtId="0" fontId="1" fillId="4" borderId="23" xfId="0" applyFont="1" applyFill="1" applyBorder="1" applyAlignment="1">
      <alignment horizontal="center"/>
    </xf>
    <xf numFmtId="0" fontId="1" fillId="4" borderId="24" xfId="0" applyFont="1" applyFill="1" applyBorder="1" applyAlignment="1">
      <alignment horizontal="center"/>
    </xf>
    <xf numFmtId="0" fontId="1" fillId="4" borderId="9" xfId="0" applyFont="1" applyFill="1" applyBorder="1" applyAlignment="1">
      <alignment horizontal="center"/>
    </xf>
    <xf numFmtId="0" fontId="1" fillId="4" borderId="11" xfId="0" applyFont="1" applyFill="1" applyBorder="1" applyAlignment="1">
      <alignment horizontal="center"/>
    </xf>
    <xf numFmtId="0" fontId="0" fillId="0" borderId="1" xfId="0" applyBorder="1"/>
    <xf numFmtId="0" fontId="0" fillId="0" borderId="2" xfId="0" applyBorder="1"/>
    <xf numFmtId="0" fontId="0" fillId="0" borderId="57" xfId="0" applyBorder="1" applyAlignment="1">
      <alignment horizontal="center"/>
    </xf>
    <xf numFmtId="0" fontId="0" fillId="0" borderId="10" xfId="0" applyBorder="1" applyAlignment="1">
      <alignment horizontal="center"/>
    </xf>
    <xf numFmtId="0" fontId="2" fillId="0" borderId="57" xfId="0" applyFont="1" applyBorder="1" applyAlignment="1">
      <alignment horizontal="center"/>
    </xf>
    <xf numFmtId="0" fontId="1" fillId="0" borderId="69" xfId="0" applyFont="1" applyBorder="1" applyAlignment="1">
      <alignment horizontal="center"/>
    </xf>
    <xf numFmtId="0" fontId="1" fillId="6" borderId="57" xfId="0" applyFont="1" applyFill="1" applyBorder="1" applyAlignment="1">
      <alignment horizontal="center"/>
    </xf>
    <xf numFmtId="0" fontId="1" fillId="11" borderId="57" xfId="0" applyFont="1" applyFill="1" applyBorder="1" applyAlignment="1">
      <alignment horizontal="center"/>
    </xf>
    <xf numFmtId="0" fontId="1" fillId="19" borderId="57" xfId="0" applyFont="1" applyFill="1" applyBorder="1" applyAlignment="1">
      <alignment horizontal="center"/>
    </xf>
    <xf numFmtId="0" fontId="1" fillId="20" borderId="57" xfId="0" applyFont="1" applyFill="1" applyBorder="1" applyAlignment="1">
      <alignment horizontal="center"/>
    </xf>
    <xf numFmtId="0" fontId="13" fillId="3" borderId="57" xfId="0" applyFont="1" applyFill="1" applyBorder="1" applyAlignment="1">
      <alignment horizontal="center"/>
    </xf>
    <xf numFmtId="0" fontId="1" fillId="21" borderId="57" xfId="0" applyFont="1" applyFill="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165" fontId="0" fillId="0" borderId="15" xfId="0" applyNumberFormat="1" applyBorder="1" applyAlignment="1">
      <alignment horizontal="center"/>
    </xf>
    <xf numFmtId="0" fontId="0" fillId="6" borderId="58" xfId="0" applyFill="1" applyBorder="1" applyAlignment="1">
      <alignment horizontal="center"/>
    </xf>
    <xf numFmtId="0" fontId="0" fillId="11" borderId="58" xfId="0" applyFill="1" applyBorder="1" applyAlignment="1">
      <alignment horizontal="center"/>
    </xf>
    <xf numFmtId="0" fontId="0" fillId="19" borderId="58" xfId="0" applyFill="1" applyBorder="1" applyAlignment="1">
      <alignment horizontal="center"/>
    </xf>
    <xf numFmtId="0" fontId="0" fillId="20" borderId="58" xfId="0" applyFill="1" applyBorder="1" applyAlignment="1">
      <alignment horizontal="center"/>
    </xf>
    <xf numFmtId="0" fontId="2" fillId="3" borderId="58" xfId="0" applyFont="1" applyFill="1" applyBorder="1" applyAlignment="1">
      <alignment horizontal="center"/>
    </xf>
    <xf numFmtId="0" fontId="0" fillId="21" borderId="58" xfId="0" applyFill="1" applyBorder="1" applyAlignment="1">
      <alignment horizontal="center"/>
    </xf>
    <xf numFmtId="1" fontId="11" fillId="17" borderId="3" xfId="2" applyNumberFormat="1" applyBorder="1" applyAlignment="1">
      <alignment horizontal="center"/>
    </xf>
    <xf numFmtId="0" fontId="11" fillId="17" borderId="4" xfId="2" applyBorder="1" applyAlignment="1">
      <alignment horizontal="center"/>
    </xf>
    <xf numFmtId="1" fontId="12" fillId="18" borderId="3" xfId="3" applyNumberFormat="1" applyBorder="1" applyAlignment="1">
      <alignment horizontal="center"/>
    </xf>
    <xf numFmtId="0" fontId="12" fillId="18" borderId="1" xfId="3" applyBorder="1" applyAlignment="1">
      <alignment horizontal="center"/>
    </xf>
    <xf numFmtId="1" fontId="0" fillId="0" borderId="3" xfId="0" applyNumberFormat="1" applyBorder="1" applyAlignment="1">
      <alignment horizontal="center"/>
    </xf>
    <xf numFmtId="0" fontId="11" fillId="17" borderId="1" xfId="2" applyBorder="1" applyAlignment="1">
      <alignment horizontal="center"/>
    </xf>
    <xf numFmtId="1" fontId="12" fillId="18" borderId="0" xfId="3" applyNumberFormat="1"/>
    <xf numFmtId="165" fontId="0" fillId="0" borderId="13" xfId="0" applyNumberFormat="1" applyBorder="1" applyAlignment="1">
      <alignment horizontal="center"/>
    </xf>
    <xf numFmtId="0" fontId="0" fillId="0" borderId="70" xfId="0" applyBorder="1" applyAlignment="1">
      <alignment horizontal="center"/>
    </xf>
    <xf numFmtId="1" fontId="11" fillId="17" borderId="70" xfId="2" applyNumberFormat="1" applyBorder="1" applyAlignment="1">
      <alignment horizontal="center"/>
    </xf>
    <xf numFmtId="0" fontId="11" fillId="17" borderId="71" xfId="2" applyBorder="1" applyAlignment="1">
      <alignment horizontal="center"/>
    </xf>
    <xf numFmtId="0" fontId="11" fillId="17" borderId="70" xfId="2" applyBorder="1" applyAlignment="1">
      <alignment horizontal="center"/>
    </xf>
    <xf numFmtId="0" fontId="12" fillId="18" borderId="72" xfId="3" applyBorder="1" applyAlignment="1">
      <alignment horizontal="center"/>
    </xf>
    <xf numFmtId="0" fontId="0" fillId="0" borderId="71" xfId="0" applyBorder="1" applyAlignment="1">
      <alignment horizontal="center"/>
    </xf>
    <xf numFmtId="0" fontId="11" fillId="17" borderId="72" xfId="2" applyBorder="1" applyAlignment="1">
      <alignment horizontal="center"/>
    </xf>
    <xf numFmtId="0" fontId="1" fillId="6" borderId="58" xfId="0" applyFont="1" applyFill="1" applyBorder="1" applyAlignment="1">
      <alignment horizontal="center"/>
    </xf>
    <xf numFmtId="0" fontId="1" fillId="11" borderId="58" xfId="0" applyFont="1" applyFill="1" applyBorder="1" applyAlignment="1">
      <alignment horizontal="center"/>
    </xf>
    <xf numFmtId="0" fontId="1" fillId="19" borderId="58" xfId="0" applyFont="1" applyFill="1" applyBorder="1" applyAlignment="1">
      <alignment horizontal="center"/>
    </xf>
    <xf numFmtId="0" fontId="1" fillId="20" borderId="58" xfId="0" applyFont="1" applyFill="1" applyBorder="1" applyAlignment="1">
      <alignment horizontal="center"/>
    </xf>
    <xf numFmtId="0" fontId="13" fillId="3" borderId="58" xfId="0" applyFont="1" applyFill="1" applyBorder="1" applyAlignment="1">
      <alignment horizontal="center"/>
    </xf>
    <xf numFmtId="0" fontId="1" fillId="21" borderId="58" xfId="0" applyFont="1" applyFill="1" applyBorder="1" applyAlignment="1">
      <alignment horizontal="center"/>
    </xf>
    <xf numFmtId="0" fontId="11" fillId="17" borderId="5" xfId="2" applyBorder="1" applyAlignment="1">
      <alignment horizontal="center"/>
    </xf>
    <xf numFmtId="0" fontId="11" fillId="17" borderId="6" xfId="2" applyBorder="1" applyAlignment="1">
      <alignment horizontal="center"/>
    </xf>
    <xf numFmtId="1" fontId="11" fillId="17" borderId="5" xfId="2" applyNumberFormat="1" applyBorder="1" applyAlignment="1">
      <alignment horizontal="center"/>
    </xf>
    <xf numFmtId="0" fontId="12" fillId="18" borderId="0" xfId="3" applyBorder="1" applyAlignment="1">
      <alignment horizontal="center"/>
    </xf>
    <xf numFmtId="0" fontId="11" fillId="17" borderId="0" xfId="2" applyBorder="1" applyAlignment="1">
      <alignment horizontal="center"/>
    </xf>
    <xf numFmtId="1" fontId="12" fillId="18" borderId="5" xfId="3" applyNumberFormat="1" applyBorder="1" applyAlignment="1">
      <alignment horizontal="center"/>
    </xf>
    <xf numFmtId="1" fontId="0" fillId="0" borderId="5" xfId="0" applyNumberFormat="1" applyBorder="1" applyAlignment="1">
      <alignment horizontal="center"/>
    </xf>
    <xf numFmtId="0" fontId="1" fillId="6" borderId="73" xfId="0" applyFont="1" applyFill="1" applyBorder="1" applyAlignment="1">
      <alignment horizontal="center"/>
    </xf>
    <xf numFmtId="0" fontId="1" fillId="10" borderId="1" xfId="0" applyFont="1" applyFill="1" applyBorder="1" applyAlignment="1">
      <alignment horizontal="center"/>
    </xf>
    <xf numFmtId="0" fontId="1" fillId="11" borderId="73" xfId="0" applyFont="1" applyFill="1" applyBorder="1" applyAlignment="1">
      <alignment horizontal="center"/>
    </xf>
    <xf numFmtId="0" fontId="1" fillId="12" borderId="1" xfId="0" applyFont="1" applyFill="1" applyBorder="1" applyAlignment="1">
      <alignment horizontal="center"/>
    </xf>
    <xf numFmtId="0" fontId="1" fillId="19" borderId="73" xfId="0" applyFont="1" applyFill="1" applyBorder="1" applyAlignment="1">
      <alignment horizontal="center"/>
    </xf>
    <xf numFmtId="0" fontId="1" fillId="20" borderId="73" xfId="0" applyFont="1" applyFill="1" applyBorder="1" applyAlignment="1">
      <alignment horizontal="center"/>
    </xf>
    <xf numFmtId="0" fontId="13" fillId="3" borderId="73" xfId="0" applyFont="1" applyFill="1" applyBorder="1" applyAlignment="1">
      <alignment horizontal="center"/>
    </xf>
    <xf numFmtId="0" fontId="1" fillId="21" borderId="73" xfId="0" applyFont="1" applyFill="1" applyBorder="1" applyAlignment="1">
      <alignment horizontal="center"/>
    </xf>
    <xf numFmtId="0" fontId="0" fillId="0" borderId="74" xfId="0" applyBorder="1" applyAlignment="1">
      <alignment horizontal="center"/>
    </xf>
    <xf numFmtId="0" fontId="11" fillId="17" borderId="74" xfId="2" applyBorder="1" applyAlignment="1">
      <alignment horizontal="center"/>
    </xf>
    <xf numFmtId="0" fontId="11" fillId="17" borderId="75" xfId="2" applyBorder="1" applyAlignment="1">
      <alignment horizontal="center"/>
    </xf>
    <xf numFmtId="0" fontId="12" fillId="18" borderId="76" xfId="3" applyBorder="1" applyAlignment="1">
      <alignment horizontal="center"/>
    </xf>
    <xf numFmtId="1" fontId="0" fillId="0" borderId="74" xfId="0" applyNumberFormat="1" applyBorder="1" applyAlignment="1">
      <alignment horizontal="center"/>
    </xf>
    <xf numFmtId="0" fontId="0" fillId="0" borderId="76" xfId="0" applyBorder="1" applyAlignment="1">
      <alignment horizontal="center"/>
    </xf>
    <xf numFmtId="1" fontId="11" fillId="17" borderId="74" xfId="2" applyNumberFormat="1" applyBorder="1" applyAlignment="1">
      <alignment horizontal="center"/>
    </xf>
    <xf numFmtId="0" fontId="11" fillId="17" borderId="76" xfId="2" applyBorder="1" applyAlignment="1">
      <alignment horizontal="center"/>
    </xf>
    <xf numFmtId="1" fontId="12" fillId="18" borderId="70" xfId="3" applyNumberFormat="1" applyBorder="1" applyAlignment="1">
      <alignment horizontal="center"/>
    </xf>
    <xf numFmtId="1" fontId="0" fillId="0" borderId="70" xfId="0" applyNumberFormat="1" applyBorder="1" applyAlignment="1">
      <alignment horizontal="center"/>
    </xf>
    <xf numFmtId="0" fontId="0" fillId="0" borderId="75" xfId="0" applyBorder="1" applyAlignment="1">
      <alignment horizontal="center"/>
    </xf>
    <xf numFmtId="165" fontId="0" fillId="0" borderId="16" xfId="0" applyNumberFormat="1" applyBorder="1" applyAlignment="1">
      <alignment horizontal="center"/>
    </xf>
    <xf numFmtId="1" fontId="0" fillId="3" borderId="0" xfId="0" applyNumberFormat="1" applyFill="1"/>
    <xf numFmtId="0" fontId="1" fillId="6" borderId="59" xfId="0" applyFont="1" applyFill="1" applyBorder="1" applyAlignment="1">
      <alignment horizontal="center"/>
    </xf>
    <xf numFmtId="0" fontId="1" fillId="10" borderId="2" xfId="0" applyFont="1" applyFill="1" applyBorder="1" applyAlignment="1">
      <alignment horizontal="center"/>
    </xf>
    <xf numFmtId="0" fontId="1" fillId="11" borderId="59" xfId="0" applyFont="1" applyFill="1" applyBorder="1" applyAlignment="1">
      <alignment horizontal="center"/>
    </xf>
    <xf numFmtId="0" fontId="1" fillId="12" borderId="2" xfId="0" applyFont="1" applyFill="1" applyBorder="1" applyAlignment="1">
      <alignment horizontal="center"/>
    </xf>
    <xf numFmtId="0" fontId="1" fillId="19" borderId="59" xfId="0" applyFont="1" applyFill="1" applyBorder="1" applyAlignment="1">
      <alignment horizontal="center"/>
    </xf>
    <xf numFmtId="0" fontId="1" fillId="20" borderId="59" xfId="0" applyFont="1" applyFill="1" applyBorder="1" applyAlignment="1">
      <alignment horizontal="center"/>
    </xf>
    <xf numFmtId="0" fontId="13" fillId="3" borderId="59" xfId="0" applyFont="1" applyFill="1" applyBorder="1" applyAlignment="1">
      <alignment horizontal="center"/>
    </xf>
    <xf numFmtId="0" fontId="1" fillId="21" borderId="59" xfId="0" applyFont="1" applyFill="1" applyBorder="1" applyAlignment="1">
      <alignment horizontal="center"/>
    </xf>
    <xf numFmtId="1" fontId="11" fillId="17" borderId="7" xfId="2" applyNumberFormat="1" applyBorder="1" applyAlignment="1">
      <alignment horizontal="center"/>
    </xf>
    <xf numFmtId="0" fontId="11" fillId="17" borderId="8" xfId="2" applyBorder="1" applyAlignment="1">
      <alignment horizontal="center"/>
    </xf>
    <xf numFmtId="1" fontId="12" fillId="18" borderId="7" xfId="3" applyNumberFormat="1" applyBorder="1" applyAlignment="1">
      <alignment horizontal="center"/>
    </xf>
    <xf numFmtId="0" fontId="12" fillId="18" borderId="2" xfId="3" applyBorder="1" applyAlignment="1">
      <alignment horizontal="center"/>
    </xf>
    <xf numFmtId="1" fontId="0" fillId="0" borderId="7" xfId="0" applyNumberFormat="1" applyBorder="1" applyAlignment="1">
      <alignment horizontal="center"/>
    </xf>
    <xf numFmtId="0" fontId="11" fillId="17" borderId="2" xfId="2" applyBorder="1" applyAlignment="1">
      <alignment horizontal="center"/>
    </xf>
    <xf numFmtId="0" fontId="1" fillId="6" borderId="65" xfId="0" applyFont="1" applyFill="1" applyBorder="1" applyAlignment="1">
      <alignment horizontal="center"/>
    </xf>
    <xf numFmtId="0" fontId="1" fillId="10" borderId="20" xfId="0" applyFont="1" applyFill="1" applyBorder="1" applyAlignment="1">
      <alignment horizontal="center"/>
    </xf>
    <xf numFmtId="0" fontId="1" fillId="11" borderId="65" xfId="0" applyFont="1" applyFill="1" applyBorder="1" applyAlignment="1">
      <alignment horizontal="center"/>
    </xf>
    <xf numFmtId="0" fontId="1" fillId="19" borderId="65" xfId="0" applyFont="1" applyFill="1" applyBorder="1" applyAlignment="1">
      <alignment horizontal="center"/>
    </xf>
    <xf numFmtId="0" fontId="1" fillId="20" borderId="65" xfId="0" applyFont="1" applyFill="1" applyBorder="1" applyAlignment="1">
      <alignment horizontal="center"/>
    </xf>
    <xf numFmtId="0" fontId="13" fillId="3" borderId="65" xfId="0" applyFont="1" applyFill="1" applyBorder="1" applyAlignment="1">
      <alignment horizontal="center"/>
    </xf>
    <xf numFmtId="0" fontId="1" fillId="21" borderId="65" xfId="0" applyFont="1" applyFill="1" applyBorder="1" applyAlignment="1">
      <alignment horizontal="center"/>
    </xf>
    <xf numFmtId="0" fontId="1" fillId="22" borderId="57" xfId="0" applyFont="1" applyFill="1" applyBorder="1" applyAlignment="1">
      <alignment horizontal="center"/>
    </xf>
    <xf numFmtId="0" fontId="1" fillId="23" borderId="10" xfId="0" applyFont="1" applyFill="1" applyBorder="1" applyAlignment="1">
      <alignment horizontal="center"/>
    </xf>
    <xf numFmtId="0" fontId="1" fillId="24" borderId="57" xfId="0" applyFont="1" applyFill="1" applyBorder="1" applyAlignment="1">
      <alignment horizontal="center"/>
    </xf>
    <xf numFmtId="0" fontId="1" fillId="25" borderId="10" xfId="0" applyFont="1" applyFill="1" applyBorder="1" applyAlignment="1">
      <alignment horizontal="center"/>
    </xf>
    <xf numFmtId="0" fontId="1" fillId="26" borderId="57" xfId="0" applyFont="1" applyFill="1" applyBorder="1" applyAlignment="1">
      <alignment horizontal="center"/>
    </xf>
    <xf numFmtId="0" fontId="1" fillId="27" borderId="57" xfId="0" applyFont="1" applyFill="1" applyBorder="1" applyAlignment="1">
      <alignment horizontal="center"/>
    </xf>
    <xf numFmtId="0" fontId="13" fillId="28" borderId="57" xfId="0" applyFont="1" applyFill="1" applyBorder="1" applyAlignment="1">
      <alignment horizontal="center"/>
    </xf>
    <xf numFmtId="0" fontId="1" fillId="29" borderId="57" xfId="0" applyFont="1" applyFill="1" applyBorder="1" applyAlignment="1">
      <alignment horizontal="center"/>
    </xf>
    <xf numFmtId="0" fontId="0" fillId="22" borderId="58" xfId="0" applyFill="1" applyBorder="1" applyAlignment="1">
      <alignment horizontal="center"/>
    </xf>
    <xf numFmtId="0" fontId="0" fillId="23" borderId="0" xfId="0" applyFill="1" applyAlignment="1">
      <alignment horizontal="center"/>
    </xf>
    <xf numFmtId="0" fontId="0" fillId="24" borderId="58" xfId="0" applyFill="1" applyBorder="1" applyAlignment="1">
      <alignment horizontal="center"/>
    </xf>
    <xf numFmtId="0" fontId="0" fillId="25" borderId="0" xfId="0" applyFill="1" applyAlignment="1">
      <alignment horizontal="center"/>
    </xf>
    <xf numFmtId="0" fontId="0" fillId="26" borderId="58" xfId="0" applyFill="1" applyBorder="1" applyAlignment="1">
      <alignment horizontal="center"/>
    </xf>
    <xf numFmtId="0" fontId="0" fillId="27" borderId="58" xfId="0" applyFill="1" applyBorder="1" applyAlignment="1">
      <alignment horizontal="center"/>
    </xf>
    <xf numFmtId="0" fontId="2" fillId="28" borderId="58" xfId="0" applyFont="1" applyFill="1" applyBorder="1" applyAlignment="1">
      <alignment horizontal="center"/>
    </xf>
    <xf numFmtId="0" fontId="0" fillId="29" borderId="58" xfId="0" applyFill="1" applyBorder="1" applyAlignment="1">
      <alignment horizontal="center"/>
    </xf>
    <xf numFmtId="0" fontId="0" fillId="3" borderId="0" xfId="0" applyFill="1"/>
    <xf numFmtId="0" fontId="1" fillId="22" borderId="58" xfId="0" applyFont="1" applyFill="1" applyBorder="1" applyAlignment="1">
      <alignment horizontal="center"/>
    </xf>
    <xf numFmtId="0" fontId="1" fillId="23" borderId="0" xfId="0" applyFont="1" applyFill="1" applyAlignment="1">
      <alignment horizontal="center"/>
    </xf>
    <xf numFmtId="0" fontId="1" fillId="24" borderId="58" xfId="0" applyFont="1" applyFill="1" applyBorder="1" applyAlignment="1">
      <alignment horizontal="center"/>
    </xf>
    <xf numFmtId="0" fontId="1" fillId="25" borderId="0" xfId="0" applyFont="1" applyFill="1" applyAlignment="1">
      <alignment horizontal="center"/>
    </xf>
    <xf numFmtId="0" fontId="1" fillId="26" borderId="58" xfId="0" applyFont="1" applyFill="1" applyBorder="1" applyAlignment="1">
      <alignment horizontal="center"/>
    </xf>
    <xf numFmtId="0" fontId="1" fillId="27" borderId="58" xfId="0" applyFont="1" applyFill="1" applyBorder="1" applyAlignment="1">
      <alignment horizontal="center"/>
    </xf>
    <xf numFmtId="0" fontId="13" fillId="28" borderId="58" xfId="0" applyFont="1" applyFill="1" applyBorder="1" applyAlignment="1">
      <alignment horizontal="center"/>
    </xf>
    <xf numFmtId="0" fontId="1" fillId="29" borderId="58"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1" fillId="22" borderId="73" xfId="0" applyFont="1" applyFill="1" applyBorder="1" applyAlignment="1">
      <alignment horizontal="center"/>
    </xf>
    <xf numFmtId="0" fontId="1" fillId="23" borderId="1" xfId="0" applyFont="1" applyFill="1" applyBorder="1" applyAlignment="1">
      <alignment horizontal="center"/>
    </xf>
    <xf numFmtId="0" fontId="1" fillId="24" borderId="73" xfId="0" applyFont="1" applyFill="1" applyBorder="1" applyAlignment="1">
      <alignment horizontal="center"/>
    </xf>
    <xf numFmtId="0" fontId="1" fillId="25" borderId="1" xfId="0" applyFont="1" applyFill="1" applyBorder="1" applyAlignment="1">
      <alignment horizontal="center"/>
    </xf>
    <xf numFmtId="0" fontId="1" fillId="26" borderId="73" xfId="0" applyFont="1" applyFill="1" applyBorder="1" applyAlignment="1">
      <alignment horizontal="center"/>
    </xf>
    <xf numFmtId="0" fontId="1" fillId="27" borderId="73" xfId="0" applyFont="1" applyFill="1" applyBorder="1" applyAlignment="1">
      <alignment horizontal="center"/>
    </xf>
    <xf numFmtId="0" fontId="13" fillId="28" borderId="73" xfId="0" applyFont="1" applyFill="1" applyBorder="1" applyAlignment="1">
      <alignment horizontal="center"/>
    </xf>
    <xf numFmtId="0" fontId="1" fillId="29" borderId="73" xfId="0" applyFont="1" applyFill="1" applyBorder="1" applyAlignment="1">
      <alignment horizontal="center"/>
    </xf>
    <xf numFmtId="0" fontId="0" fillId="0" borderId="77" xfId="0" applyBorder="1" applyAlignment="1">
      <alignment horizontal="center"/>
    </xf>
    <xf numFmtId="1" fontId="11" fillId="17" borderId="77" xfId="2" applyNumberFormat="1" applyBorder="1" applyAlignment="1">
      <alignment horizontal="center"/>
    </xf>
    <xf numFmtId="0" fontId="11" fillId="17" borderId="78" xfId="2" applyBorder="1" applyAlignment="1">
      <alignment horizontal="center"/>
    </xf>
    <xf numFmtId="1" fontId="12" fillId="18" borderId="77" xfId="3" applyNumberFormat="1" applyBorder="1" applyAlignment="1">
      <alignment horizontal="center"/>
    </xf>
    <xf numFmtId="0" fontId="12" fillId="18" borderId="79" xfId="3" applyBorder="1" applyAlignment="1">
      <alignment horizontal="center"/>
    </xf>
    <xf numFmtId="1" fontId="0" fillId="0" borderId="77" xfId="0" applyNumberFormat="1" applyBorder="1" applyAlignment="1">
      <alignment horizontal="center"/>
    </xf>
    <xf numFmtId="0" fontId="0" fillId="0" borderId="78" xfId="0" applyBorder="1" applyAlignment="1">
      <alignment horizontal="center"/>
    </xf>
    <xf numFmtId="0" fontId="11" fillId="17" borderId="79" xfId="2" applyBorder="1" applyAlignment="1">
      <alignment horizontal="center"/>
    </xf>
    <xf numFmtId="1" fontId="0" fillId="0" borderId="5" xfId="0" applyNumberFormat="1" applyBorder="1"/>
    <xf numFmtId="1" fontId="0" fillId="0" borderId="6" xfId="0" applyNumberFormat="1" applyBorder="1"/>
    <xf numFmtId="0" fontId="1" fillId="22" borderId="59" xfId="0" applyFont="1" applyFill="1" applyBorder="1" applyAlignment="1">
      <alignment horizontal="center"/>
    </xf>
    <xf numFmtId="0" fontId="1" fillId="23" borderId="2" xfId="0" applyFont="1" applyFill="1" applyBorder="1" applyAlignment="1">
      <alignment horizontal="center"/>
    </xf>
    <xf numFmtId="0" fontId="1" fillId="24" borderId="59" xfId="0" applyFont="1" applyFill="1" applyBorder="1" applyAlignment="1">
      <alignment horizontal="center"/>
    </xf>
    <xf numFmtId="0" fontId="1" fillId="25" borderId="2" xfId="0" applyFont="1" applyFill="1" applyBorder="1" applyAlignment="1">
      <alignment horizontal="center"/>
    </xf>
    <xf numFmtId="0" fontId="1" fillId="26" borderId="59" xfId="0" applyFont="1" applyFill="1" applyBorder="1" applyAlignment="1">
      <alignment horizontal="center"/>
    </xf>
    <xf numFmtId="0" fontId="1" fillId="27" borderId="59" xfId="0" applyFont="1" applyFill="1" applyBorder="1" applyAlignment="1">
      <alignment horizontal="center"/>
    </xf>
    <xf numFmtId="0" fontId="13" fillId="28" borderId="59" xfId="0" applyFont="1" applyFill="1" applyBorder="1" applyAlignment="1">
      <alignment horizontal="center"/>
    </xf>
    <xf numFmtId="0" fontId="1" fillId="29" borderId="59" xfId="0" applyFont="1" applyFill="1" applyBorder="1" applyAlignment="1">
      <alignment horizontal="center"/>
    </xf>
    <xf numFmtId="1" fontId="0" fillId="0" borderId="7" xfId="0" applyNumberFormat="1" applyBorder="1"/>
    <xf numFmtId="1" fontId="0" fillId="0" borderId="2" xfId="0" applyNumberFormat="1" applyBorder="1"/>
    <xf numFmtId="1" fontId="0" fillId="0" borderId="8" xfId="0" applyNumberFormat="1" applyBorder="1"/>
    <xf numFmtId="0" fontId="0" fillId="0" borderId="0" xfId="0" applyAlignment="1">
      <alignment horizontal="right"/>
    </xf>
    <xf numFmtId="0" fontId="1" fillId="22" borderId="65" xfId="0" applyFont="1" applyFill="1" applyBorder="1" applyAlignment="1">
      <alignment horizontal="center"/>
    </xf>
    <xf numFmtId="0" fontId="1" fillId="23" borderId="20" xfId="0" applyFont="1" applyFill="1" applyBorder="1" applyAlignment="1">
      <alignment horizontal="center"/>
    </xf>
    <xf numFmtId="0" fontId="1" fillId="24" borderId="65" xfId="0" applyFont="1" applyFill="1" applyBorder="1" applyAlignment="1">
      <alignment horizontal="center"/>
    </xf>
    <xf numFmtId="0" fontId="1" fillId="25" borderId="20" xfId="0" applyFont="1" applyFill="1" applyBorder="1" applyAlignment="1">
      <alignment horizontal="center"/>
    </xf>
    <xf numFmtId="0" fontId="1" fillId="26" borderId="65" xfId="0" applyFont="1" applyFill="1" applyBorder="1" applyAlignment="1">
      <alignment horizontal="center"/>
    </xf>
    <xf numFmtId="0" fontId="1" fillId="27" borderId="65" xfId="0" applyFont="1" applyFill="1" applyBorder="1" applyAlignment="1">
      <alignment horizontal="center"/>
    </xf>
    <xf numFmtId="0" fontId="13" fillId="28" borderId="65" xfId="0" applyFont="1" applyFill="1" applyBorder="1" applyAlignment="1">
      <alignment horizontal="center"/>
    </xf>
    <xf numFmtId="0" fontId="1" fillId="29" borderId="65" xfId="0" applyFont="1" applyFill="1" applyBorder="1" applyAlignment="1">
      <alignment horizontal="center"/>
    </xf>
    <xf numFmtId="0" fontId="12" fillId="18" borderId="4" xfId="3" applyBorder="1" applyAlignment="1">
      <alignment horizontal="center"/>
    </xf>
    <xf numFmtId="0" fontId="12" fillId="18" borderId="70" xfId="3" applyBorder="1" applyAlignment="1">
      <alignment horizontal="center"/>
    </xf>
    <xf numFmtId="0" fontId="12" fillId="18" borderId="71" xfId="3" applyBorder="1" applyAlignment="1">
      <alignment horizontal="center"/>
    </xf>
    <xf numFmtId="0" fontId="12" fillId="18" borderId="6" xfId="3" applyBorder="1" applyAlignment="1">
      <alignment horizontal="center"/>
    </xf>
    <xf numFmtId="0" fontId="12" fillId="18" borderId="5" xfId="3" applyBorder="1" applyAlignment="1">
      <alignment horizontal="center"/>
    </xf>
    <xf numFmtId="0" fontId="12" fillId="18" borderId="74" xfId="3" applyBorder="1" applyAlignment="1">
      <alignment horizontal="center"/>
    </xf>
    <xf numFmtId="0" fontId="12" fillId="18" borderId="75" xfId="3" applyBorder="1" applyAlignment="1">
      <alignment horizontal="center"/>
    </xf>
    <xf numFmtId="0" fontId="12" fillId="18" borderId="78" xfId="3" applyBorder="1" applyAlignment="1">
      <alignment horizontal="center"/>
    </xf>
    <xf numFmtId="0" fontId="12" fillId="18" borderId="8" xfId="3" applyBorder="1" applyAlignment="1">
      <alignment horizontal="center"/>
    </xf>
    <xf numFmtId="0" fontId="0" fillId="0" borderId="55" xfId="0" applyBorder="1" applyAlignment="1">
      <alignment horizontal="center"/>
    </xf>
    <xf numFmtId="0" fontId="0" fillId="3" borderId="64" xfId="0" applyFill="1" applyBorder="1" applyAlignment="1">
      <alignment horizontal="center"/>
    </xf>
    <xf numFmtId="0" fontId="0" fillId="30" borderId="13" xfId="0" applyFill="1" applyBorder="1" applyAlignment="1">
      <alignment horizontal="center"/>
    </xf>
    <xf numFmtId="0" fontId="0" fillId="3" borderId="80" xfId="0" applyFill="1" applyBorder="1" applyAlignment="1">
      <alignment horizontal="center"/>
    </xf>
    <xf numFmtId="0" fontId="0" fillId="30" borderId="16" xfId="0" applyFill="1" applyBorder="1" applyAlignment="1">
      <alignment horizontal="center"/>
    </xf>
    <xf numFmtId="0" fontId="0" fillId="3" borderId="16" xfId="0" applyFill="1" applyBorder="1" applyAlignment="1">
      <alignment horizontal="center"/>
    </xf>
    <xf numFmtId="0" fontId="0" fillId="3" borderId="67" xfId="0" applyFill="1" applyBorder="1" applyAlignment="1">
      <alignment horizontal="center"/>
    </xf>
    <xf numFmtId="0" fontId="0" fillId="30" borderId="15" xfId="0" applyFill="1" applyBorder="1" applyAlignment="1">
      <alignment horizontal="center"/>
    </xf>
    <xf numFmtId="0" fontId="0" fillId="3" borderId="15" xfId="0" applyFill="1" applyBorder="1" applyAlignment="1">
      <alignment horizontal="center"/>
    </xf>
    <xf numFmtId="0" fontId="0" fillId="30" borderId="1" xfId="0" applyFill="1" applyBorder="1" applyAlignment="1">
      <alignment horizontal="center"/>
    </xf>
    <xf numFmtId="0" fontId="0" fillId="5" borderId="15" xfId="0" applyFill="1" applyBorder="1" applyAlignment="1">
      <alignment horizontal="center"/>
    </xf>
    <xf numFmtId="0" fontId="0" fillId="30" borderId="0" xfId="0" applyFill="1" applyAlignment="1">
      <alignment horizontal="center"/>
    </xf>
    <xf numFmtId="0" fontId="0" fillId="5" borderId="13" xfId="0" applyFill="1" applyBorder="1" applyAlignment="1">
      <alignment horizontal="center"/>
    </xf>
    <xf numFmtId="0" fontId="0" fillId="30" borderId="2" xfId="0" applyFill="1" applyBorder="1" applyAlignment="1">
      <alignment horizontal="center"/>
    </xf>
    <xf numFmtId="0" fontId="0" fillId="5" borderId="16" xfId="0" applyFill="1" applyBorder="1" applyAlignment="1">
      <alignment horizontal="center"/>
    </xf>
    <xf numFmtId="0" fontId="0" fillId="3" borderId="66" xfId="0" applyFill="1" applyBorder="1" applyAlignment="1">
      <alignment horizontal="center"/>
    </xf>
    <xf numFmtId="0" fontId="0" fillId="30" borderId="20" xfId="0" applyFill="1" applyBorder="1" applyAlignment="1">
      <alignment horizontal="center"/>
    </xf>
    <xf numFmtId="0" fontId="0" fillId="30" borderId="18" xfId="0" applyFill="1" applyBorder="1" applyAlignment="1">
      <alignment horizontal="center"/>
    </xf>
    <xf numFmtId="0" fontId="0" fillId="5" borderId="18" xfId="0" applyFill="1" applyBorder="1" applyAlignment="1">
      <alignment horizontal="center"/>
    </xf>
    <xf numFmtId="0" fontId="0" fillId="3" borderId="18" xfId="0" applyFill="1" applyBorder="1" applyAlignment="1">
      <alignment horizontal="center"/>
    </xf>
    <xf numFmtId="0" fontId="0" fillId="6" borderId="38" xfId="0" applyFill="1" applyBorder="1" applyAlignment="1">
      <alignment horizontal="center"/>
    </xf>
    <xf numFmtId="0" fontId="0" fillId="6" borderId="1" xfId="0" applyFill="1" applyBorder="1" applyAlignment="1">
      <alignment horizontal="center"/>
    </xf>
    <xf numFmtId="0" fontId="0" fillId="6" borderId="39" xfId="0" applyFill="1" applyBorder="1" applyAlignment="1">
      <alignment horizontal="center"/>
    </xf>
    <xf numFmtId="0" fontId="11" fillId="4" borderId="6" xfId="2" applyFill="1" applyBorder="1" applyAlignment="1">
      <alignment horizontal="center"/>
    </xf>
    <xf numFmtId="0" fontId="12" fillId="4" borderId="6" xfId="3" applyFill="1" applyBorder="1" applyAlignment="1">
      <alignment horizontal="center"/>
    </xf>
    <xf numFmtId="0" fontId="12" fillId="4" borderId="0" xfId="3" applyFill="1" applyBorder="1" applyAlignment="1">
      <alignment horizontal="center"/>
    </xf>
    <xf numFmtId="0" fontId="11" fillId="0" borderId="0" xfId="2" applyFill="1" applyBorder="1" applyAlignment="1">
      <alignment horizontal="center"/>
    </xf>
    <xf numFmtId="1" fontId="12" fillId="0" borderId="0" xfId="3" applyNumberFormat="1" applyFill="1" applyBorder="1"/>
    <xf numFmtId="0" fontId="12" fillId="0" borderId="0" xfId="3" applyFill="1" applyBorder="1" applyAlignment="1">
      <alignment horizontal="center"/>
    </xf>
    <xf numFmtId="164" fontId="0" fillId="4" borderId="0" xfId="0" applyNumberFormat="1" applyFill="1"/>
    <xf numFmtId="0" fontId="1" fillId="0" borderId="0" xfId="0" applyFont="1" applyFill="1" applyBorder="1" applyAlignment="1"/>
    <xf numFmtId="0" fontId="1" fillId="0" borderId="0" xfId="0" applyFont="1" applyBorder="1" applyAlignment="1"/>
    <xf numFmtId="10" fontId="0" fillId="4" borderId="49" xfId="0" applyNumberFormat="1" applyFill="1" applyBorder="1" applyAlignment="1">
      <alignment horizontal="center"/>
    </xf>
    <xf numFmtId="0" fontId="1" fillId="3" borderId="57" xfId="0" applyFont="1" applyFill="1" applyBorder="1" applyAlignment="1">
      <alignment horizontal="center"/>
    </xf>
    <xf numFmtId="0" fontId="0" fillId="4" borderId="26" xfId="0" applyFill="1" applyBorder="1" applyAlignment="1">
      <alignment horizontal="right" vertical="center"/>
    </xf>
    <xf numFmtId="0" fontId="0" fillId="4" borderId="0" xfId="0" applyFill="1" applyAlignment="1">
      <alignment horizontal="right" vertical="center"/>
    </xf>
    <xf numFmtId="0" fontId="0" fillId="6" borderId="6" xfId="0" applyFill="1" applyBorder="1" applyAlignment="1">
      <alignment horizontal="center"/>
    </xf>
    <xf numFmtId="0" fontId="0" fillId="6" borderId="15" xfId="0" applyFill="1" applyBorder="1" applyAlignment="1">
      <alignment horizontal="center"/>
    </xf>
    <xf numFmtId="0" fontId="0" fillId="3" borderId="58" xfId="0" applyFill="1" applyBorder="1" applyAlignment="1">
      <alignment horizontal="center"/>
    </xf>
    <xf numFmtId="0" fontId="3" fillId="4" borderId="67" xfId="0" applyFont="1" applyFill="1" applyBorder="1" applyAlignment="1">
      <alignment horizontal="center" vertical="center"/>
    </xf>
    <xf numFmtId="0" fontId="3" fillId="4" borderId="3" xfId="0" applyFont="1" applyFill="1" applyBorder="1" applyAlignment="1">
      <alignment horizontal="center" vertical="center"/>
    </xf>
    <xf numFmtId="0" fontId="0" fillId="31" borderId="7" xfId="0" applyFill="1" applyBorder="1" applyAlignment="1">
      <alignment horizontal="center"/>
    </xf>
    <xf numFmtId="0" fontId="0" fillId="31" borderId="8" xfId="0" applyFill="1" applyBorder="1" applyAlignment="1">
      <alignment horizontal="center"/>
    </xf>
    <xf numFmtId="0" fontId="0" fillId="31" borderId="0" xfId="0" applyFill="1" applyAlignment="1">
      <alignment horizontal="center"/>
    </xf>
    <xf numFmtId="0" fontId="0" fillId="6" borderId="16" xfId="0" applyFill="1" applyBorder="1" applyAlignment="1">
      <alignment horizontal="center"/>
    </xf>
    <xf numFmtId="0" fontId="0" fillId="31" borderId="5" xfId="0" applyFill="1" applyBorder="1" applyAlignment="1">
      <alignment horizontal="center"/>
    </xf>
    <xf numFmtId="1" fontId="0" fillId="31" borderId="3" xfId="0" applyNumberFormat="1" applyFill="1" applyBorder="1" applyAlignment="1">
      <alignment horizontal="center"/>
    </xf>
    <xf numFmtId="0" fontId="0" fillId="31" borderId="1" xfId="0" applyFill="1" applyBorder="1" applyAlignment="1">
      <alignment horizontal="center"/>
    </xf>
    <xf numFmtId="0" fontId="0" fillId="6" borderId="4" xfId="0" applyFill="1" applyBorder="1" applyAlignment="1">
      <alignment horizontal="center"/>
    </xf>
    <xf numFmtId="1" fontId="0" fillId="31" borderId="1" xfId="0" applyNumberFormat="1" applyFill="1" applyBorder="1" applyAlignment="1">
      <alignment horizontal="center"/>
    </xf>
    <xf numFmtId="0" fontId="0" fillId="6" borderId="12" xfId="0" applyFill="1" applyBorder="1" applyAlignment="1">
      <alignment vertical="center"/>
    </xf>
    <xf numFmtId="0" fontId="1" fillId="3" borderId="58" xfId="0" applyFont="1" applyFill="1" applyBorder="1" applyAlignment="1">
      <alignment horizontal="center"/>
    </xf>
    <xf numFmtId="0" fontId="0" fillId="4" borderId="70" xfId="0" applyFill="1" applyBorder="1" applyAlignment="1">
      <alignment horizontal="center"/>
    </xf>
    <xf numFmtId="1" fontId="0" fillId="31" borderId="5" xfId="0" applyNumberFormat="1" applyFill="1" applyBorder="1" applyAlignment="1">
      <alignment horizontal="center"/>
    </xf>
    <xf numFmtId="165" fontId="0" fillId="6" borderId="6" xfId="0" applyNumberFormat="1" applyFill="1" applyBorder="1" applyAlignment="1">
      <alignment horizontal="center"/>
    </xf>
    <xf numFmtId="0" fontId="0" fillId="6" borderId="14" xfId="0" applyFill="1" applyBorder="1" applyAlignment="1">
      <alignment vertical="center"/>
    </xf>
    <xf numFmtId="1" fontId="0" fillId="31" borderId="0" xfId="0" applyNumberFormat="1" applyFill="1" applyAlignment="1">
      <alignment horizontal="center"/>
    </xf>
    <xf numFmtId="165" fontId="0" fillId="6" borderId="0" xfId="0" applyNumberFormat="1" applyFill="1" applyAlignment="1">
      <alignment horizontal="center"/>
    </xf>
    <xf numFmtId="165" fontId="0" fillId="6" borderId="81" xfId="0" applyNumberFormat="1" applyFill="1" applyBorder="1" applyAlignment="1">
      <alignment horizontal="center"/>
    </xf>
    <xf numFmtId="0" fontId="1" fillId="3" borderId="73" xfId="0" applyFont="1" applyFill="1" applyBorder="1" applyAlignment="1">
      <alignment horizontal="center"/>
    </xf>
    <xf numFmtId="0" fontId="0" fillId="4" borderId="74" xfId="0" applyFill="1" applyBorder="1" applyAlignment="1">
      <alignment horizontal="center"/>
    </xf>
    <xf numFmtId="0" fontId="0" fillId="6" borderId="14" xfId="0" applyFill="1" applyBorder="1"/>
    <xf numFmtId="0" fontId="1" fillId="3" borderId="59" xfId="0" applyFont="1" applyFill="1" applyBorder="1" applyAlignment="1">
      <alignment horizontal="center"/>
    </xf>
    <xf numFmtId="1" fontId="0" fillId="31" borderId="7" xfId="0" applyNumberFormat="1" applyFill="1" applyBorder="1" applyAlignment="1">
      <alignment horizontal="center"/>
    </xf>
    <xf numFmtId="0" fontId="0" fillId="31" borderId="2" xfId="0" applyFill="1" applyBorder="1" applyAlignment="1">
      <alignment horizontal="center"/>
    </xf>
    <xf numFmtId="165" fontId="0" fillId="6" borderId="8" xfId="0" applyNumberFormat="1" applyFill="1" applyBorder="1" applyAlignment="1">
      <alignment horizontal="center"/>
    </xf>
    <xf numFmtId="1" fontId="0" fillId="31" borderId="2" xfId="0" applyNumberFormat="1" applyFill="1" applyBorder="1" applyAlignment="1">
      <alignment horizontal="center"/>
    </xf>
    <xf numFmtId="165" fontId="0" fillId="6" borderId="17" xfId="0" applyNumberFormat="1" applyFill="1" applyBorder="1" applyAlignment="1">
      <alignment horizontal="center"/>
    </xf>
    <xf numFmtId="0" fontId="1" fillId="0" borderId="15" xfId="0" applyFont="1" applyBorder="1" applyAlignment="1">
      <alignment horizontal="center"/>
    </xf>
    <xf numFmtId="0" fontId="1" fillId="3" borderId="65" xfId="0" applyFont="1" applyFill="1" applyBorder="1" applyAlignment="1">
      <alignment horizontal="center"/>
    </xf>
    <xf numFmtId="0" fontId="1" fillId="28" borderId="57" xfId="0" applyFont="1" applyFill="1" applyBorder="1" applyAlignment="1">
      <alignment horizontal="center"/>
    </xf>
    <xf numFmtId="0" fontId="0" fillId="28" borderId="58" xfId="0" applyFill="1" applyBorder="1" applyAlignment="1">
      <alignment horizontal="center"/>
    </xf>
    <xf numFmtId="0" fontId="0" fillId="0" borderId="7" xfId="0" applyBorder="1"/>
    <xf numFmtId="0" fontId="0" fillId="0" borderId="8" xfId="0" applyBorder="1"/>
    <xf numFmtId="0" fontId="1" fillId="28" borderId="58" xfId="0" applyFont="1" applyFill="1" applyBorder="1" applyAlignment="1">
      <alignment horizontal="center"/>
    </xf>
    <xf numFmtId="0" fontId="1" fillId="28" borderId="73" xfId="0" applyFont="1" applyFill="1" applyBorder="1" applyAlignment="1">
      <alignment horizontal="center"/>
    </xf>
    <xf numFmtId="0" fontId="0" fillId="6" borderId="12" xfId="0" applyFill="1" applyBorder="1"/>
    <xf numFmtId="0" fontId="1" fillId="28" borderId="59" xfId="0" applyFont="1" applyFill="1" applyBorder="1" applyAlignment="1">
      <alignment horizontal="center"/>
    </xf>
    <xf numFmtId="0" fontId="0" fillId="0" borderId="0" xfId="0" applyAlignment="1">
      <alignment vertical="top"/>
    </xf>
    <xf numFmtId="0" fontId="1" fillId="28" borderId="65" xfId="0" applyFont="1" applyFill="1" applyBorder="1" applyAlignment="1">
      <alignment horizontal="center"/>
    </xf>
    <xf numFmtId="1" fontId="0" fillId="0" borderId="0" xfId="0" applyNumberFormat="1" applyAlignment="1">
      <alignment horizontal="center"/>
    </xf>
    <xf numFmtId="0" fontId="14" fillId="0" borderId="0" xfId="0" applyFont="1"/>
    <xf numFmtId="2" fontId="0" fillId="0" borderId="0" xfId="0" applyNumberFormat="1"/>
    <xf numFmtId="1" fontId="0" fillId="31" borderId="19" xfId="0" applyNumberFormat="1" applyFill="1" applyBorder="1" applyAlignment="1">
      <alignment horizontal="center"/>
    </xf>
    <xf numFmtId="0" fontId="0" fillId="31" borderId="20" xfId="0" applyFill="1" applyBorder="1" applyAlignment="1">
      <alignment horizontal="center"/>
    </xf>
    <xf numFmtId="165" fontId="0" fillId="6" borderId="40" xfId="0" applyNumberFormat="1" applyFill="1" applyBorder="1" applyAlignment="1">
      <alignment horizontal="center"/>
    </xf>
    <xf numFmtId="1" fontId="0" fillId="31" borderId="20" xfId="0" applyNumberFormat="1" applyFill="1" applyBorder="1" applyAlignment="1">
      <alignment horizontal="center"/>
    </xf>
    <xf numFmtId="165" fontId="0" fillId="6" borderId="21" xfId="0" applyNumberFormat="1" applyFill="1" applyBorder="1" applyAlignment="1">
      <alignment horizontal="center"/>
    </xf>
    <xf numFmtId="0" fontId="6" fillId="0" borderId="0" xfId="0" applyFont="1" applyAlignment="1">
      <alignment horizontal="left" vertical="top" wrapText="1"/>
    </xf>
    <xf numFmtId="2" fontId="0" fillId="0" borderId="0" xfId="0" applyNumberFormat="1" applyAlignment="1">
      <alignment horizontal="left" indent="12"/>
    </xf>
    <xf numFmtId="1" fontId="0" fillId="4" borderId="3" xfId="0" applyNumberFormat="1" applyFill="1" applyBorder="1" applyAlignment="1">
      <alignment horizontal="center"/>
    </xf>
    <xf numFmtId="1" fontId="0" fillId="4" borderId="7" xfId="0" applyNumberFormat="1" applyFill="1" applyBorder="1" applyAlignment="1">
      <alignment horizontal="center"/>
    </xf>
    <xf numFmtId="1" fontId="0" fillId="4" borderId="19" xfId="0" applyNumberFormat="1" applyFill="1" applyBorder="1" applyAlignment="1">
      <alignment horizontal="center"/>
    </xf>
    <xf numFmtId="1" fontId="0" fillId="4" borderId="1" xfId="0" applyNumberFormat="1" applyFill="1" applyBorder="1" applyAlignment="1">
      <alignment horizontal="center"/>
    </xf>
    <xf numFmtId="1" fontId="0" fillId="4" borderId="2" xfId="0" applyNumberFormat="1" applyFill="1" applyBorder="1" applyAlignment="1">
      <alignment horizontal="center"/>
    </xf>
    <xf numFmtId="1" fontId="0" fillId="4" borderId="20" xfId="0" applyNumberFormat="1" applyFill="1" applyBorder="1" applyAlignment="1">
      <alignment horizontal="center"/>
    </xf>
    <xf numFmtId="1" fontId="0" fillId="4" borderId="28" xfId="0" applyNumberFormat="1" applyFill="1" applyBorder="1" applyAlignment="1">
      <alignment horizontal="center"/>
    </xf>
    <xf numFmtId="1" fontId="0" fillId="4" borderId="29" xfId="0" applyNumberFormat="1" applyFill="1" applyBorder="1" applyAlignment="1">
      <alignment horizontal="center"/>
    </xf>
    <xf numFmtId="1" fontId="0" fillId="4" borderId="27" xfId="0" applyNumberFormat="1" applyFill="1" applyBorder="1" applyAlignment="1">
      <alignment horizontal="center"/>
    </xf>
    <xf numFmtId="0" fontId="5" fillId="0" borderId="0" xfId="0" applyFont="1" applyAlignment="1">
      <alignment vertical="center"/>
    </xf>
    <xf numFmtId="164" fontId="0" fillId="0" borderId="5" xfId="0" applyNumberFormat="1" applyBorder="1"/>
    <xf numFmtId="164" fontId="0" fillId="0" borderId="6" xfId="0" applyNumberFormat="1" applyBorder="1" applyAlignment="1">
      <alignment horizontal="center"/>
    </xf>
    <xf numFmtId="164" fontId="0" fillId="0" borderId="6" xfId="0" applyNumberFormat="1" applyBorder="1"/>
    <xf numFmtId="165" fontId="0" fillId="0" borderId="0" xfId="0" applyNumberFormat="1" applyAlignment="1">
      <alignment horizontal="center"/>
    </xf>
    <xf numFmtId="1" fontId="0" fillId="0" borderId="6" xfId="0" applyNumberFormat="1" applyBorder="1" applyAlignment="1">
      <alignment horizontal="center"/>
    </xf>
    <xf numFmtId="164" fontId="0" fillId="0" borderId="7" xfId="0" applyNumberFormat="1" applyBorder="1"/>
    <xf numFmtId="164" fontId="0" fillId="0" borderId="8" xfId="0" applyNumberFormat="1" applyBorder="1"/>
    <xf numFmtId="164" fontId="0" fillId="0" borderId="3" xfId="0" applyNumberFormat="1" applyBorder="1"/>
    <xf numFmtId="164" fontId="0" fillId="0" borderId="1" xfId="0" applyNumberFormat="1" applyBorder="1"/>
    <xf numFmtId="164" fontId="0" fillId="0" borderId="4" xfId="0" applyNumberFormat="1" applyBorder="1"/>
    <xf numFmtId="0" fontId="0" fillId="0" borderId="0" xfId="0" applyAlignment="1">
      <alignment vertical="center" wrapText="1"/>
    </xf>
    <xf numFmtId="0" fontId="1" fillId="0" borderId="10" xfId="0" applyFont="1" applyBorder="1" applyAlignment="1">
      <alignment horizontal="center"/>
    </xf>
    <xf numFmtId="0" fontId="1" fillId="0" borderId="11" xfId="0" applyFont="1" applyBorder="1" applyAlignment="1">
      <alignment horizontal="center"/>
    </xf>
    <xf numFmtId="0" fontId="0" fillId="0" borderId="67" xfId="0" applyBorder="1" applyAlignment="1">
      <alignment horizontal="center"/>
    </xf>
    <xf numFmtId="0" fontId="0" fillId="4" borderId="69" xfId="0" applyFill="1" applyBorder="1" applyAlignment="1">
      <alignment horizontal="center"/>
    </xf>
    <xf numFmtId="0" fontId="1" fillId="4" borderId="10" xfId="0" applyFont="1" applyFill="1" applyBorder="1" applyAlignment="1">
      <alignment horizontal="center"/>
    </xf>
    <xf numFmtId="164" fontId="0" fillId="4" borderId="0" xfId="0" applyNumberFormat="1" applyFill="1" applyAlignment="1">
      <alignment horizontal="center"/>
    </xf>
    <xf numFmtId="0" fontId="0" fillId="4" borderId="30" xfId="0" applyFont="1" applyFill="1" applyBorder="1" applyAlignment="1">
      <alignment horizontal="center"/>
    </xf>
    <xf numFmtId="10" fontId="0" fillId="4" borderId="3" xfId="0" applyNumberFormat="1" applyFill="1" applyBorder="1" applyAlignment="1">
      <alignment horizontal="center"/>
    </xf>
    <xf numFmtId="10" fontId="0" fillId="4" borderId="5" xfId="0" applyNumberFormat="1" applyFill="1" applyBorder="1" applyAlignment="1">
      <alignment horizontal="center"/>
    </xf>
    <xf numFmtId="10" fontId="0" fillId="4" borderId="51" xfId="0" applyNumberFormat="1" applyFill="1" applyBorder="1" applyAlignment="1">
      <alignment horizontal="center"/>
    </xf>
    <xf numFmtId="0" fontId="1" fillId="4" borderId="82" xfId="0" applyFont="1" applyFill="1" applyBorder="1" applyAlignment="1">
      <alignment horizontal="center"/>
    </xf>
    <xf numFmtId="0" fontId="0" fillId="4" borderId="63" xfId="0" applyFill="1" applyBorder="1" applyAlignment="1">
      <alignment horizontal="center"/>
    </xf>
    <xf numFmtId="0" fontId="0" fillId="4" borderId="31" xfId="0" applyFill="1" applyBorder="1" applyAlignment="1">
      <alignment horizontal="center" vertical="center"/>
    </xf>
    <xf numFmtId="0" fontId="1" fillId="0" borderId="9" xfId="0" applyFont="1" applyBorder="1" applyAlignment="1">
      <alignment horizontal="center"/>
    </xf>
    <xf numFmtId="0" fontId="15" fillId="32" borderId="26" xfId="4"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26" xfId="0" applyBorder="1" applyAlignment="1">
      <alignment horizontal="center"/>
    </xf>
    <xf numFmtId="0" fontId="0" fillId="0" borderId="20" xfId="0" applyBorder="1" applyAlignment="1">
      <alignment horizontal="center"/>
    </xf>
    <xf numFmtId="1" fontId="0" fillId="0" borderId="14" xfId="0" applyNumberFormat="1" applyBorder="1" applyAlignment="1">
      <alignment horizontal="center"/>
    </xf>
    <xf numFmtId="1" fontId="0" fillId="0" borderId="21" xfId="0" applyNumberFormat="1" applyBorder="1" applyAlignment="1">
      <alignment horizontal="center"/>
    </xf>
    <xf numFmtId="1" fontId="0" fillId="0" borderId="0" xfId="0" applyNumberFormat="1" applyBorder="1" applyAlignment="1">
      <alignment horizontal="center"/>
    </xf>
    <xf numFmtId="1" fontId="0" fillId="0" borderId="20" xfId="0" applyNumberFormat="1" applyBorder="1" applyAlignment="1">
      <alignment horizontal="center"/>
    </xf>
    <xf numFmtId="0" fontId="15" fillId="4" borderId="26" xfId="4" applyFill="1" applyBorder="1" applyAlignment="1">
      <alignment horizontal="center"/>
    </xf>
    <xf numFmtId="1" fontId="0" fillId="4" borderId="21" xfId="0" applyNumberFormat="1" applyFill="1" applyBorder="1" applyAlignment="1">
      <alignment horizontal="center"/>
    </xf>
    <xf numFmtId="2" fontId="0" fillId="4" borderId="1" xfId="0" applyNumberFormat="1" applyFill="1" applyBorder="1" applyAlignment="1">
      <alignment horizontal="center"/>
    </xf>
    <xf numFmtId="0" fontId="0" fillId="4" borderId="29" xfId="0" applyFill="1" applyBorder="1" applyAlignment="1">
      <alignment horizontal="center"/>
    </xf>
    <xf numFmtId="2" fontId="0" fillId="4" borderId="2" xfId="0" applyNumberFormat="1" applyFill="1" applyBorder="1" applyAlignment="1">
      <alignment horizontal="center"/>
    </xf>
    <xf numFmtId="0" fontId="1" fillId="4" borderId="67" xfId="0" applyFont="1" applyFill="1" applyBorder="1" applyAlignment="1">
      <alignment horizontal="center" vertical="center"/>
    </xf>
    <xf numFmtId="0" fontId="1" fillId="4" borderId="64" xfId="0" applyFont="1" applyFill="1" applyBorder="1" applyAlignment="1">
      <alignment horizontal="center" vertical="center"/>
    </xf>
    <xf numFmtId="0" fontId="1" fillId="4" borderId="46" xfId="0" applyFont="1" applyFill="1" applyBorder="1" applyAlignment="1">
      <alignment horizontal="center"/>
    </xf>
    <xf numFmtId="0" fontId="1" fillId="4" borderId="23" xfId="0" applyFont="1" applyFill="1" applyBorder="1" applyAlignment="1">
      <alignment horizontal="center"/>
    </xf>
    <xf numFmtId="0" fontId="1" fillId="4" borderId="24" xfId="0" applyFont="1" applyFill="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0" fillId="4" borderId="28" xfId="0" applyFill="1" applyBorder="1" applyAlignment="1">
      <alignment horizontal="center" vertical="center"/>
    </xf>
    <xf numFmtId="0" fontId="0" fillId="4" borderId="26" xfId="0" applyFill="1" applyBorder="1" applyAlignment="1">
      <alignment horizontal="center" vertical="center"/>
    </xf>
    <xf numFmtId="0" fontId="0" fillId="4" borderId="29" xfId="0" applyFill="1" applyBorder="1" applyAlignment="1">
      <alignment horizontal="center" vertical="center"/>
    </xf>
    <xf numFmtId="0" fontId="0" fillId="4" borderId="28"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29" xfId="0" applyFont="1" applyFill="1" applyBorder="1" applyAlignment="1">
      <alignment horizontal="center" vertical="center"/>
    </xf>
    <xf numFmtId="0" fontId="0" fillId="4" borderId="27" xfId="0" applyFill="1" applyBorder="1" applyAlignment="1">
      <alignment horizontal="center" vertical="center"/>
    </xf>
    <xf numFmtId="0" fontId="0" fillId="4" borderId="15" xfId="0" applyFill="1" applyBorder="1" applyAlignment="1">
      <alignment horizontal="center" vertical="center"/>
    </xf>
    <xf numFmtId="0" fontId="0" fillId="4" borderId="13" xfId="0" applyFill="1" applyBorder="1" applyAlignment="1">
      <alignment horizontal="center" vertical="center"/>
    </xf>
    <xf numFmtId="0" fontId="0" fillId="4" borderId="16" xfId="0" applyFill="1" applyBorder="1" applyAlignment="1">
      <alignment horizontal="center" vertical="center"/>
    </xf>
    <xf numFmtId="0" fontId="0" fillId="4" borderId="57" xfId="0" applyFill="1" applyBorder="1" applyAlignment="1">
      <alignment horizontal="center" vertical="center"/>
    </xf>
    <xf numFmtId="0" fontId="0" fillId="4" borderId="58" xfId="0" applyFill="1" applyBorder="1" applyAlignment="1">
      <alignment horizontal="center" vertical="center"/>
    </xf>
    <xf numFmtId="0" fontId="0" fillId="4" borderId="59" xfId="0" applyFill="1" applyBorder="1" applyAlignment="1">
      <alignment horizontal="center" vertical="center"/>
    </xf>
    <xf numFmtId="0" fontId="0" fillId="4" borderId="18" xfId="0" applyFill="1"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65"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4" borderId="33" xfId="0" applyFill="1" applyBorder="1" applyAlignment="1">
      <alignment horizontal="center"/>
    </xf>
    <xf numFmtId="0" fontId="0" fillId="4" borderId="34" xfId="0" applyFill="1" applyBorder="1" applyAlignment="1">
      <alignment horizontal="center"/>
    </xf>
    <xf numFmtId="0" fontId="0" fillId="4" borderId="61" xfId="0" applyFill="1" applyBorder="1" applyAlignment="1">
      <alignment horizontal="center"/>
    </xf>
    <xf numFmtId="0" fontId="0" fillId="4" borderId="55"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0" borderId="15" xfId="0" applyBorder="1" applyAlignment="1">
      <alignment horizontal="center" vertical="center"/>
    </xf>
    <xf numFmtId="0" fontId="0" fillId="0" borderId="0" xfId="0" applyAlignment="1">
      <alignment horizontal="left" wrapText="1"/>
    </xf>
    <xf numFmtId="0" fontId="0" fillId="0" borderId="22" xfId="0" applyBorder="1" applyAlignment="1">
      <alignment horizontal="center"/>
    </xf>
    <xf numFmtId="0" fontId="0" fillId="0" borderId="36" xfId="0" applyBorder="1" applyAlignment="1">
      <alignment horizont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0" borderId="30" xfId="0" applyBorder="1" applyAlignment="1">
      <alignment horizontal="center"/>
    </xf>
    <xf numFmtId="0" fontId="1" fillId="0" borderId="30" xfId="0" applyFont="1" applyBorder="1" applyAlignment="1">
      <alignment horizontal="center"/>
    </xf>
    <xf numFmtId="0" fontId="1" fillId="0" borderId="22" xfId="0" applyFont="1" applyBorder="1" applyAlignment="1">
      <alignment horizontal="center"/>
    </xf>
    <xf numFmtId="0" fontId="1" fillId="0" borderId="36" xfId="0" applyFont="1" applyBorder="1" applyAlignment="1">
      <alignment horizontal="center"/>
    </xf>
    <xf numFmtId="0" fontId="2" fillId="0" borderId="30" xfId="0" applyFont="1" applyBorder="1" applyAlignment="1">
      <alignment horizontal="center"/>
    </xf>
    <xf numFmtId="0" fontId="2" fillId="0" borderId="36" xfId="0" applyFont="1" applyBorder="1" applyAlignment="1">
      <alignment horizontal="center"/>
    </xf>
    <xf numFmtId="0" fontId="0" fillId="0" borderId="0" xfId="0" applyAlignment="1">
      <alignment horizontal="center"/>
    </xf>
    <xf numFmtId="0" fontId="0" fillId="0" borderId="9"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vertical="center" wrapText="1"/>
    </xf>
    <xf numFmtId="0" fontId="0" fillId="0" borderId="73" xfId="0" applyBorder="1" applyAlignment="1">
      <alignment horizontal="center" vertical="center"/>
    </xf>
    <xf numFmtId="0" fontId="2" fillId="0" borderId="0" xfId="0" applyFont="1" applyAlignment="1">
      <alignment horizontal="center"/>
    </xf>
    <xf numFmtId="0" fontId="0" fillId="0" borderId="59" xfId="0" applyBorder="1" applyAlignment="1">
      <alignment horizontal="center" vertical="center"/>
    </xf>
    <xf numFmtId="0" fontId="0" fillId="0" borderId="67" xfId="0" applyBorder="1" applyAlignment="1">
      <alignment horizontal="center" vertical="center"/>
    </xf>
    <xf numFmtId="0" fontId="0" fillId="0" borderId="64" xfId="0" applyBorder="1" applyAlignment="1">
      <alignment horizontal="center" vertical="center"/>
    </xf>
    <xf numFmtId="0" fontId="0" fillId="0" borderId="66" xfId="0" applyBorder="1" applyAlignment="1">
      <alignment horizontal="center" vertical="center"/>
    </xf>
    <xf numFmtId="0" fontId="0" fillId="4" borderId="1" xfId="0" applyFill="1" applyBorder="1" applyAlignment="1">
      <alignment horizontal="center" vertical="center"/>
    </xf>
    <xf numFmtId="0" fontId="0" fillId="4" borderId="0" xfId="0" applyFill="1" applyBorder="1" applyAlignment="1">
      <alignment horizontal="center" vertical="center"/>
    </xf>
    <xf numFmtId="0" fontId="0" fillId="4" borderId="20" xfId="0" applyFill="1" applyBorder="1" applyAlignment="1">
      <alignment horizontal="center" vertical="center"/>
    </xf>
    <xf numFmtId="2" fontId="0" fillId="4" borderId="12" xfId="0" applyNumberFormat="1" applyFill="1" applyBorder="1" applyAlignment="1">
      <alignment horizontal="center" vertical="center"/>
    </xf>
    <xf numFmtId="2" fontId="0" fillId="4" borderId="14" xfId="0" applyNumberFormat="1" applyFill="1" applyBorder="1" applyAlignment="1">
      <alignment horizontal="center" vertical="center"/>
    </xf>
    <xf numFmtId="2" fontId="0" fillId="4" borderId="21" xfId="0" applyNumberFormat="1" applyFill="1" applyBorder="1" applyAlignment="1">
      <alignment horizontal="center" vertical="center"/>
    </xf>
    <xf numFmtId="164" fontId="0" fillId="4" borderId="14" xfId="0" applyNumberFormat="1" applyFill="1" applyBorder="1" applyAlignment="1">
      <alignment horizontal="center" vertical="center"/>
    </xf>
    <xf numFmtId="2" fontId="0" fillId="4" borderId="17" xfId="0" applyNumberFormat="1" applyFill="1" applyBorder="1" applyAlignment="1">
      <alignment horizontal="center" vertical="center"/>
    </xf>
    <xf numFmtId="1" fontId="0" fillId="4" borderId="14" xfId="0" applyNumberFormat="1" applyFill="1" applyBorder="1" applyAlignment="1">
      <alignment horizontal="center" vertical="center"/>
    </xf>
    <xf numFmtId="164" fontId="0" fillId="4" borderId="12" xfId="0" applyNumberFormat="1" applyFill="1" applyBorder="1" applyAlignment="1">
      <alignment horizontal="center" vertical="center"/>
    </xf>
    <xf numFmtId="164" fontId="0" fillId="4" borderId="17" xfId="0" applyNumberFormat="1" applyFill="1" applyBorder="1" applyAlignment="1">
      <alignment horizontal="center" vertical="center"/>
    </xf>
    <xf numFmtId="1" fontId="0" fillId="4" borderId="12" xfId="0" applyNumberFormat="1" applyFill="1" applyBorder="1" applyAlignment="1">
      <alignment horizontal="center" vertical="center"/>
    </xf>
    <xf numFmtId="1" fontId="0" fillId="4" borderId="17" xfId="0" applyNumberForma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26" xfId="0" applyFont="1" applyFill="1" applyBorder="1" applyAlignment="1">
      <alignment horizontal="center" vertical="center"/>
    </xf>
    <xf numFmtId="0" fontId="5" fillId="4" borderId="0" xfId="0" applyFont="1" applyFill="1" applyAlignment="1">
      <alignment horizontal="center" vertical="center"/>
    </xf>
    <xf numFmtId="0" fontId="5" fillId="4" borderId="14"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17" xfId="0" applyFont="1" applyFill="1" applyBorder="1" applyAlignment="1">
      <alignment horizontal="center" vertical="center"/>
    </xf>
    <xf numFmtId="0" fontId="0" fillId="4" borderId="42" xfId="0" applyFill="1" applyBorder="1" applyAlignment="1">
      <alignment horizontal="right" vertical="center"/>
    </xf>
    <xf numFmtId="0" fontId="0" fillId="4" borderId="22" xfId="0" applyFill="1" applyBorder="1" applyAlignment="1">
      <alignment horizontal="right" vertical="center"/>
    </xf>
    <xf numFmtId="0" fontId="0" fillId="4" borderId="30" xfId="0" applyFill="1" applyBorder="1" applyAlignment="1">
      <alignment horizontal="center"/>
    </xf>
    <xf numFmtId="0" fontId="0" fillId="4" borderId="22" xfId="0" applyFill="1" applyBorder="1" applyAlignment="1">
      <alignment horizontal="center"/>
    </xf>
    <xf numFmtId="0" fontId="0" fillId="4" borderId="36" xfId="0" applyFill="1" applyBorder="1" applyAlignment="1">
      <alignment horizontal="center"/>
    </xf>
    <xf numFmtId="0" fontId="0" fillId="31" borderId="3" xfId="0" applyFill="1" applyBorder="1" applyAlignment="1">
      <alignment horizontal="center"/>
    </xf>
    <xf numFmtId="0" fontId="0" fillId="31" borderId="4" xfId="0" applyFill="1" applyBorder="1" applyAlignment="1">
      <alignment horizontal="center"/>
    </xf>
    <xf numFmtId="0" fontId="0" fillId="4" borderId="41" xfId="0" applyFill="1" applyBorder="1" applyAlignment="1">
      <alignment horizontal="center"/>
    </xf>
    <xf numFmtId="0" fontId="0" fillId="4" borderId="64" xfId="0" applyFill="1" applyBorder="1" applyAlignment="1">
      <alignment horizontal="center" vertical="center"/>
    </xf>
    <xf numFmtId="0" fontId="0" fillId="4" borderId="67" xfId="0" applyFill="1" applyBorder="1" applyAlignment="1">
      <alignment horizontal="center" vertical="center"/>
    </xf>
    <xf numFmtId="0" fontId="0" fillId="4" borderId="80" xfId="0" applyFill="1" applyBorder="1" applyAlignment="1">
      <alignment horizontal="center" vertical="center"/>
    </xf>
    <xf numFmtId="0" fontId="0" fillId="0" borderId="30" xfId="0" applyBorder="1" applyAlignment="1">
      <alignment horizontal="left"/>
    </xf>
    <xf numFmtId="0" fontId="0" fillId="0" borderId="22" xfId="0" applyBorder="1" applyAlignment="1">
      <alignment horizontal="left"/>
    </xf>
    <xf numFmtId="0" fontId="0" fillId="4" borderId="66" xfId="0" applyFill="1" applyBorder="1" applyAlignment="1">
      <alignment horizontal="center" vertical="center"/>
    </xf>
    <xf numFmtId="0" fontId="0" fillId="31" borderId="0" xfId="0" applyFill="1" applyAlignment="1">
      <alignment horizontal="left" vertical="top" wrapText="1"/>
    </xf>
    <xf numFmtId="0" fontId="0" fillId="6" borderId="0" xfId="0" applyFill="1" applyAlignment="1">
      <alignment horizontal="left" vertical="top" wrapText="1"/>
    </xf>
    <xf numFmtId="0" fontId="1" fillId="0" borderId="0" xfId="0" applyFont="1" applyAlignment="1">
      <alignment horizontal="center"/>
    </xf>
    <xf numFmtId="0" fontId="0" fillId="0" borderId="80" xfId="0" applyBorder="1" applyAlignment="1">
      <alignment horizontal="center" vertical="center"/>
    </xf>
    <xf numFmtId="0" fontId="0" fillId="0" borderId="9" xfId="0" applyBorder="1" applyAlignment="1">
      <alignment horizontal="center"/>
    </xf>
    <xf numFmtId="0" fontId="0" fillId="0" borderId="37" xfId="0" applyBorder="1" applyAlignment="1">
      <alignment horizontal="center"/>
    </xf>
    <xf numFmtId="0" fontId="1" fillId="0" borderId="53"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4" borderId="35" xfId="0"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21" xfId="0" applyFill="1" applyBorder="1" applyAlignment="1">
      <alignment horizontal="center" vertical="center"/>
    </xf>
    <xf numFmtId="0" fontId="1" fillId="4" borderId="3" xfId="0" applyFont="1" applyFill="1" applyBorder="1" applyAlignment="1">
      <alignment horizontal="center"/>
    </xf>
    <xf numFmtId="0" fontId="1" fillId="4" borderId="1" xfId="0" applyFont="1" applyFill="1" applyBorder="1" applyAlignment="1">
      <alignment horizontal="center"/>
    </xf>
    <xf numFmtId="0" fontId="1" fillId="4" borderId="4" xfId="0" applyFont="1" applyFill="1" applyBorder="1" applyAlignment="1">
      <alignment horizontal="center"/>
    </xf>
    <xf numFmtId="0" fontId="1" fillId="4" borderId="28" xfId="0" applyFont="1" applyFill="1" applyBorder="1" applyAlignment="1">
      <alignment horizontal="center" vertical="center"/>
    </xf>
    <xf numFmtId="0" fontId="1" fillId="4" borderId="27" xfId="0" applyFont="1" applyFill="1" applyBorder="1" applyAlignment="1">
      <alignment horizontal="center" vertical="center"/>
    </xf>
    <xf numFmtId="0" fontId="0" fillId="0" borderId="0" xfId="0" applyFont="1" applyAlignment="1">
      <alignment horizont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0" fillId="4" borderId="3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1" fillId="4" borderId="33" xfId="0" applyFont="1" applyFill="1" applyBorder="1" applyAlignment="1">
      <alignment horizontal="center"/>
    </xf>
    <xf numFmtId="0" fontId="1" fillId="4" borderId="34" xfId="0" applyFont="1" applyFill="1" applyBorder="1" applyAlignment="1">
      <alignment horizontal="center"/>
    </xf>
    <xf numFmtId="0" fontId="1" fillId="4" borderId="35" xfId="0" applyFont="1" applyFill="1" applyBorder="1" applyAlignment="1">
      <alignment horizontal="center"/>
    </xf>
    <xf numFmtId="0" fontId="0" fillId="4" borderId="19" xfId="0" applyFill="1" applyBorder="1" applyAlignment="1">
      <alignment horizontal="center" vertical="center"/>
    </xf>
    <xf numFmtId="165" fontId="1" fillId="4" borderId="32" xfId="0" applyNumberFormat="1" applyFont="1" applyFill="1" applyBorder="1" applyAlignment="1">
      <alignment horizontal="center"/>
    </xf>
    <xf numFmtId="165" fontId="1" fillId="4" borderId="24" xfId="0" applyNumberFormat="1" applyFont="1" applyFill="1" applyBorder="1" applyAlignment="1">
      <alignment horizontal="center"/>
    </xf>
    <xf numFmtId="0" fontId="1" fillId="4" borderId="32" xfId="0" applyFont="1" applyFill="1" applyBorder="1" applyAlignment="1">
      <alignment horizontal="center"/>
    </xf>
    <xf numFmtId="0" fontId="1" fillId="4" borderId="45" xfId="0" applyFont="1" applyFill="1" applyBorder="1" applyAlignment="1">
      <alignment horizontal="center"/>
    </xf>
    <xf numFmtId="0" fontId="1" fillId="0" borderId="47" xfId="0" applyFont="1" applyBorder="1" applyAlignment="1">
      <alignment horizontal="center" vertical="center"/>
    </xf>
    <xf numFmtId="0" fontId="1" fillId="0" borderId="39" xfId="0" applyFont="1" applyBorder="1" applyAlignment="1">
      <alignment horizontal="center" vertical="center"/>
    </xf>
    <xf numFmtId="0" fontId="1" fillId="3" borderId="46" xfId="0" applyFont="1" applyFill="1" applyBorder="1" applyAlignment="1">
      <alignment horizontal="center"/>
    </xf>
    <xf numFmtId="0" fontId="1" fillId="3" borderId="45" xfId="0" applyFont="1" applyFill="1" applyBorder="1" applyAlignment="1">
      <alignment horizontal="center"/>
    </xf>
    <xf numFmtId="0" fontId="1" fillId="4" borderId="9" xfId="0" applyFont="1" applyFill="1" applyBorder="1" applyAlignment="1">
      <alignment horizontal="center"/>
    </xf>
    <xf numFmtId="0" fontId="1" fillId="0" borderId="32" xfId="0" applyFont="1" applyFill="1" applyBorder="1" applyAlignment="1">
      <alignment horizont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46" xfId="0" applyFont="1" applyBorder="1" applyAlignment="1">
      <alignment horizontal="center"/>
    </xf>
    <xf numFmtId="0" fontId="1" fillId="0" borderId="45" xfId="0" applyFont="1" applyBorder="1" applyAlignment="1">
      <alignment horizontal="center"/>
    </xf>
    <xf numFmtId="0" fontId="1" fillId="0" borderId="24" xfId="0" applyFont="1" applyBorder="1" applyAlignment="1">
      <alignment horizontal="center"/>
    </xf>
    <xf numFmtId="0" fontId="1" fillId="0" borderId="32" xfId="0" applyFont="1" applyBorder="1" applyAlignment="1">
      <alignment horizontal="center"/>
    </xf>
    <xf numFmtId="0" fontId="1" fillId="0" borderId="23" xfId="0" applyFont="1" applyBorder="1" applyAlignment="1">
      <alignment horizontal="center"/>
    </xf>
    <xf numFmtId="0" fontId="1" fillId="4" borderId="42" xfId="0" applyFont="1" applyFill="1" applyBorder="1" applyAlignment="1">
      <alignment horizontal="center"/>
    </xf>
    <xf numFmtId="0" fontId="1" fillId="4" borderId="36" xfId="0" applyFont="1" applyFill="1" applyBorder="1" applyAlignment="1">
      <alignment horizontal="center"/>
    </xf>
    <xf numFmtId="0" fontId="1" fillId="0" borderId="30" xfId="0" applyFont="1" applyFill="1" applyBorder="1" applyAlignment="1">
      <alignment horizontal="center"/>
    </xf>
    <xf numFmtId="0" fontId="1" fillId="0" borderId="41" xfId="0" applyFont="1" applyFill="1" applyBorder="1" applyAlignment="1">
      <alignment horizontal="center"/>
    </xf>
    <xf numFmtId="0" fontId="1" fillId="4" borderId="30" xfId="0" applyFont="1" applyFill="1" applyBorder="1" applyAlignment="1">
      <alignment horizontal="center"/>
    </xf>
    <xf numFmtId="0" fontId="1" fillId="4" borderId="41" xfId="0" applyFont="1" applyFill="1" applyBorder="1" applyAlignment="1">
      <alignment horizontal="center"/>
    </xf>
    <xf numFmtId="0" fontId="9" fillId="0" borderId="9" xfId="0" applyFont="1" applyBorder="1" applyAlignment="1">
      <alignment horizontal="center" vertical="center"/>
    </xf>
    <xf numFmtId="0" fontId="9" fillId="0" borderId="11" xfId="0" applyFont="1" applyBorder="1" applyAlignment="1">
      <alignment horizontal="center" vertical="center"/>
    </xf>
    <xf numFmtId="0" fontId="9" fillId="0" borderId="27" xfId="0" applyFont="1" applyBorder="1" applyAlignment="1">
      <alignment horizontal="center" vertical="center"/>
    </xf>
    <xf numFmtId="0" fontId="9" fillId="0" borderId="21" xfId="0" applyFont="1" applyBorder="1" applyAlignment="1">
      <alignment horizontal="center" vertical="center"/>
    </xf>
    <xf numFmtId="0" fontId="0" fillId="4" borderId="46" xfId="0" applyFill="1" applyBorder="1" applyAlignment="1">
      <alignment horizontal="center"/>
    </xf>
    <xf numFmtId="0" fontId="0" fillId="4" borderId="45" xfId="0" applyFill="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8" fillId="0" borderId="9" xfId="0" applyFont="1" applyBorder="1" applyAlignment="1">
      <alignment horizontal="center" vertical="center"/>
    </xf>
    <xf numFmtId="0" fontId="8" fillId="0" borderId="11" xfId="0" applyFont="1" applyBorder="1" applyAlignment="1">
      <alignment horizontal="center" vertical="center"/>
    </xf>
    <xf numFmtId="0" fontId="8" fillId="0" borderId="27" xfId="0" applyFont="1" applyBorder="1" applyAlignment="1">
      <alignment horizontal="center" vertical="center"/>
    </xf>
    <xf numFmtId="0" fontId="8" fillId="0" borderId="21" xfId="0" applyFont="1" applyBorder="1" applyAlignment="1">
      <alignment horizontal="center" vertical="center"/>
    </xf>
    <xf numFmtId="0" fontId="9" fillId="0" borderId="10" xfId="0" applyFont="1" applyBorder="1" applyAlignment="1">
      <alignment horizontal="center" vertical="center"/>
    </xf>
    <xf numFmtId="0" fontId="9" fillId="0" borderId="20" xfId="0" applyFont="1" applyBorder="1" applyAlignment="1">
      <alignment horizontal="center" vertical="center"/>
    </xf>
    <xf numFmtId="0" fontId="0" fillId="4" borderId="9" xfId="0" applyFill="1" applyBorder="1" applyAlignment="1">
      <alignment horizontal="center" vertical="center"/>
    </xf>
    <xf numFmtId="0" fontId="0" fillId="0" borderId="33" xfId="0" applyFont="1" applyFill="1" applyBorder="1" applyAlignment="1">
      <alignment horizontal="center"/>
    </xf>
    <xf numFmtId="0" fontId="0" fillId="0" borderId="34" xfId="0" applyFont="1" applyFill="1" applyBorder="1" applyAlignment="1">
      <alignment horizontal="center"/>
    </xf>
    <xf numFmtId="0" fontId="0" fillId="0" borderId="55" xfId="0" applyFont="1" applyFill="1" applyBorder="1" applyAlignment="1">
      <alignment horizontal="center"/>
    </xf>
    <xf numFmtId="0" fontId="0" fillId="0" borderId="0" xfId="0" quotePrefix="1"/>
    <xf numFmtId="1" fontId="0" fillId="0" borderId="26" xfId="0" applyNumberFormat="1" applyBorder="1" applyAlignment="1">
      <alignment horizontal="center" vertical="center"/>
    </xf>
    <xf numFmtId="164" fontId="0" fillId="4" borderId="1" xfId="0" applyNumberFormat="1" applyFont="1" applyFill="1" applyBorder="1" applyAlignment="1">
      <alignment horizontal="center"/>
    </xf>
    <xf numFmtId="164" fontId="0" fillId="4" borderId="0" xfId="0" applyNumberFormat="1" applyFont="1" applyFill="1" applyBorder="1" applyAlignment="1">
      <alignment horizontal="center"/>
    </xf>
    <xf numFmtId="164" fontId="0" fillId="4" borderId="2" xfId="0" applyNumberFormat="1" applyFont="1" applyFill="1" applyBorder="1" applyAlignment="1">
      <alignment horizontal="center"/>
    </xf>
    <xf numFmtId="164" fontId="0" fillId="4" borderId="3" xfId="0" applyNumberFormat="1" applyFont="1" applyFill="1" applyBorder="1" applyAlignment="1">
      <alignment horizontal="center"/>
    </xf>
    <xf numFmtId="164" fontId="0" fillId="4" borderId="5" xfId="0" applyNumberFormat="1" applyFont="1" applyFill="1" applyBorder="1" applyAlignment="1">
      <alignment horizontal="center"/>
    </xf>
    <xf numFmtId="164" fontId="0" fillId="4" borderId="7" xfId="0" applyNumberFormat="1" applyFont="1" applyFill="1" applyBorder="1" applyAlignment="1">
      <alignment horizontal="center"/>
    </xf>
    <xf numFmtId="164" fontId="0" fillId="4" borderId="5" xfId="0" quotePrefix="1" applyNumberFormat="1" applyFont="1" applyFill="1" applyBorder="1" applyAlignment="1">
      <alignment horizontal="center"/>
    </xf>
    <xf numFmtId="0" fontId="1" fillId="4" borderId="53" xfId="0" applyFont="1" applyFill="1" applyBorder="1" applyAlignment="1">
      <alignment horizontal="center"/>
    </xf>
    <xf numFmtId="0" fontId="0" fillId="4" borderId="26" xfId="0" applyFont="1" applyFill="1" applyBorder="1" applyAlignment="1">
      <alignment horizontal="center" vertical="center"/>
    </xf>
    <xf numFmtId="0" fontId="0" fillId="4" borderId="29" xfId="0" applyFont="1" applyFill="1" applyBorder="1" applyAlignment="1">
      <alignment horizontal="center" vertical="center"/>
    </xf>
    <xf numFmtId="0" fontId="0" fillId="4" borderId="27" xfId="0" applyFont="1" applyFill="1" applyBorder="1" applyAlignment="1">
      <alignment horizontal="center" vertical="center"/>
    </xf>
    <xf numFmtId="0" fontId="0" fillId="4" borderId="20" xfId="0" applyFont="1" applyFill="1" applyBorder="1" applyAlignment="1">
      <alignment horizontal="center"/>
    </xf>
    <xf numFmtId="164" fontId="0" fillId="4" borderId="19" xfId="0" applyNumberFormat="1" applyFont="1" applyFill="1" applyBorder="1" applyAlignment="1">
      <alignment horizontal="center"/>
    </xf>
    <xf numFmtId="164" fontId="0" fillId="4" borderId="20" xfId="0" applyNumberFormat="1" applyFont="1" applyFill="1" applyBorder="1" applyAlignment="1">
      <alignment horizontal="center"/>
    </xf>
    <xf numFmtId="0" fontId="1" fillId="4" borderId="10"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9" xfId="0" applyFont="1" applyFill="1" applyBorder="1" applyAlignment="1">
      <alignment horizontal="center" vertical="center"/>
    </xf>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Calibration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153858382495024"/>
                  <c:y val="-1.6429164945543393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aseline="0"/>
                      <a:t>y = 2130.7x - 576.57</a:t>
                    </a:r>
                    <a:br>
                      <a:rPr lang="en-US" sz="1600" baseline="0"/>
                    </a:br>
                    <a:r>
                      <a:rPr lang="en-US" sz="1600" baseline="0"/>
                      <a:t>R² = 0.9923</a:t>
                    </a:r>
                    <a:endParaRPr lang="en-US" sz="16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trendlineLbl>
          </c:trendline>
          <c:xVal>
            <c:numRef>
              <c:f>[1]quantification!$A$3:$A$10</c:f>
              <c:numCache>
                <c:formatCode>General</c:formatCode>
                <c:ptCount val="8"/>
                <c:pt idx="0">
                  <c:v>0.36</c:v>
                </c:pt>
                <c:pt idx="1">
                  <c:v>0.54</c:v>
                </c:pt>
                <c:pt idx="2">
                  <c:v>0.72</c:v>
                </c:pt>
                <c:pt idx="3">
                  <c:v>0.9</c:v>
                </c:pt>
                <c:pt idx="4">
                  <c:v>1.08</c:v>
                </c:pt>
                <c:pt idx="5">
                  <c:v>1.44</c:v>
                </c:pt>
                <c:pt idx="6">
                  <c:v>1.8</c:v>
                </c:pt>
                <c:pt idx="7">
                  <c:v>2.7</c:v>
                </c:pt>
              </c:numCache>
            </c:numRef>
          </c:xVal>
          <c:yVal>
            <c:numRef>
              <c:f>[1]quantification!$B$3:$B$10</c:f>
              <c:numCache>
                <c:formatCode>General</c:formatCode>
                <c:ptCount val="8"/>
                <c:pt idx="0">
                  <c:v>272.58</c:v>
                </c:pt>
                <c:pt idx="1">
                  <c:v>657.23</c:v>
                </c:pt>
                <c:pt idx="2">
                  <c:v>877.59</c:v>
                </c:pt>
                <c:pt idx="3">
                  <c:v>1255.25</c:v>
                </c:pt>
                <c:pt idx="4">
                  <c:v>1566.2</c:v>
                </c:pt>
                <c:pt idx="5">
                  <c:v>2439.84</c:v>
                </c:pt>
                <c:pt idx="6">
                  <c:v>3550.23</c:v>
                </c:pt>
                <c:pt idx="7">
                  <c:v>5095.09</c:v>
                </c:pt>
              </c:numCache>
            </c:numRef>
          </c:yVal>
          <c:smooth val="0"/>
          <c:extLst>
            <c:ext xmlns:c16="http://schemas.microsoft.com/office/drawing/2014/chart" uri="{C3380CC4-5D6E-409C-BE32-E72D297353CC}">
              <c16:uniqueId val="{00000001-0FEC-4C3A-93B4-7F7957B49F01}"/>
            </c:ext>
          </c:extLst>
        </c:ser>
        <c:dLbls>
          <c:showLegendKey val="0"/>
          <c:showVal val="0"/>
          <c:showCatName val="0"/>
          <c:showSerName val="0"/>
          <c:showPercent val="0"/>
          <c:showBubbleSize val="0"/>
        </c:dLbls>
        <c:axId val="1055280136"/>
        <c:axId val="1055261768"/>
      </c:scatterChart>
      <c:valAx>
        <c:axId val="1055280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055261768"/>
        <c:crosses val="autoZero"/>
        <c:crossBetween val="midCat"/>
      </c:valAx>
      <c:valAx>
        <c:axId val="105526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055280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3.emf"/></Relationships>
</file>

<file path=xl/drawings/_rels/drawing4.x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3" Type="http://schemas.openxmlformats.org/officeDocument/2006/relationships/image" Target="../media/image34.emf"/><Relationship Id="rId2" Type="http://schemas.openxmlformats.org/officeDocument/2006/relationships/image" Target="../media/image33.emf"/><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12.emf"/><Relationship Id="rId13" Type="http://schemas.openxmlformats.org/officeDocument/2006/relationships/image" Target="../media/image17.emf"/><Relationship Id="rId18" Type="http://schemas.openxmlformats.org/officeDocument/2006/relationships/image" Target="../media/image22.emf"/><Relationship Id="rId3" Type="http://schemas.openxmlformats.org/officeDocument/2006/relationships/image" Target="../media/image5.emf"/><Relationship Id="rId7" Type="http://schemas.openxmlformats.org/officeDocument/2006/relationships/image" Target="../media/image9.emf"/><Relationship Id="rId12" Type="http://schemas.openxmlformats.org/officeDocument/2006/relationships/image" Target="../media/image16.emf"/><Relationship Id="rId17" Type="http://schemas.openxmlformats.org/officeDocument/2006/relationships/image" Target="../media/image21.emf"/><Relationship Id="rId2" Type="http://schemas.openxmlformats.org/officeDocument/2006/relationships/image" Target="../media/image4.emf"/><Relationship Id="rId16" Type="http://schemas.openxmlformats.org/officeDocument/2006/relationships/image" Target="../media/image20.emf"/><Relationship Id="rId1" Type="http://schemas.openxmlformats.org/officeDocument/2006/relationships/image" Target="../media/image10.emf"/><Relationship Id="rId6" Type="http://schemas.openxmlformats.org/officeDocument/2006/relationships/image" Target="../media/image7.emf"/><Relationship Id="rId11" Type="http://schemas.openxmlformats.org/officeDocument/2006/relationships/image" Target="../media/image15.emf"/><Relationship Id="rId5" Type="http://schemas.openxmlformats.org/officeDocument/2006/relationships/image" Target="../media/image8.emf"/><Relationship Id="rId15" Type="http://schemas.openxmlformats.org/officeDocument/2006/relationships/image" Target="../media/image19.emf"/><Relationship Id="rId10" Type="http://schemas.openxmlformats.org/officeDocument/2006/relationships/image" Target="../media/image14.emf"/><Relationship Id="rId4" Type="http://schemas.openxmlformats.org/officeDocument/2006/relationships/image" Target="../media/image11.emf"/><Relationship Id="rId9" Type="http://schemas.openxmlformats.org/officeDocument/2006/relationships/image" Target="../media/image13.emf"/><Relationship Id="rId14" Type="http://schemas.openxmlformats.org/officeDocument/2006/relationships/image" Target="../media/image18.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20.emf"/><Relationship Id="rId3" Type="http://schemas.openxmlformats.org/officeDocument/2006/relationships/image" Target="../media/image4.emf"/><Relationship Id="rId7" Type="http://schemas.openxmlformats.org/officeDocument/2006/relationships/image" Target="../media/image7.emf"/><Relationship Id="rId12" Type="http://schemas.openxmlformats.org/officeDocument/2006/relationships/image" Target="../media/image16.emf"/><Relationship Id="rId2" Type="http://schemas.openxmlformats.org/officeDocument/2006/relationships/image" Target="../media/image3.emf"/><Relationship Id="rId16" Type="http://schemas.openxmlformats.org/officeDocument/2006/relationships/image" Target="../media/image19.emf"/><Relationship Id="rId1" Type="http://schemas.openxmlformats.org/officeDocument/2006/relationships/image" Target="../media/image2.emf"/><Relationship Id="rId6" Type="http://schemas.openxmlformats.org/officeDocument/2006/relationships/image" Target="../media/image8.emf"/><Relationship Id="rId11" Type="http://schemas.openxmlformats.org/officeDocument/2006/relationships/image" Target="../media/image15.emf"/><Relationship Id="rId5" Type="http://schemas.openxmlformats.org/officeDocument/2006/relationships/image" Target="../media/image6.emf"/><Relationship Id="rId15" Type="http://schemas.openxmlformats.org/officeDocument/2006/relationships/image" Target="../media/image21.emf"/><Relationship Id="rId10" Type="http://schemas.openxmlformats.org/officeDocument/2006/relationships/image" Target="../media/image17.emf"/><Relationship Id="rId4" Type="http://schemas.openxmlformats.org/officeDocument/2006/relationships/image" Target="../media/image5.emf"/><Relationship Id="rId9" Type="http://schemas.openxmlformats.org/officeDocument/2006/relationships/image" Target="../media/image13.emf"/><Relationship Id="rId14" Type="http://schemas.openxmlformats.org/officeDocument/2006/relationships/image" Target="../media/image18.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21.emf"/><Relationship Id="rId2" Type="http://schemas.openxmlformats.org/officeDocument/2006/relationships/image" Target="../media/image9.emf"/><Relationship Id="rId1" Type="http://schemas.openxmlformats.org/officeDocument/2006/relationships/image" Target="../media/image3.emf"/><Relationship Id="rId4" Type="http://schemas.openxmlformats.org/officeDocument/2006/relationships/image" Target="../media/image19.emf"/></Relationships>
</file>

<file path=xl/drawings/_rels/vmlDrawing5.vml.rels><?xml version="1.0" encoding="UTF-8" standalone="yes"?>
<Relationships xmlns="http://schemas.openxmlformats.org/package/2006/relationships"><Relationship Id="rId8" Type="http://schemas.openxmlformats.org/officeDocument/2006/relationships/image" Target="../media/image7.emf"/><Relationship Id="rId13" Type="http://schemas.openxmlformats.org/officeDocument/2006/relationships/image" Target="../media/image29.emf"/><Relationship Id="rId3" Type="http://schemas.openxmlformats.org/officeDocument/2006/relationships/image" Target="../media/image8.emf"/><Relationship Id="rId7" Type="http://schemas.openxmlformats.org/officeDocument/2006/relationships/image" Target="../media/image5.emf"/><Relationship Id="rId12" Type="http://schemas.openxmlformats.org/officeDocument/2006/relationships/image" Target="../media/image28.emf"/><Relationship Id="rId2" Type="http://schemas.openxmlformats.org/officeDocument/2006/relationships/image" Target="../media/image6.emf"/><Relationship Id="rId16" Type="http://schemas.openxmlformats.org/officeDocument/2006/relationships/image" Target="../media/image32.emf"/><Relationship Id="rId1" Type="http://schemas.openxmlformats.org/officeDocument/2006/relationships/image" Target="../media/image2.emf"/><Relationship Id="rId6" Type="http://schemas.openxmlformats.org/officeDocument/2006/relationships/image" Target="../media/image3.emf"/><Relationship Id="rId11" Type="http://schemas.openxmlformats.org/officeDocument/2006/relationships/image" Target="../media/image27.emf"/><Relationship Id="rId5" Type="http://schemas.openxmlformats.org/officeDocument/2006/relationships/image" Target="../media/image18.emf"/><Relationship Id="rId15" Type="http://schemas.openxmlformats.org/officeDocument/2006/relationships/image" Target="../media/image31.emf"/><Relationship Id="rId10" Type="http://schemas.openxmlformats.org/officeDocument/2006/relationships/image" Target="../media/image21.emf"/><Relationship Id="rId4" Type="http://schemas.openxmlformats.org/officeDocument/2006/relationships/image" Target="../media/image20.emf"/><Relationship Id="rId9" Type="http://schemas.openxmlformats.org/officeDocument/2006/relationships/image" Target="../media/image9.emf"/><Relationship Id="rId14" Type="http://schemas.openxmlformats.org/officeDocument/2006/relationships/image" Target="../media/image30.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10</xdr:col>
      <xdr:colOff>7620</xdr:colOff>
      <xdr:row>22</xdr:row>
      <xdr:rowOff>15240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2575560"/>
          <a:ext cx="5958840" cy="1478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22</xdr:col>
          <xdr:colOff>99060</xdr:colOff>
          <xdr:row>55</xdr:row>
          <xdr:rowOff>99060</xdr:rowOff>
        </xdr:from>
        <xdr:to>
          <xdr:col>26</xdr:col>
          <xdr:colOff>0</xdr:colOff>
          <xdr:row>65</xdr:row>
          <xdr:rowOff>45720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30480</xdr:colOff>
          <xdr:row>55</xdr:row>
          <xdr:rowOff>91440</xdr:rowOff>
        </xdr:from>
        <xdr:to>
          <xdr:col>29</xdr:col>
          <xdr:colOff>160020</xdr:colOff>
          <xdr:row>65</xdr:row>
          <xdr:rowOff>99060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22860</xdr:colOff>
          <xdr:row>56</xdr:row>
          <xdr:rowOff>53340</xdr:rowOff>
        </xdr:from>
        <xdr:to>
          <xdr:col>32</xdr:col>
          <xdr:colOff>449580</xdr:colOff>
          <xdr:row>65</xdr:row>
          <xdr:rowOff>99060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106680</xdr:colOff>
          <xdr:row>56</xdr:row>
          <xdr:rowOff>60960</xdr:rowOff>
        </xdr:from>
        <xdr:to>
          <xdr:col>35</xdr:col>
          <xdr:colOff>579120</xdr:colOff>
          <xdr:row>65</xdr:row>
          <xdr:rowOff>144780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754380</xdr:colOff>
          <xdr:row>56</xdr:row>
          <xdr:rowOff>53340</xdr:rowOff>
        </xdr:from>
        <xdr:to>
          <xdr:col>38</xdr:col>
          <xdr:colOff>731520</xdr:colOff>
          <xdr:row>65</xdr:row>
          <xdr:rowOff>144780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99060</xdr:colOff>
          <xdr:row>56</xdr:row>
          <xdr:rowOff>91440</xdr:rowOff>
        </xdr:from>
        <xdr:to>
          <xdr:col>44</xdr:col>
          <xdr:colOff>45720</xdr:colOff>
          <xdr:row>65</xdr:row>
          <xdr:rowOff>144780</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43</xdr:col>
          <xdr:colOff>754380</xdr:colOff>
          <xdr:row>56</xdr:row>
          <xdr:rowOff>106680</xdr:rowOff>
        </xdr:from>
        <xdr:to>
          <xdr:col>48</xdr:col>
          <xdr:colOff>579120</xdr:colOff>
          <xdr:row>65</xdr:row>
          <xdr:rowOff>99060</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152400</xdr:colOff>
          <xdr:row>56</xdr:row>
          <xdr:rowOff>76200</xdr:rowOff>
        </xdr:from>
        <xdr:to>
          <xdr:col>52</xdr:col>
          <xdr:colOff>99060</xdr:colOff>
          <xdr:row>65</xdr:row>
          <xdr:rowOff>68580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54</xdr:col>
          <xdr:colOff>563880</xdr:colOff>
          <xdr:row>39</xdr:row>
          <xdr:rowOff>99060</xdr:rowOff>
        </xdr:from>
        <xdr:to>
          <xdr:col>59</xdr:col>
          <xdr:colOff>472440</xdr:colOff>
          <xdr:row>54</xdr:row>
          <xdr:rowOff>91440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60</xdr:col>
          <xdr:colOff>289560</xdr:colOff>
          <xdr:row>10</xdr:row>
          <xdr:rowOff>106680</xdr:rowOff>
        </xdr:from>
        <xdr:to>
          <xdr:col>66</xdr:col>
          <xdr:colOff>160020</xdr:colOff>
          <xdr:row>25</xdr:row>
          <xdr:rowOff>15240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60</xdr:col>
          <xdr:colOff>236220</xdr:colOff>
          <xdr:row>39</xdr:row>
          <xdr:rowOff>129540</xdr:rowOff>
        </xdr:from>
        <xdr:to>
          <xdr:col>66</xdr:col>
          <xdr:colOff>167640</xdr:colOff>
          <xdr:row>54</xdr:row>
          <xdr:rowOff>106680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66</xdr:col>
          <xdr:colOff>160020</xdr:colOff>
          <xdr:row>10</xdr:row>
          <xdr:rowOff>91440</xdr:rowOff>
        </xdr:from>
        <xdr:to>
          <xdr:col>72</xdr:col>
          <xdr:colOff>137160</xdr:colOff>
          <xdr:row>22</xdr:row>
          <xdr:rowOff>99060</xdr:rowOff>
        </xdr:to>
        <xdr:sp macro="" textlink="">
          <xdr:nvSpPr>
            <xdr:cNvPr id="4100" name="Object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137160</xdr:colOff>
          <xdr:row>10</xdr:row>
          <xdr:rowOff>83820</xdr:rowOff>
        </xdr:from>
        <xdr:to>
          <xdr:col>78</xdr:col>
          <xdr:colOff>426720</xdr:colOff>
          <xdr:row>22</xdr:row>
          <xdr:rowOff>15240</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200-000005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66</xdr:col>
          <xdr:colOff>91440</xdr:colOff>
          <xdr:row>39</xdr:row>
          <xdr:rowOff>114300</xdr:rowOff>
        </xdr:from>
        <xdr:to>
          <xdr:col>72</xdr:col>
          <xdr:colOff>243840</xdr:colOff>
          <xdr:row>54</xdr:row>
          <xdr:rowOff>76200</xdr:rowOff>
        </xdr:to>
        <xdr:sp macro="" textlink="">
          <xdr:nvSpPr>
            <xdr:cNvPr id="4102" name="Object 6" hidden="1">
              <a:extLst>
                <a:ext uri="{63B3BB69-23CF-44E3-9099-C40C66FF867C}">
                  <a14:compatExt spid="_x0000_s4102"/>
                </a:ext>
                <a:ext uri="{FF2B5EF4-FFF2-40B4-BE49-F238E27FC236}">
                  <a16:creationId xmlns:a16="http://schemas.microsoft.com/office/drawing/2014/main" id="{00000000-0008-0000-0200-000006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236220</xdr:colOff>
          <xdr:row>39</xdr:row>
          <xdr:rowOff>83820</xdr:rowOff>
        </xdr:from>
        <xdr:to>
          <xdr:col>78</xdr:col>
          <xdr:colOff>381000</xdr:colOff>
          <xdr:row>53</xdr:row>
          <xdr:rowOff>137160</xdr:rowOff>
        </xdr:to>
        <xdr:sp macro="" textlink="">
          <xdr:nvSpPr>
            <xdr:cNvPr id="4103" name="Object 7" hidden="1">
              <a:extLst>
                <a:ext uri="{63B3BB69-23CF-44E3-9099-C40C66FF867C}">
                  <a14:compatExt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55</xdr:col>
          <xdr:colOff>0</xdr:colOff>
          <xdr:row>10</xdr:row>
          <xdr:rowOff>167640</xdr:rowOff>
        </xdr:from>
        <xdr:to>
          <xdr:col>60</xdr:col>
          <xdr:colOff>594360</xdr:colOff>
          <xdr:row>24</xdr:row>
          <xdr:rowOff>99060</xdr:rowOff>
        </xdr:to>
        <xdr:sp macro="" textlink="">
          <xdr:nvSpPr>
            <xdr:cNvPr id="4104" name="Object 8" hidden="1">
              <a:extLst>
                <a:ext uri="{63B3BB69-23CF-44E3-9099-C40C66FF867C}">
                  <a14:compatExt spid="_x0000_s4104"/>
                </a:ext>
                <a:ext uri="{FF2B5EF4-FFF2-40B4-BE49-F238E27FC236}">
                  <a16:creationId xmlns:a16="http://schemas.microsoft.com/office/drawing/2014/main" id="{00000000-0008-0000-0200-000008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609600</xdr:colOff>
          <xdr:row>67</xdr:row>
          <xdr:rowOff>60960</xdr:rowOff>
        </xdr:from>
        <xdr:to>
          <xdr:col>60</xdr:col>
          <xdr:colOff>0</xdr:colOff>
          <xdr:row>81</xdr:row>
          <xdr:rowOff>15240</xdr:rowOff>
        </xdr:to>
        <xdr:sp macro="" textlink="">
          <xdr:nvSpPr>
            <xdr:cNvPr id="4105" name="Object 9" hidden="1">
              <a:extLst>
                <a:ext uri="{63B3BB69-23CF-44E3-9099-C40C66FF867C}">
                  <a14:compatExt spid="_x0000_s4105"/>
                </a:ext>
                <a:ext uri="{FF2B5EF4-FFF2-40B4-BE49-F238E27FC236}">
                  <a16:creationId xmlns:a16="http://schemas.microsoft.com/office/drawing/2014/main" id="{00000000-0008-0000-0200-000009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85</xdr:col>
          <xdr:colOff>30480</xdr:colOff>
          <xdr:row>68</xdr:row>
          <xdr:rowOff>60960</xdr:rowOff>
        </xdr:from>
        <xdr:to>
          <xdr:col>90</xdr:col>
          <xdr:colOff>480060</xdr:colOff>
          <xdr:row>81</xdr:row>
          <xdr:rowOff>30480</xdr:rowOff>
        </xdr:to>
        <xdr:sp macro="" textlink="">
          <xdr:nvSpPr>
            <xdr:cNvPr id="4106" name="Object 10" hidden="1">
              <a:extLst>
                <a:ext uri="{63B3BB69-23CF-44E3-9099-C40C66FF867C}">
                  <a14:compatExt spid="_x0000_s4106"/>
                </a:ext>
                <a:ext uri="{FF2B5EF4-FFF2-40B4-BE49-F238E27FC236}">
                  <a16:creationId xmlns:a16="http://schemas.microsoft.com/office/drawing/2014/main" id="{00000000-0008-0000-0200-00000A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67</xdr:col>
          <xdr:colOff>0</xdr:colOff>
          <xdr:row>68</xdr:row>
          <xdr:rowOff>0</xdr:rowOff>
        </xdr:from>
        <xdr:to>
          <xdr:col>72</xdr:col>
          <xdr:colOff>121920</xdr:colOff>
          <xdr:row>80</xdr:row>
          <xdr:rowOff>76200</xdr:rowOff>
        </xdr:to>
        <xdr:sp macro="" textlink="">
          <xdr:nvSpPr>
            <xdr:cNvPr id="4107" name="Object 11" hidden="1">
              <a:extLst>
                <a:ext uri="{63B3BB69-23CF-44E3-9099-C40C66FF867C}">
                  <a14:compatExt spid="_x0000_s4107"/>
                </a:ext>
                <a:ext uri="{FF2B5EF4-FFF2-40B4-BE49-F238E27FC236}">
                  <a16:creationId xmlns:a16="http://schemas.microsoft.com/office/drawing/2014/main" id="{00000000-0008-0000-0200-00000B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365760</xdr:colOff>
          <xdr:row>68</xdr:row>
          <xdr:rowOff>38100</xdr:rowOff>
        </xdr:from>
        <xdr:to>
          <xdr:col>78</xdr:col>
          <xdr:colOff>220980</xdr:colOff>
          <xdr:row>80</xdr:row>
          <xdr:rowOff>114300</xdr:rowOff>
        </xdr:to>
        <xdr:sp macro="" textlink="">
          <xdr:nvSpPr>
            <xdr:cNvPr id="4108" name="Object 12" hidden="1">
              <a:extLst>
                <a:ext uri="{63B3BB69-23CF-44E3-9099-C40C66FF867C}">
                  <a14:compatExt spid="_x0000_s4108"/>
                </a:ext>
                <a:ext uri="{FF2B5EF4-FFF2-40B4-BE49-F238E27FC236}">
                  <a16:creationId xmlns:a16="http://schemas.microsoft.com/office/drawing/2014/main" id="{00000000-0008-0000-0200-00000C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60</xdr:col>
          <xdr:colOff>30480</xdr:colOff>
          <xdr:row>68</xdr:row>
          <xdr:rowOff>60960</xdr:rowOff>
        </xdr:from>
        <xdr:to>
          <xdr:col>65</xdr:col>
          <xdr:colOff>480060</xdr:colOff>
          <xdr:row>81</xdr:row>
          <xdr:rowOff>30480</xdr:rowOff>
        </xdr:to>
        <xdr:sp macro="" textlink="">
          <xdr:nvSpPr>
            <xdr:cNvPr id="4109" name="Object 13" hidden="1">
              <a:extLst>
                <a:ext uri="{63B3BB69-23CF-44E3-9099-C40C66FF867C}">
                  <a14:compatExt spid="_x0000_s4109"/>
                </a:ext>
                <a:ext uri="{FF2B5EF4-FFF2-40B4-BE49-F238E27FC236}">
                  <a16:creationId xmlns:a16="http://schemas.microsoft.com/office/drawing/2014/main" id="{00000000-0008-0000-0200-00000D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85</xdr:col>
          <xdr:colOff>289560</xdr:colOff>
          <xdr:row>11</xdr:row>
          <xdr:rowOff>106680</xdr:rowOff>
        </xdr:from>
        <xdr:to>
          <xdr:col>91</xdr:col>
          <xdr:colOff>160020</xdr:colOff>
          <xdr:row>26</xdr:row>
          <xdr:rowOff>15240</xdr:rowOff>
        </xdr:to>
        <xdr:sp macro="" textlink="">
          <xdr:nvSpPr>
            <xdr:cNvPr id="4110" name="Object 14" hidden="1">
              <a:extLst>
                <a:ext uri="{63B3BB69-23CF-44E3-9099-C40C66FF867C}">
                  <a14:compatExt spid="_x0000_s4110"/>
                </a:ext>
                <a:ext uri="{FF2B5EF4-FFF2-40B4-BE49-F238E27FC236}">
                  <a16:creationId xmlns:a16="http://schemas.microsoft.com/office/drawing/2014/main" id="{00000000-0008-0000-0200-00000E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85</xdr:col>
          <xdr:colOff>68580</xdr:colOff>
          <xdr:row>40</xdr:row>
          <xdr:rowOff>38100</xdr:rowOff>
        </xdr:from>
        <xdr:to>
          <xdr:col>90</xdr:col>
          <xdr:colOff>396240</xdr:colOff>
          <xdr:row>52</xdr:row>
          <xdr:rowOff>121920</xdr:rowOff>
        </xdr:to>
        <xdr:sp macro="" textlink="">
          <xdr:nvSpPr>
            <xdr:cNvPr id="4111" name="Object 15" hidden="1">
              <a:extLst>
                <a:ext uri="{63B3BB69-23CF-44E3-9099-C40C66FF867C}">
                  <a14:compatExt spid="_x0000_s4111"/>
                </a:ext>
                <a:ext uri="{FF2B5EF4-FFF2-40B4-BE49-F238E27FC236}">
                  <a16:creationId xmlns:a16="http://schemas.microsoft.com/office/drawing/2014/main" id="{00000000-0008-0000-0200-00000F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78</xdr:col>
          <xdr:colOff>655320</xdr:colOff>
          <xdr:row>10</xdr:row>
          <xdr:rowOff>129540</xdr:rowOff>
        </xdr:from>
        <xdr:to>
          <xdr:col>85</xdr:col>
          <xdr:colOff>160020</xdr:colOff>
          <xdr:row>22</xdr:row>
          <xdr:rowOff>121920</xdr:rowOff>
        </xdr:to>
        <xdr:sp macro="" textlink="">
          <xdr:nvSpPr>
            <xdr:cNvPr id="4112" name="Object 16" hidden="1">
              <a:extLst>
                <a:ext uri="{63B3BB69-23CF-44E3-9099-C40C66FF867C}">
                  <a14:compatExt spid="_x0000_s4112"/>
                </a:ext>
                <a:ext uri="{FF2B5EF4-FFF2-40B4-BE49-F238E27FC236}">
                  <a16:creationId xmlns:a16="http://schemas.microsoft.com/office/drawing/2014/main" id="{00000000-0008-0000-0200-000010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78</xdr:col>
          <xdr:colOff>822960</xdr:colOff>
          <xdr:row>39</xdr:row>
          <xdr:rowOff>38100</xdr:rowOff>
        </xdr:from>
        <xdr:to>
          <xdr:col>84</xdr:col>
          <xdr:colOff>609600</xdr:colOff>
          <xdr:row>53</xdr:row>
          <xdr:rowOff>76200</xdr:rowOff>
        </xdr:to>
        <xdr:sp macro="" textlink="">
          <xdr:nvSpPr>
            <xdr:cNvPr id="4113" name="Object 17" hidden="1">
              <a:extLst>
                <a:ext uri="{63B3BB69-23CF-44E3-9099-C40C66FF867C}">
                  <a14:compatExt spid="_x0000_s4113"/>
                </a:ext>
                <a:ext uri="{FF2B5EF4-FFF2-40B4-BE49-F238E27FC236}">
                  <a16:creationId xmlns:a16="http://schemas.microsoft.com/office/drawing/2014/main" id="{00000000-0008-0000-0200-00001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78</xdr:col>
          <xdr:colOff>800100</xdr:colOff>
          <xdr:row>67</xdr:row>
          <xdr:rowOff>106680</xdr:rowOff>
        </xdr:from>
        <xdr:to>
          <xdr:col>84</xdr:col>
          <xdr:colOff>525780</xdr:colOff>
          <xdr:row>81</xdr:row>
          <xdr:rowOff>106680</xdr:rowOff>
        </xdr:to>
        <xdr:sp macro="" textlink="">
          <xdr:nvSpPr>
            <xdr:cNvPr id="4114" name="Object 18" hidden="1">
              <a:extLst>
                <a:ext uri="{63B3BB69-23CF-44E3-9099-C40C66FF867C}">
                  <a14:compatExt spid="_x0000_s4114"/>
                </a:ext>
                <a:ext uri="{FF2B5EF4-FFF2-40B4-BE49-F238E27FC236}">
                  <a16:creationId xmlns:a16="http://schemas.microsoft.com/office/drawing/2014/main" id="{00000000-0008-0000-0200-00001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66</xdr:col>
      <xdr:colOff>0</xdr:colOff>
      <xdr:row>126</xdr:row>
      <xdr:rowOff>0</xdr:rowOff>
    </xdr:from>
    <xdr:to>
      <xdr:col>77</xdr:col>
      <xdr:colOff>434340</xdr:colOff>
      <xdr:row>145</xdr:row>
      <xdr:rowOff>4650</xdr:rowOff>
    </xdr:to>
    <xdr:pic>
      <xdr:nvPicPr>
        <xdr:cNvPr id="20" name="Picture 19">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286160" y="23492460"/>
          <a:ext cx="7139940" cy="3497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60</xdr:col>
          <xdr:colOff>266700</xdr:colOff>
          <xdr:row>10</xdr:row>
          <xdr:rowOff>106680</xdr:rowOff>
        </xdr:from>
        <xdr:to>
          <xdr:col>66</xdr:col>
          <xdr:colOff>76200</xdr:colOff>
          <xdr:row>25</xdr:row>
          <xdr:rowOff>60960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60</xdr:col>
          <xdr:colOff>563880</xdr:colOff>
          <xdr:row>39</xdr:row>
          <xdr:rowOff>99060</xdr:rowOff>
        </xdr:from>
        <xdr:to>
          <xdr:col>65</xdr:col>
          <xdr:colOff>457200</xdr:colOff>
          <xdr:row>54</xdr:row>
          <xdr:rowOff>76200</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66</xdr:col>
          <xdr:colOff>289560</xdr:colOff>
          <xdr:row>10</xdr:row>
          <xdr:rowOff>106680</xdr:rowOff>
        </xdr:from>
        <xdr:to>
          <xdr:col>72</xdr:col>
          <xdr:colOff>152400</xdr:colOff>
          <xdr:row>25</xdr:row>
          <xdr:rowOff>22860</xdr:rowOff>
        </xdr:to>
        <xdr:sp macro="" textlink="">
          <xdr:nvSpPr>
            <xdr:cNvPr id="6147" name="Object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66</xdr:col>
          <xdr:colOff>236220</xdr:colOff>
          <xdr:row>39</xdr:row>
          <xdr:rowOff>129540</xdr:rowOff>
        </xdr:from>
        <xdr:to>
          <xdr:col>72</xdr:col>
          <xdr:colOff>152400</xdr:colOff>
          <xdr:row>54</xdr:row>
          <xdr:rowOff>114300</xdr:rowOff>
        </xdr:to>
        <xdr:sp macro="" textlink="">
          <xdr:nvSpPr>
            <xdr:cNvPr id="6148" name="Object 4" hidden="1">
              <a:extLst>
                <a:ext uri="{63B3BB69-23CF-44E3-9099-C40C66FF867C}">
                  <a14:compatExt spid="_x0000_s6148"/>
                </a:ext>
                <a:ext uri="{FF2B5EF4-FFF2-40B4-BE49-F238E27FC236}">
                  <a16:creationId xmlns:a16="http://schemas.microsoft.com/office/drawing/2014/main" id="{00000000-0008-0000-0300-000004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160020</xdr:colOff>
          <xdr:row>10</xdr:row>
          <xdr:rowOff>91440</xdr:rowOff>
        </xdr:from>
        <xdr:to>
          <xdr:col>78</xdr:col>
          <xdr:colOff>152400</xdr:colOff>
          <xdr:row>22</xdr:row>
          <xdr:rowOff>114300</xdr:rowOff>
        </xdr:to>
        <xdr:sp macro="" textlink="">
          <xdr:nvSpPr>
            <xdr:cNvPr id="6149" name="Object 5" hidden="1">
              <a:extLst>
                <a:ext uri="{63B3BB69-23CF-44E3-9099-C40C66FF867C}">
                  <a14:compatExt spid="_x0000_s6149"/>
                </a:ext>
                <a:ext uri="{FF2B5EF4-FFF2-40B4-BE49-F238E27FC236}">
                  <a16:creationId xmlns:a16="http://schemas.microsoft.com/office/drawing/2014/main" id="{00000000-0008-0000-0300-000005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78</xdr:col>
          <xdr:colOff>137160</xdr:colOff>
          <xdr:row>10</xdr:row>
          <xdr:rowOff>83820</xdr:rowOff>
        </xdr:from>
        <xdr:to>
          <xdr:col>84</xdr:col>
          <xdr:colOff>441960</xdr:colOff>
          <xdr:row>22</xdr:row>
          <xdr:rowOff>22860</xdr:rowOff>
        </xdr:to>
        <xdr:sp macro="" textlink="">
          <xdr:nvSpPr>
            <xdr:cNvPr id="6150" name="Object 6"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91440</xdr:colOff>
          <xdr:row>39</xdr:row>
          <xdr:rowOff>114300</xdr:rowOff>
        </xdr:from>
        <xdr:to>
          <xdr:col>78</xdr:col>
          <xdr:colOff>228600</xdr:colOff>
          <xdr:row>54</xdr:row>
          <xdr:rowOff>76200</xdr:rowOff>
        </xdr:to>
        <xdr:sp macro="" textlink="">
          <xdr:nvSpPr>
            <xdr:cNvPr id="6151" name="Object 7" hidden="1">
              <a:extLst>
                <a:ext uri="{63B3BB69-23CF-44E3-9099-C40C66FF867C}">
                  <a14:compatExt spid="_x0000_s6151"/>
                </a:ext>
                <a:ext uri="{FF2B5EF4-FFF2-40B4-BE49-F238E27FC236}">
                  <a16:creationId xmlns:a16="http://schemas.microsoft.com/office/drawing/2014/main" id="{00000000-0008-0000-0300-000007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78</xdr:col>
          <xdr:colOff>236220</xdr:colOff>
          <xdr:row>39</xdr:row>
          <xdr:rowOff>83820</xdr:rowOff>
        </xdr:from>
        <xdr:to>
          <xdr:col>84</xdr:col>
          <xdr:colOff>381000</xdr:colOff>
          <xdr:row>53</xdr:row>
          <xdr:rowOff>137160</xdr:rowOff>
        </xdr:to>
        <xdr:sp macro="" textlink="">
          <xdr:nvSpPr>
            <xdr:cNvPr id="6152" name="Object 8" hidden="1">
              <a:extLst>
                <a:ext uri="{63B3BB69-23CF-44E3-9099-C40C66FF867C}">
                  <a14:compatExt spid="_x0000_s6152"/>
                </a:ext>
                <a:ext uri="{FF2B5EF4-FFF2-40B4-BE49-F238E27FC236}">
                  <a16:creationId xmlns:a16="http://schemas.microsoft.com/office/drawing/2014/main" id="{00000000-0008-0000-0300-000008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60</xdr:col>
          <xdr:colOff>609600</xdr:colOff>
          <xdr:row>67</xdr:row>
          <xdr:rowOff>60960</xdr:rowOff>
        </xdr:from>
        <xdr:to>
          <xdr:col>64</xdr:col>
          <xdr:colOff>487680</xdr:colOff>
          <xdr:row>81</xdr:row>
          <xdr:rowOff>15240</xdr:rowOff>
        </xdr:to>
        <xdr:sp macro="" textlink="">
          <xdr:nvSpPr>
            <xdr:cNvPr id="6153" name="Object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66</xdr:col>
          <xdr:colOff>30480</xdr:colOff>
          <xdr:row>67</xdr:row>
          <xdr:rowOff>60960</xdr:rowOff>
        </xdr:from>
        <xdr:to>
          <xdr:col>70</xdr:col>
          <xdr:colOff>358140</xdr:colOff>
          <xdr:row>80</xdr:row>
          <xdr:rowOff>30480</xdr:rowOff>
        </xdr:to>
        <xdr:sp macro="" textlink="">
          <xdr:nvSpPr>
            <xdr:cNvPr id="6154" name="Object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72</xdr:col>
          <xdr:colOff>0</xdr:colOff>
          <xdr:row>67</xdr:row>
          <xdr:rowOff>0</xdr:rowOff>
        </xdr:from>
        <xdr:to>
          <xdr:col>76</xdr:col>
          <xdr:colOff>0</xdr:colOff>
          <xdr:row>79</xdr:row>
          <xdr:rowOff>76200</xdr:rowOff>
        </xdr:to>
        <xdr:sp macro="" textlink="">
          <xdr:nvSpPr>
            <xdr:cNvPr id="6155" name="Object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78</xdr:col>
          <xdr:colOff>365760</xdr:colOff>
          <xdr:row>67</xdr:row>
          <xdr:rowOff>38100</xdr:rowOff>
        </xdr:from>
        <xdr:to>
          <xdr:col>82</xdr:col>
          <xdr:colOff>708660</xdr:colOff>
          <xdr:row>79</xdr:row>
          <xdr:rowOff>114300</xdr:rowOff>
        </xdr:to>
        <xdr:sp macro="" textlink="">
          <xdr:nvSpPr>
            <xdr:cNvPr id="6156" name="Object 12" hidden="1">
              <a:extLst>
                <a:ext uri="{63B3BB69-23CF-44E3-9099-C40C66FF867C}">
                  <a14:compatExt spid="_x0000_s6156"/>
                </a:ext>
                <a:ext uri="{FF2B5EF4-FFF2-40B4-BE49-F238E27FC236}">
                  <a16:creationId xmlns:a16="http://schemas.microsoft.com/office/drawing/2014/main" id="{00000000-0008-0000-0300-00000C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84</xdr:col>
          <xdr:colOff>655320</xdr:colOff>
          <xdr:row>10</xdr:row>
          <xdr:rowOff>129540</xdr:rowOff>
        </xdr:from>
        <xdr:to>
          <xdr:col>89</xdr:col>
          <xdr:colOff>510540</xdr:colOff>
          <xdr:row>22</xdr:row>
          <xdr:rowOff>106680</xdr:rowOff>
        </xdr:to>
        <xdr:sp macro="" textlink="">
          <xdr:nvSpPr>
            <xdr:cNvPr id="6157" name="Object 13" hidden="1">
              <a:extLst>
                <a:ext uri="{63B3BB69-23CF-44E3-9099-C40C66FF867C}">
                  <a14:compatExt spid="_x0000_s6157"/>
                </a:ext>
                <a:ext uri="{FF2B5EF4-FFF2-40B4-BE49-F238E27FC236}">
                  <a16:creationId xmlns:a16="http://schemas.microsoft.com/office/drawing/2014/main" id="{00000000-0008-0000-0300-00000D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90</xdr:col>
          <xdr:colOff>289560</xdr:colOff>
          <xdr:row>10</xdr:row>
          <xdr:rowOff>106680</xdr:rowOff>
        </xdr:from>
        <xdr:to>
          <xdr:col>94</xdr:col>
          <xdr:colOff>647700</xdr:colOff>
          <xdr:row>25</xdr:row>
          <xdr:rowOff>0</xdr:rowOff>
        </xdr:to>
        <xdr:sp macro="" textlink="">
          <xdr:nvSpPr>
            <xdr:cNvPr id="6158" name="Object 14" hidden="1">
              <a:extLst>
                <a:ext uri="{63B3BB69-23CF-44E3-9099-C40C66FF867C}">
                  <a14:compatExt spid="_x0000_s6158"/>
                </a:ext>
                <a:ext uri="{FF2B5EF4-FFF2-40B4-BE49-F238E27FC236}">
                  <a16:creationId xmlns:a16="http://schemas.microsoft.com/office/drawing/2014/main" id="{00000000-0008-0000-0300-00000E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85</xdr:col>
          <xdr:colOff>0</xdr:colOff>
          <xdr:row>39</xdr:row>
          <xdr:rowOff>38100</xdr:rowOff>
        </xdr:from>
        <xdr:to>
          <xdr:col>89</xdr:col>
          <xdr:colOff>480060</xdr:colOff>
          <xdr:row>53</xdr:row>
          <xdr:rowOff>60960</xdr:rowOff>
        </xdr:to>
        <xdr:sp macro="" textlink="">
          <xdr:nvSpPr>
            <xdr:cNvPr id="6159" name="Object 15" hidden="1">
              <a:extLst>
                <a:ext uri="{63B3BB69-23CF-44E3-9099-C40C66FF867C}">
                  <a14:compatExt spid="_x0000_s6159"/>
                </a:ext>
                <a:ext uri="{FF2B5EF4-FFF2-40B4-BE49-F238E27FC236}">
                  <a16:creationId xmlns:a16="http://schemas.microsoft.com/office/drawing/2014/main" id="{00000000-0008-0000-0300-00000F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90</xdr:col>
          <xdr:colOff>68580</xdr:colOff>
          <xdr:row>39</xdr:row>
          <xdr:rowOff>38100</xdr:rowOff>
        </xdr:from>
        <xdr:to>
          <xdr:col>94</xdr:col>
          <xdr:colOff>266700</xdr:colOff>
          <xdr:row>51</xdr:row>
          <xdr:rowOff>99060</xdr:rowOff>
        </xdr:to>
        <xdr:sp macro="" textlink="">
          <xdr:nvSpPr>
            <xdr:cNvPr id="6160" name="Object 16" hidden="1">
              <a:extLst>
                <a:ext uri="{63B3BB69-23CF-44E3-9099-C40C66FF867C}">
                  <a14:compatExt spid="_x0000_s6160"/>
                </a:ext>
                <a:ext uri="{FF2B5EF4-FFF2-40B4-BE49-F238E27FC236}">
                  <a16:creationId xmlns:a16="http://schemas.microsoft.com/office/drawing/2014/main" id="{00000000-0008-0000-0300-000010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7</xdr:col>
      <xdr:colOff>6351</xdr:colOff>
      <xdr:row>69</xdr:row>
      <xdr:rowOff>33618</xdr:rowOff>
    </xdr:from>
    <xdr:to>
      <xdr:col>11</xdr:col>
      <xdr:colOff>316181</xdr:colOff>
      <xdr:row>90</xdr:row>
      <xdr:rowOff>140822</xdr:rowOff>
    </xdr:to>
    <xdr:pic>
      <xdr:nvPicPr>
        <xdr:cNvPr id="18" name="Picture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
        <a:stretch>
          <a:fillRect/>
        </a:stretch>
      </xdr:blipFill>
      <xdr:spPr>
        <a:xfrm>
          <a:off x="11634471" y="12759018"/>
          <a:ext cx="5918150" cy="3955304"/>
        </a:xfrm>
        <a:prstGeom prst="rect">
          <a:avLst/>
        </a:prstGeom>
      </xdr:spPr>
    </xdr:pic>
    <xdr:clientData/>
  </xdr:twoCellAnchor>
  <xdr:twoCellAnchor editAs="oneCell">
    <xdr:from>
      <xdr:col>64</xdr:col>
      <xdr:colOff>0</xdr:colOff>
      <xdr:row>116</xdr:row>
      <xdr:rowOff>0</xdr:rowOff>
    </xdr:from>
    <xdr:to>
      <xdr:col>75</xdr:col>
      <xdr:colOff>434340</xdr:colOff>
      <xdr:row>135</xdr:row>
      <xdr:rowOff>13896</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483720" y="21351240"/>
          <a:ext cx="7139940" cy="3497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159</xdr:row>
      <xdr:rowOff>0</xdr:rowOff>
    </xdr:from>
    <xdr:to>
      <xdr:col>19</xdr:col>
      <xdr:colOff>671008</xdr:colOff>
      <xdr:row>193</xdr:row>
      <xdr:rowOff>45720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56880" y="29283660"/>
          <a:ext cx="8907780" cy="6263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60960</xdr:colOff>
          <xdr:row>68</xdr:row>
          <xdr:rowOff>160020</xdr:rowOff>
        </xdr:from>
        <xdr:to>
          <xdr:col>9</xdr:col>
          <xdr:colOff>1653540</xdr:colOff>
          <xdr:row>84</xdr:row>
          <xdr:rowOff>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1219200</xdr:colOff>
          <xdr:row>69</xdr:row>
          <xdr:rowOff>45720</xdr:rowOff>
        </xdr:from>
        <xdr:to>
          <xdr:col>8</xdr:col>
          <xdr:colOff>807720</xdr:colOff>
          <xdr:row>83</xdr:row>
          <xdr:rowOff>121920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883920</xdr:colOff>
          <xdr:row>69</xdr:row>
          <xdr:rowOff>30480</xdr:rowOff>
        </xdr:from>
        <xdr:to>
          <xdr:col>5</xdr:col>
          <xdr:colOff>1021080</xdr:colOff>
          <xdr:row>83</xdr:row>
          <xdr:rowOff>76200</xdr:rowOff>
        </xdr:to>
        <xdr:sp macro="" textlink="">
          <xdr:nvSpPr>
            <xdr:cNvPr id="7171" name="Object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830580</xdr:colOff>
          <xdr:row>69</xdr:row>
          <xdr:rowOff>38100</xdr:rowOff>
        </xdr:from>
        <xdr:to>
          <xdr:col>3</xdr:col>
          <xdr:colOff>708660</xdr:colOff>
          <xdr:row>81</xdr:row>
          <xdr:rowOff>106680</xdr:rowOff>
        </xdr:to>
        <xdr:sp macro="" textlink="">
          <xdr:nvSpPr>
            <xdr:cNvPr id="7172" name="Object 4" hidden="1">
              <a:extLst>
                <a:ext uri="{63B3BB69-23CF-44E3-9099-C40C66FF867C}">
                  <a14:compatExt spid="_x0000_s7172"/>
                </a:ext>
                <a:ext uri="{FF2B5EF4-FFF2-40B4-BE49-F238E27FC236}">
                  <a16:creationId xmlns:a16="http://schemas.microsoft.com/office/drawing/2014/main" id="{00000000-0008-0000-0400-000004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41</xdr:col>
          <xdr:colOff>525780</xdr:colOff>
          <xdr:row>8</xdr:row>
          <xdr:rowOff>60960</xdr:rowOff>
        </xdr:from>
        <xdr:to>
          <xdr:col>45</xdr:col>
          <xdr:colOff>182880</xdr:colOff>
          <xdr:row>22</xdr:row>
          <xdr:rowOff>121920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61</xdr:col>
          <xdr:colOff>556260</xdr:colOff>
          <xdr:row>9</xdr:row>
          <xdr:rowOff>121920</xdr:rowOff>
        </xdr:from>
        <xdr:to>
          <xdr:col>65</xdr:col>
          <xdr:colOff>457200</xdr:colOff>
          <xdr:row>21</xdr:row>
          <xdr:rowOff>114300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426720</xdr:colOff>
          <xdr:row>9</xdr:row>
          <xdr:rowOff>106680</xdr:rowOff>
        </xdr:from>
        <xdr:to>
          <xdr:col>50</xdr:col>
          <xdr:colOff>419100</xdr:colOff>
          <xdr:row>20</xdr:row>
          <xdr:rowOff>114300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5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381000</xdr:colOff>
          <xdr:row>9</xdr:row>
          <xdr:rowOff>60960</xdr:rowOff>
        </xdr:from>
        <xdr:to>
          <xdr:col>55</xdr:col>
          <xdr:colOff>632460</xdr:colOff>
          <xdr:row>20</xdr:row>
          <xdr:rowOff>175260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5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495300</xdr:colOff>
          <xdr:row>8</xdr:row>
          <xdr:rowOff>144780</xdr:rowOff>
        </xdr:from>
        <xdr:to>
          <xdr:col>60</xdr:col>
          <xdr:colOff>594360</xdr:colOff>
          <xdr:row>22</xdr:row>
          <xdr:rowOff>99060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5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381000</xdr:colOff>
          <xdr:row>26</xdr:row>
          <xdr:rowOff>121920</xdr:rowOff>
        </xdr:from>
        <xdr:to>
          <xdr:col>45</xdr:col>
          <xdr:colOff>495300</xdr:colOff>
          <xdr:row>39</xdr:row>
          <xdr:rowOff>99060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56</xdr:col>
          <xdr:colOff>617220</xdr:colOff>
          <xdr:row>26</xdr:row>
          <xdr:rowOff>152400</xdr:rowOff>
        </xdr:from>
        <xdr:to>
          <xdr:col>60</xdr:col>
          <xdr:colOff>449580</xdr:colOff>
          <xdr:row>38</xdr:row>
          <xdr:rowOff>160020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5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61</xdr:col>
          <xdr:colOff>632460</xdr:colOff>
          <xdr:row>26</xdr:row>
          <xdr:rowOff>137160</xdr:rowOff>
        </xdr:from>
        <xdr:to>
          <xdr:col>65</xdr:col>
          <xdr:colOff>327660</xdr:colOff>
          <xdr:row>40</xdr:row>
          <xdr:rowOff>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5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487680</xdr:colOff>
          <xdr:row>26</xdr:row>
          <xdr:rowOff>114300</xdr:rowOff>
        </xdr:from>
        <xdr:to>
          <xdr:col>50</xdr:col>
          <xdr:colOff>502920</xdr:colOff>
          <xdr:row>40</xdr:row>
          <xdr:rowOff>144780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5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388620</xdr:colOff>
          <xdr:row>26</xdr:row>
          <xdr:rowOff>175260</xdr:rowOff>
        </xdr:from>
        <xdr:to>
          <xdr:col>55</xdr:col>
          <xdr:colOff>579120</xdr:colOff>
          <xdr:row>40</xdr:row>
          <xdr:rowOff>22860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5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678180</xdr:colOff>
          <xdr:row>44</xdr:row>
          <xdr:rowOff>137160</xdr:rowOff>
        </xdr:from>
        <xdr:to>
          <xdr:col>50</xdr:col>
          <xdr:colOff>236220</xdr:colOff>
          <xdr:row>54</xdr:row>
          <xdr:rowOff>38100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500-00000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51</xdr:col>
          <xdr:colOff>868680</xdr:colOff>
          <xdr:row>45</xdr:row>
          <xdr:rowOff>45720</xdr:rowOff>
        </xdr:from>
        <xdr:to>
          <xdr:col>55</xdr:col>
          <xdr:colOff>541020</xdr:colOff>
          <xdr:row>55</xdr:row>
          <xdr:rowOff>22860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5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56</xdr:col>
          <xdr:colOff>327660</xdr:colOff>
          <xdr:row>44</xdr:row>
          <xdr:rowOff>121920</xdr:rowOff>
        </xdr:from>
        <xdr:to>
          <xdr:col>60</xdr:col>
          <xdr:colOff>655320</xdr:colOff>
          <xdr:row>54</xdr:row>
          <xdr:rowOff>114300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5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541020</xdr:colOff>
          <xdr:row>44</xdr:row>
          <xdr:rowOff>190500</xdr:rowOff>
        </xdr:from>
        <xdr:to>
          <xdr:col>45</xdr:col>
          <xdr:colOff>304800</xdr:colOff>
          <xdr:row>55</xdr:row>
          <xdr:rowOff>99060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5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66</xdr:col>
          <xdr:colOff>365760</xdr:colOff>
          <xdr:row>26</xdr:row>
          <xdr:rowOff>114300</xdr:rowOff>
        </xdr:from>
        <xdr:to>
          <xdr:col>70</xdr:col>
          <xdr:colOff>495300</xdr:colOff>
          <xdr:row>39</xdr:row>
          <xdr:rowOff>45720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500-00001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66</xdr:col>
          <xdr:colOff>480060</xdr:colOff>
          <xdr:row>10</xdr:row>
          <xdr:rowOff>0</xdr:rowOff>
        </xdr:from>
        <xdr:to>
          <xdr:col>70</xdr:col>
          <xdr:colOff>251460</xdr:colOff>
          <xdr:row>19</xdr:row>
          <xdr:rowOff>22860</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500-00001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18</xdr:col>
      <xdr:colOff>13855</xdr:colOff>
      <xdr:row>127</xdr:row>
      <xdr:rowOff>41564</xdr:rowOff>
    </xdr:from>
    <xdr:to>
      <xdr:col>22</xdr:col>
      <xdr:colOff>22596</xdr:colOff>
      <xdr:row>155</xdr:row>
      <xdr:rowOff>147414</xdr:rowOff>
    </xdr:to>
    <xdr:graphicFrame macro="">
      <xdr:nvGraphicFramePr>
        <xdr:cNvPr id="18" name="Chart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41</xdr:col>
      <xdr:colOff>0</xdr:colOff>
      <xdr:row>78</xdr:row>
      <xdr:rowOff>0</xdr:rowOff>
    </xdr:from>
    <xdr:to>
      <xdr:col>50</xdr:col>
      <xdr:colOff>7620</xdr:colOff>
      <xdr:row>91</xdr:row>
      <xdr:rowOff>30480</xdr:rowOff>
    </xdr:to>
    <xdr:pic>
      <xdr:nvPicPr>
        <xdr:cNvPr id="19" name="Picture 18">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714880" y="14500860"/>
          <a:ext cx="8442960" cy="2415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0</xdr:colOff>
      <xdr:row>155</xdr:row>
      <xdr:rowOff>0</xdr:rowOff>
    </xdr:from>
    <xdr:to>
      <xdr:col>40</xdr:col>
      <xdr:colOff>7620</xdr:colOff>
      <xdr:row>189</xdr:row>
      <xdr:rowOff>30480</xdr:rowOff>
    </xdr:to>
    <xdr:pic>
      <xdr:nvPicPr>
        <xdr:cNvPr id="21" name="Picture 20">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950380" y="28635960"/>
          <a:ext cx="6911340" cy="624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stdoc-VT\1.%20Projet\Synth&#232;se\NHC-catalyseur\Jared\Lot%202%20240913\NHC%20Plan%20Updated(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lter aspiration"/>
      <sheetName val="No filtration no aspiration"/>
      <sheetName val="quantification"/>
    </sheetNames>
    <sheetDataSet>
      <sheetData sheetId="0"/>
      <sheetData sheetId="1"/>
      <sheetData sheetId="2">
        <row r="3">
          <cell r="A3">
            <v>0.36</v>
          </cell>
          <cell r="B3">
            <v>272.58</v>
          </cell>
        </row>
        <row r="4">
          <cell r="A4">
            <v>0.54</v>
          </cell>
          <cell r="B4">
            <v>657.23</v>
          </cell>
        </row>
        <row r="5">
          <cell r="A5">
            <v>0.72</v>
          </cell>
          <cell r="B5">
            <v>877.59</v>
          </cell>
        </row>
        <row r="6">
          <cell r="A6">
            <v>0.9</v>
          </cell>
          <cell r="B6">
            <v>1255.25</v>
          </cell>
        </row>
        <row r="7">
          <cell r="A7">
            <v>1.08</v>
          </cell>
          <cell r="B7">
            <v>1566.2</v>
          </cell>
        </row>
        <row r="8">
          <cell r="A8">
            <v>1.44</v>
          </cell>
          <cell r="B8">
            <v>2439.84</v>
          </cell>
        </row>
        <row r="9">
          <cell r="A9">
            <v>1.8</v>
          </cell>
          <cell r="B9">
            <v>3550.23</v>
          </cell>
        </row>
        <row r="10">
          <cell r="A10">
            <v>2.7</v>
          </cell>
          <cell r="B10">
            <v>5095.09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6.emf"/><Relationship Id="rId18" Type="http://schemas.openxmlformats.org/officeDocument/2006/relationships/oleObject" Target="../embeddings/oleObject8.bin"/><Relationship Id="rId3" Type="http://schemas.openxmlformats.org/officeDocument/2006/relationships/vmlDrawing" Target="../drawings/vmlDrawing1.vml"/><Relationship Id="rId7" Type="http://schemas.openxmlformats.org/officeDocument/2006/relationships/image" Target="../media/image3.emf"/><Relationship Id="rId12" Type="http://schemas.openxmlformats.org/officeDocument/2006/relationships/oleObject" Target="../embeddings/oleObject5.bin"/><Relationship Id="rId17" Type="http://schemas.openxmlformats.org/officeDocument/2006/relationships/image" Target="../media/image8.emf"/><Relationship Id="rId2" Type="http://schemas.openxmlformats.org/officeDocument/2006/relationships/drawing" Target="../drawings/drawing2.xml"/><Relationship Id="rId16" Type="http://schemas.openxmlformats.org/officeDocument/2006/relationships/oleObject" Target="../embeddings/oleObject7.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5.emf"/><Relationship Id="rId5" Type="http://schemas.openxmlformats.org/officeDocument/2006/relationships/image" Target="../media/image2.emf"/><Relationship Id="rId15" Type="http://schemas.openxmlformats.org/officeDocument/2006/relationships/image" Target="../media/image7.emf"/><Relationship Id="rId10" Type="http://schemas.openxmlformats.org/officeDocument/2006/relationships/oleObject" Target="../embeddings/oleObject4.bin"/><Relationship Id="rId19" Type="http://schemas.openxmlformats.org/officeDocument/2006/relationships/image" Target="../media/image9.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1.bin"/><Relationship Id="rId13" Type="http://schemas.openxmlformats.org/officeDocument/2006/relationships/image" Target="../media/image8.emf"/><Relationship Id="rId18" Type="http://schemas.openxmlformats.org/officeDocument/2006/relationships/oleObject" Target="../embeddings/oleObject16.bin"/><Relationship Id="rId26" Type="http://schemas.openxmlformats.org/officeDocument/2006/relationships/oleObject" Target="../embeddings/oleObject20.bin"/><Relationship Id="rId39" Type="http://schemas.openxmlformats.org/officeDocument/2006/relationships/image" Target="../media/image22.emf"/><Relationship Id="rId3" Type="http://schemas.openxmlformats.org/officeDocument/2006/relationships/vmlDrawing" Target="../drawings/vmlDrawing2.vml"/><Relationship Id="rId21" Type="http://schemas.openxmlformats.org/officeDocument/2006/relationships/image" Target="../media/image13.emf"/><Relationship Id="rId34" Type="http://schemas.openxmlformats.org/officeDocument/2006/relationships/oleObject" Target="../embeddings/oleObject24.bin"/><Relationship Id="rId7" Type="http://schemas.openxmlformats.org/officeDocument/2006/relationships/image" Target="../media/image4.emf"/><Relationship Id="rId12" Type="http://schemas.openxmlformats.org/officeDocument/2006/relationships/oleObject" Target="../embeddings/oleObject13.bin"/><Relationship Id="rId17" Type="http://schemas.openxmlformats.org/officeDocument/2006/relationships/image" Target="../media/image9.emf"/><Relationship Id="rId25" Type="http://schemas.openxmlformats.org/officeDocument/2006/relationships/image" Target="../media/image15.emf"/><Relationship Id="rId33" Type="http://schemas.openxmlformats.org/officeDocument/2006/relationships/image" Target="../media/image19.emf"/><Relationship Id="rId38" Type="http://schemas.openxmlformats.org/officeDocument/2006/relationships/oleObject" Target="../embeddings/oleObject26.bin"/><Relationship Id="rId2" Type="http://schemas.openxmlformats.org/officeDocument/2006/relationships/drawing" Target="../drawings/drawing3.xml"/><Relationship Id="rId16" Type="http://schemas.openxmlformats.org/officeDocument/2006/relationships/oleObject" Target="../embeddings/oleObject15.bin"/><Relationship Id="rId20" Type="http://schemas.openxmlformats.org/officeDocument/2006/relationships/oleObject" Target="../embeddings/oleObject17.bin"/><Relationship Id="rId29" Type="http://schemas.openxmlformats.org/officeDocument/2006/relationships/image" Target="../media/image17.emf"/><Relationship Id="rId1" Type="http://schemas.openxmlformats.org/officeDocument/2006/relationships/printerSettings" Target="../printerSettings/printerSettings3.bin"/><Relationship Id="rId6" Type="http://schemas.openxmlformats.org/officeDocument/2006/relationships/oleObject" Target="../embeddings/oleObject10.bin"/><Relationship Id="rId11" Type="http://schemas.openxmlformats.org/officeDocument/2006/relationships/image" Target="../media/image11.emf"/><Relationship Id="rId24" Type="http://schemas.openxmlformats.org/officeDocument/2006/relationships/oleObject" Target="../embeddings/oleObject19.bin"/><Relationship Id="rId32" Type="http://schemas.openxmlformats.org/officeDocument/2006/relationships/oleObject" Target="../embeddings/oleObject23.bin"/><Relationship Id="rId37" Type="http://schemas.openxmlformats.org/officeDocument/2006/relationships/image" Target="../media/image21.emf"/><Relationship Id="rId5" Type="http://schemas.openxmlformats.org/officeDocument/2006/relationships/image" Target="../media/image10.emf"/><Relationship Id="rId15" Type="http://schemas.openxmlformats.org/officeDocument/2006/relationships/image" Target="../media/image7.emf"/><Relationship Id="rId23" Type="http://schemas.openxmlformats.org/officeDocument/2006/relationships/image" Target="../media/image14.emf"/><Relationship Id="rId28" Type="http://schemas.openxmlformats.org/officeDocument/2006/relationships/oleObject" Target="../embeddings/oleObject21.bin"/><Relationship Id="rId36" Type="http://schemas.openxmlformats.org/officeDocument/2006/relationships/oleObject" Target="../embeddings/oleObject25.bin"/><Relationship Id="rId10" Type="http://schemas.openxmlformats.org/officeDocument/2006/relationships/oleObject" Target="../embeddings/oleObject12.bin"/><Relationship Id="rId19" Type="http://schemas.openxmlformats.org/officeDocument/2006/relationships/image" Target="../media/image12.emf"/><Relationship Id="rId31" Type="http://schemas.openxmlformats.org/officeDocument/2006/relationships/image" Target="../media/image18.emf"/><Relationship Id="rId4" Type="http://schemas.openxmlformats.org/officeDocument/2006/relationships/oleObject" Target="../embeddings/oleObject9.bin"/><Relationship Id="rId9" Type="http://schemas.openxmlformats.org/officeDocument/2006/relationships/image" Target="../media/image5.emf"/><Relationship Id="rId14" Type="http://schemas.openxmlformats.org/officeDocument/2006/relationships/oleObject" Target="../embeddings/oleObject14.bin"/><Relationship Id="rId22" Type="http://schemas.openxmlformats.org/officeDocument/2006/relationships/oleObject" Target="../embeddings/oleObject18.bin"/><Relationship Id="rId27" Type="http://schemas.openxmlformats.org/officeDocument/2006/relationships/image" Target="../media/image16.emf"/><Relationship Id="rId30" Type="http://schemas.openxmlformats.org/officeDocument/2006/relationships/oleObject" Target="../embeddings/oleObject22.bin"/><Relationship Id="rId35" Type="http://schemas.openxmlformats.org/officeDocument/2006/relationships/image" Target="../media/image20.emf"/></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29.bin"/><Relationship Id="rId13" Type="http://schemas.openxmlformats.org/officeDocument/2006/relationships/image" Target="../media/image6.emf"/><Relationship Id="rId18" Type="http://schemas.openxmlformats.org/officeDocument/2006/relationships/oleObject" Target="../embeddings/oleObject34.bin"/><Relationship Id="rId26" Type="http://schemas.openxmlformats.org/officeDocument/2006/relationships/oleObject" Target="../embeddings/oleObject38.bin"/><Relationship Id="rId3" Type="http://schemas.openxmlformats.org/officeDocument/2006/relationships/vmlDrawing" Target="../drawings/vmlDrawing3.vml"/><Relationship Id="rId21" Type="http://schemas.openxmlformats.org/officeDocument/2006/relationships/image" Target="../media/image13.emf"/><Relationship Id="rId34" Type="http://schemas.openxmlformats.org/officeDocument/2006/relationships/oleObject" Target="../embeddings/oleObject42.bin"/><Relationship Id="rId7" Type="http://schemas.openxmlformats.org/officeDocument/2006/relationships/image" Target="../media/image3.emf"/><Relationship Id="rId12" Type="http://schemas.openxmlformats.org/officeDocument/2006/relationships/oleObject" Target="../embeddings/oleObject31.bin"/><Relationship Id="rId17" Type="http://schemas.openxmlformats.org/officeDocument/2006/relationships/image" Target="../media/image7.emf"/><Relationship Id="rId25" Type="http://schemas.openxmlformats.org/officeDocument/2006/relationships/image" Target="../media/image15.emf"/><Relationship Id="rId33" Type="http://schemas.openxmlformats.org/officeDocument/2006/relationships/image" Target="../media/image21.emf"/><Relationship Id="rId2" Type="http://schemas.openxmlformats.org/officeDocument/2006/relationships/drawing" Target="../drawings/drawing4.xml"/><Relationship Id="rId16" Type="http://schemas.openxmlformats.org/officeDocument/2006/relationships/oleObject" Target="../embeddings/oleObject33.bin"/><Relationship Id="rId20" Type="http://schemas.openxmlformats.org/officeDocument/2006/relationships/oleObject" Target="../embeddings/oleObject35.bin"/><Relationship Id="rId29" Type="http://schemas.openxmlformats.org/officeDocument/2006/relationships/image" Target="../media/image20.emf"/><Relationship Id="rId1" Type="http://schemas.openxmlformats.org/officeDocument/2006/relationships/printerSettings" Target="../printerSettings/printerSettings4.bin"/><Relationship Id="rId6" Type="http://schemas.openxmlformats.org/officeDocument/2006/relationships/oleObject" Target="../embeddings/oleObject28.bin"/><Relationship Id="rId11" Type="http://schemas.openxmlformats.org/officeDocument/2006/relationships/image" Target="../media/image5.emf"/><Relationship Id="rId24" Type="http://schemas.openxmlformats.org/officeDocument/2006/relationships/oleObject" Target="../embeddings/oleObject37.bin"/><Relationship Id="rId32" Type="http://schemas.openxmlformats.org/officeDocument/2006/relationships/oleObject" Target="../embeddings/oleObject41.bin"/><Relationship Id="rId5" Type="http://schemas.openxmlformats.org/officeDocument/2006/relationships/image" Target="../media/image2.emf"/><Relationship Id="rId15" Type="http://schemas.openxmlformats.org/officeDocument/2006/relationships/image" Target="../media/image8.emf"/><Relationship Id="rId23" Type="http://schemas.openxmlformats.org/officeDocument/2006/relationships/image" Target="../media/image17.emf"/><Relationship Id="rId28" Type="http://schemas.openxmlformats.org/officeDocument/2006/relationships/oleObject" Target="../embeddings/oleObject39.bin"/><Relationship Id="rId10" Type="http://schemas.openxmlformats.org/officeDocument/2006/relationships/oleObject" Target="../embeddings/oleObject30.bin"/><Relationship Id="rId19" Type="http://schemas.openxmlformats.org/officeDocument/2006/relationships/image" Target="../media/image9.emf"/><Relationship Id="rId31" Type="http://schemas.openxmlformats.org/officeDocument/2006/relationships/image" Target="../media/image18.emf"/><Relationship Id="rId4" Type="http://schemas.openxmlformats.org/officeDocument/2006/relationships/oleObject" Target="../embeddings/oleObject27.bin"/><Relationship Id="rId9" Type="http://schemas.openxmlformats.org/officeDocument/2006/relationships/image" Target="../media/image4.emf"/><Relationship Id="rId14" Type="http://schemas.openxmlformats.org/officeDocument/2006/relationships/oleObject" Target="../embeddings/oleObject32.bin"/><Relationship Id="rId22" Type="http://schemas.openxmlformats.org/officeDocument/2006/relationships/oleObject" Target="../embeddings/oleObject36.bin"/><Relationship Id="rId27" Type="http://schemas.openxmlformats.org/officeDocument/2006/relationships/image" Target="../media/image16.emf"/><Relationship Id="rId30" Type="http://schemas.openxmlformats.org/officeDocument/2006/relationships/oleObject" Target="../embeddings/oleObject40.bin"/><Relationship Id="rId35" Type="http://schemas.openxmlformats.org/officeDocument/2006/relationships/image" Target="../media/image19.emf"/></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45.bin"/><Relationship Id="rId3" Type="http://schemas.openxmlformats.org/officeDocument/2006/relationships/vmlDrawing" Target="../drawings/vmlDrawing4.vml"/><Relationship Id="rId7" Type="http://schemas.openxmlformats.org/officeDocument/2006/relationships/image" Target="../media/image9.emf"/><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44.bin"/><Relationship Id="rId11" Type="http://schemas.openxmlformats.org/officeDocument/2006/relationships/image" Target="../media/image19.emf"/><Relationship Id="rId5" Type="http://schemas.openxmlformats.org/officeDocument/2006/relationships/image" Target="../media/image3.emf"/><Relationship Id="rId10" Type="http://schemas.openxmlformats.org/officeDocument/2006/relationships/oleObject" Target="../embeddings/oleObject46.bin"/><Relationship Id="rId4" Type="http://schemas.openxmlformats.org/officeDocument/2006/relationships/oleObject" Target="../embeddings/oleObject43.bin"/><Relationship Id="rId9" Type="http://schemas.openxmlformats.org/officeDocument/2006/relationships/image" Target="../media/image21.emf"/></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49.bin"/><Relationship Id="rId13" Type="http://schemas.openxmlformats.org/officeDocument/2006/relationships/image" Target="../media/image18.emf"/><Relationship Id="rId18" Type="http://schemas.openxmlformats.org/officeDocument/2006/relationships/oleObject" Target="../embeddings/oleObject54.bin"/><Relationship Id="rId26" Type="http://schemas.openxmlformats.org/officeDocument/2006/relationships/oleObject" Target="../embeddings/oleObject58.bin"/><Relationship Id="rId3" Type="http://schemas.openxmlformats.org/officeDocument/2006/relationships/vmlDrawing" Target="../drawings/vmlDrawing5.vml"/><Relationship Id="rId21" Type="http://schemas.openxmlformats.org/officeDocument/2006/relationships/image" Target="../media/image9.emf"/><Relationship Id="rId34" Type="http://schemas.openxmlformats.org/officeDocument/2006/relationships/oleObject" Target="../embeddings/oleObject62.bin"/><Relationship Id="rId7" Type="http://schemas.openxmlformats.org/officeDocument/2006/relationships/image" Target="../media/image6.emf"/><Relationship Id="rId12" Type="http://schemas.openxmlformats.org/officeDocument/2006/relationships/oleObject" Target="../embeddings/oleObject51.bin"/><Relationship Id="rId17" Type="http://schemas.openxmlformats.org/officeDocument/2006/relationships/image" Target="../media/image5.emf"/><Relationship Id="rId25" Type="http://schemas.openxmlformats.org/officeDocument/2006/relationships/image" Target="../media/image27.emf"/><Relationship Id="rId33" Type="http://schemas.openxmlformats.org/officeDocument/2006/relationships/image" Target="../media/image31.emf"/><Relationship Id="rId2" Type="http://schemas.openxmlformats.org/officeDocument/2006/relationships/drawing" Target="../drawings/drawing6.xml"/><Relationship Id="rId16" Type="http://schemas.openxmlformats.org/officeDocument/2006/relationships/oleObject" Target="../embeddings/oleObject53.bin"/><Relationship Id="rId20" Type="http://schemas.openxmlformats.org/officeDocument/2006/relationships/oleObject" Target="../embeddings/oleObject55.bin"/><Relationship Id="rId29" Type="http://schemas.openxmlformats.org/officeDocument/2006/relationships/image" Target="../media/image29.emf"/><Relationship Id="rId1" Type="http://schemas.openxmlformats.org/officeDocument/2006/relationships/printerSettings" Target="../printerSettings/printerSettings6.bin"/><Relationship Id="rId6" Type="http://schemas.openxmlformats.org/officeDocument/2006/relationships/oleObject" Target="../embeddings/oleObject48.bin"/><Relationship Id="rId11" Type="http://schemas.openxmlformats.org/officeDocument/2006/relationships/image" Target="../media/image20.emf"/><Relationship Id="rId24" Type="http://schemas.openxmlformats.org/officeDocument/2006/relationships/oleObject" Target="../embeddings/oleObject57.bin"/><Relationship Id="rId32" Type="http://schemas.openxmlformats.org/officeDocument/2006/relationships/oleObject" Target="../embeddings/oleObject61.bin"/><Relationship Id="rId5" Type="http://schemas.openxmlformats.org/officeDocument/2006/relationships/image" Target="../media/image2.emf"/><Relationship Id="rId15" Type="http://schemas.openxmlformats.org/officeDocument/2006/relationships/image" Target="../media/image3.emf"/><Relationship Id="rId23" Type="http://schemas.openxmlformats.org/officeDocument/2006/relationships/image" Target="../media/image21.emf"/><Relationship Id="rId28" Type="http://schemas.openxmlformats.org/officeDocument/2006/relationships/oleObject" Target="../embeddings/oleObject59.bin"/><Relationship Id="rId10" Type="http://schemas.openxmlformats.org/officeDocument/2006/relationships/oleObject" Target="../embeddings/oleObject50.bin"/><Relationship Id="rId19" Type="http://schemas.openxmlformats.org/officeDocument/2006/relationships/image" Target="../media/image7.emf"/><Relationship Id="rId31" Type="http://schemas.openxmlformats.org/officeDocument/2006/relationships/image" Target="../media/image30.emf"/><Relationship Id="rId4" Type="http://schemas.openxmlformats.org/officeDocument/2006/relationships/oleObject" Target="../embeddings/oleObject47.bin"/><Relationship Id="rId9" Type="http://schemas.openxmlformats.org/officeDocument/2006/relationships/image" Target="../media/image8.emf"/><Relationship Id="rId14" Type="http://schemas.openxmlformats.org/officeDocument/2006/relationships/oleObject" Target="../embeddings/oleObject52.bin"/><Relationship Id="rId22" Type="http://schemas.openxmlformats.org/officeDocument/2006/relationships/oleObject" Target="../embeddings/oleObject56.bin"/><Relationship Id="rId27" Type="http://schemas.openxmlformats.org/officeDocument/2006/relationships/image" Target="../media/image28.emf"/><Relationship Id="rId30" Type="http://schemas.openxmlformats.org/officeDocument/2006/relationships/oleObject" Target="../embeddings/oleObject60.bin"/><Relationship Id="rId35" Type="http://schemas.openxmlformats.org/officeDocument/2006/relationships/image" Target="../media/image3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6B0A5-FFAA-4C46-896A-102FBD78E316}">
  <dimension ref="C3:R29"/>
  <sheetViews>
    <sheetView tabSelected="1" topLeftCell="B1" zoomScaleNormal="100" workbookViewId="0">
      <selection activeCell="N4" sqref="N4:R29"/>
    </sheetView>
  </sheetViews>
  <sheetFormatPr defaultRowHeight="14.4" x14ac:dyDescent="0.3"/>
  <cols>
    <col min="3" max="3" width="9.5546875" customWidth="1"/>
    <col min="4" max="4" width="17.88671875" customWidth="1"/>
    <col min="5" max="5" width="11.5546875" customWidth="1"/>
    <col min="6" max="10" width="9.5546875" customWidth="1"/>
    <col min="14" max="14" width="18.6640625" customWidth="1"/>
    <col min="15" max="15" width="23" customWidth="1"/>
    <col min="16" max="18" width="9.44140625" customWidth="1"/>
  </cols>
  <sheetData>
    <row r="3" spans="3:18" ht="15" thickBot="1" x14ac:dyDescent="0.35"/>
    <row r="4" spans="3:18" x14ac:dyDescent="0.3">
      <c r="C4" s="9"/>
      <c r="D4" s="9"/>
      <c r="E4" s="9"/>
      <c r="F4" s="9"/>
      <c r="G4" s="9"/>
      <c r="H4" s="9"/>
      <c r="I4" s="9"/>
      <c r="J4" s="9"/>
      <c r="K4" s="9"/>
      <c r="L4" s="9"/>
      <c r="N4" s="930" t="s">
        <v>47</v>
      </c>
      <c r="O4" s="928" t="s">
        <v>483</v>
      </c>
      <c r="P4" s="921" t="s">
        <v>484</v>
      </c>
      <c r="Q4" s="850"/>
      <c r="R4" s="851"/>
    </row>
    <row r="5" spans="3:18" ht="15" thickBot="1" x14ac:dyDescent="0.35">
      <c r="C5" s="5"/>
      <c r="D5" s="632"/>
      <c r="E5" s="632"/>
      <c r="F5" s="632"/>
      <c r="G5" s="9"/>
      <c r="H5" s="9"/>
      <c r="I5" s="9"/>
      <c r="J5" s="9"/>
      <c r="K5" s="9"/>
      <c r="L5" s="9"/>
      <c r="N5" s="753"/>
      <c r="O5" s="929"/>
      <c r="P5" s="238">
        <v>5</v>
      </c>
      <c r="Q5" s="232">
        <v>6</v>
      </c>
      <c r="R5" s="154">
        <v>7</v>
      </c>
    </row>
    <row r="6" spans="3:18" x14ac:dyDescent="0.3">
      <c r="C6" s="723"/>
      <c r="D6" s="297"/>
      <c r="E6" s="297"/>
      <c r="F6" s="742" t="s">
        <v>470</v>
      </c>
      <c r="G6" s="743"/>
      <c r="H6" s="743"/>
      <c r="I6" s="743"/>
      <c r="J6" s="744"/>
      <c r="K6" s="9"/>
      <c r="L6" s="9"/>
      <c r="N6" s="751" t="s">
        <v>35</v>
      </c>
      <c r="O6" s="254" t="s">
        <v>10</v>
      </c>
      <c r="P6" s="917">
        <v>9.3771020818700332</v>
      </c>
      <c r="Q6" s="914" t="s">
        <v>9</v>
      </c>
      <c r="R6" s="139">
        <v>29.73</v>
      </c>
    </row>
    <row r="7" spans="3:18" x14ac:dyDescent="0.3">
      <c r="C7" s="724"/>
      <c r="D7" s="56" t="s">
        <v>115</v>
      </c>
      <c r="E7" s="56" t="s">
        <v>165</v>
      </c>
      <c r="F7" s="718" t="s">
        <v>325</v>
      </c>
      <c r="G7" s="56" t="s">
        <v>326</v>
      </c>
      <c r="H7" s="56" t="s">
        <v>327</v>
      </c>
      <c r="I7" s="56" t="s">
        <v>328</v>
      </c>
      <c r="J7" s="128" t="s">
        <v>329</v>
      </c>
      <c r="K7" s="9"/>
      <c r="L7" s="9"/>
      <c r="N7" s="922"/>
      <c r="O7" s="232" t="s">
        <v>73</v>
      </c>
      <c r="P7" s="918">
        <v>0.92136908320943922</v>
      </c>
      <c r="Q7" s="915" t="s">
        <v>9</v>
      </c>
      <c r="R7" s="133">
        <v>5.86</v>
      </c>
    </row>
    <row r="8" spans="3:18" x14ac:dyDescent="0.3">
      <c r="C8" s="740" t="s">
        <v>163</v>
      </c>
      <c r="D8" s="42" t="s">
        <v>19</v>
      </c>
      <c r="E8" s="42">
        <v>0.1</v>
      </c>
      <c r="F8" s="719">
        <f>'Trial 3'!AT84</f>
        <v>0.34604479332312993</v>
      </c>
      <c r="G8" s="211">
        <f>'Trial 4'!AF149</f>
        <v>0.16153177432648944</v>
      </c>
      <c r="H8" s="211">
        <f>'Trial 5'!AD153</f>
        <v>40.589743589743591</v>
      </c>
      <c r="I8" s="211">
        <f>'Trial 6'!N56</f>
        <v>4.2183622828784156E-2</v>
      </c>
      <c r="J8" s="212">
        <f>'Trial 7'!V121</f>
        <v>0.13124050040921306</v>
      </c>
      <c r="K8" s="9"/>
      <c r="L8" s="9"/>
      <c r="N8" s="922"/>
      <c r="O8" s="232" t="s">
        <v>25</v>
      </c>
      <c r="P8" s="918">
        <v>0</v>
      </c>
      <c r="Q8" s="915" t="s">
        <v>9</v>
      </c>
      <c r="R8" s="133">
        <v>0</v>
      </c>
    </row>
    <row r="9" spans="3:18" x14ac:dyDescent="0.3">
      <c r="C9" s="741"/>
      <c r="D9" s="64" t="s">
        <v>46</v>
      </c>
      <c r="E9" s="64">
        <v>0.1</v>
      </c>
      <c r="F9" s="720">
        <f>'Trial 3'!AT85</f>
        <v>0.61789810839373194</v>
      </c>
      <c r="G9" s="206">
        <f>'Trial 4'!AF150</f>
        <v>0.12556779457874967</v>
      </c>
      <c r="H9" s="206">
        <f>'Trial 5'!AD154</f>
        <v>27.026842206790121</v>
      </c>
      <c r="I9" s="206">
        <f>'Trial 6'!N57</f>
        <v>2.6273641219756488E-2</v>
      </c>
      <c r="J9" s="207">
        <f>'Trial 7'!V122</f>
        <v>3.4527464946710572E-2</v>
      </c>
      <c r="K9" s="9"/>
      <c r="L9" s="9"/>
      <c r="N9" s="922"/>
      <c r="O9" s="232" t="s">
        <v>227</v>
      </c>
      <c r="P9" s="918">
        <v>0</v>
      </c>
      <c r="Q9" s="915" t="s">
        <v>9</v>
      </c>
      <c r="R9" s="133">
        <v>0</v>
      </c>
    </row>
    <row r="10" spans="3:18" x14ac:dyDescent="0.3">
      <c r="C10" s="741"/>
      <c r="D10" s="64" t="s">
        <v>47</v>
      </c>
      <c r="E10" s="64">
        <v>0.1</v>
      </c>
      <c r="F10" s="720">
        <f>'Trial 3'!AT86</f>
        <v>0.61270313101435459</v>
      </c>
      <c r="G10" s="206">
        <f>'Trial 4'!AF151</f>
        <v>0.11043906810035842</v>
      </c>
      <c r="H10" s="206">
        <f>'Trial 5'!AD155</f>
        <v>29.291522657450145</v>
      </c>
      <c r="I10" s="206">
        <f>'Trial 6'!N58</f>
        <v>5.1297018581902769E-2</v>
      </c>
      <c r="J10" s="207">
        <f>'Trial 7'!V123</f>
        <v>6.5411805184554986E-2</v>
      </c>
      <c r="K10" s="9"/>
      <c r="L10" s="9"/>
      <c r="N10" s="922"/>
      <c r="O10" s="232" t="s">
        <v>13</v>
      </c>
      <c r="P10" s="918">
        <v>8.0505739235692015</v>
      </c>
      <c r="Q10" s="915" t="s">
        <v>9</v>
      </c>
      <c r="R10" s="133">
        <v>23.48</v>
      </c>
    </row>
    <row r="11" spans="3:18" x14ac:dyDescent="0.3">
      <c r="C11" s="741"/>
      <c r="D11" s="64" t="s">
        <v>5</v>
      </c>
      <c r="E11" s="64">
        <v>0.1</v>
      </c>
      <c r="F11" s="720">
        <f>'Trial 3'!AT87</f>
        <v>0.22470367231317531</v>
      </c>
      <c r="G11" s="206">
        <f>'Trial 4'!AF152</f>
        <v>8.8362068965517251E-2</v>
      </c>
      <c r="H11" s="206">
        <f>'Trial 5'!AD156</f>
        <v>354.74224141434553</v>
      </c>
      <c r="I11" s="206">
        <f>'Trial 6'!N59</f>
        <v>0.10136826084960122</v>
      </c>
      <c r="J11" s="207">
        <f>'Trial 7'!V124</f>
        <v>4.4066914466181113E-2</v>
      </c>
      <c r="K11" s="9"/>
      <c r="L11" s="9"/>
      <c r="N11" s="923"/>
      <c r="O11" s="262" t="s">
        <v>24</v>
      </c>
      <c r="P11" s="919">
        <v>2.2768522464763392</v>
      </c>
      <c r="Q11" s="916" t="s">
        <v>9</v>
      </c>
      <c r="R11" s="141">
        <v>11.07</v>
      </c>
    </row>
    <row r="12" spans="3:18" x14ac:dyDescent="0.3">
      <c r="C12" s="741"/>
      <c r="D12" s="64" t="s">
        <v>160</v>
      </c>
      <c r="E12" s="64">
        <v>5</v>
      </c>
      <c r="F12" s="720" t="str">
        <f>'Trial 3'!AT88</f>
        <v>-</v>
      </c>
      <c r="G12" s="206">
        <f>'Trial 4'!AF153</f>
        <v>3.3470596852839075E-2</v>
      </c>
      <c r="H12" s="206">
        <f>'Trial 5'!AD157</f>
        <v>12.62464594910748</v>
      </c>
      <c r="I12" s="206">
        <f>'Trial 6'!N60</f>
        <v>3.6259541984732926E-2</v>
      </c>
      <c r="J12" s="207">
        <f>'Trial 7'!V125</f>
        <v>3.8539742293794324E-2</v>
      </c>
      <c r="K12" s="9"/>
      <c r="L12" s="9"/>
      <c r="N12" s="751" t="s">
        <v>480</v>
      </c>
      <c r="O12" s="254" t="s">
        <v>10</v>
      </c>
      <c r="P12" s="917">
        <v>8.8604126217914523</v>
      </c>
      <c r="Q12" s="914">
        <v>34</v>
      </c>
      <c r="R12" s="139">
        <v>29.16</v>
      </c>
    </row>
    <row r="13" spans="3:18" ht="15" thickBot="1" x14ac:dyDescent="0.35">
      <c r="C13" s="722" t="s">
        <v>166</v>
      </c>
      <c r="D13" s="165" t="s">
        <v>8</v>
      </c>
      <c r="E13" s="165" t="s">
        <v>9</v>
      </c>
      <c r="F13" s="721">
        <f>'Trial 3'!AT89</f>
        <v>1.3705530719575448E-2</v>
      </c>
      <c r="G13" s="633">
        <f>'Trial 4'!AF154</f>
        <v>5.9027777777777854E-3</v>
      </c>
      <c r="H13" s="633">
        <f>'Trial 5'!AE158</f>
        <v>1.1833333333333343E-2</v>
      </c>
      <c r="I13" s="633">
        <f>'Trial 6'!N61</f>
        <v>7.3499999999999996E-2</v>
      </c>
      <c r="J13" s="227">
        <f>'Trial 7'!V126</f>
        <v>4.6625E-2</v>
      </c>
      <c r="K13" s="9"/>
      <c r="L13" s="9"/>
      <c r="N13" s="922"/>
      <c r="O13" s="232" t="s">
        <v>73</v>
      </c>
      <c r="P13" s="918">
        <v>0.97033573995376832</v>
      </c>
      <c r="Q13" s="915" t="s">
        <v>9</v>
      </c>
      <c r="R13" s="133">
        <v>4.9315271640049403</v>
      </c>
    </row>
    <row r="14" spans="3:18" x14ac:dyDescent="0.3">
      <c r="C14" s="9"/>
      <c r="D14" s="9"/>
      <c r="E14" s="9"/>
      <c r="F14" s="9"/>
      <c r="G14" s="9"/>
      <c r="H14" s="9"/>
      <c r="I14" s="9"/>
      <c r="J14" s="9"/>
      <c r="K14" s="9"/>
      <c r="L14" s="9"/>
      <c r="N14" s="922"/>
      <c r="O14" s="232" t="s">
        <v>25</v>
      </c>
      <c r="P14" s="918">
        <v>0</v>
      </c>
      <c r="Q14" s="915">
        <v>8.7992971219264504</v>
      </c>
      <c r="R14" s="133">
        <v>0</v>
      </c>
    </row>
    <row r="15" spans="3:18" x14ac:dyDescent="0.3">
      <c r="C15" s="9"/>
      <c r="D15" s="9"/>
      <c r="E15" s="9"/>
      <c r="F15" s="9"/>
      <c r="G15" s="9"/>
      <c r="H15" s="9"/>
      <c r="I15" s="9"/>
      <c r="J15" s="9"/>
      <c r="K15" s="9"/>
      <c r="L15" s="9"/>
      <c r="N15" s="922"/>
      <c r="O15" s="232" t="s">
        <v>227</v>
      </c>
      <c r="P15" s="920">
        <v>0</v>
      </c>
      <c r="Q15" s="915" t="s">
        <v>9</v>
      </c>
      <c r="R15" s="133">
        <v>0</v>
      </c>
    </row>
    <row r="16" spans="3:18" x14ac:dyDescent="0.3">
      <c r="N16" s="922"/>
      <c r="O16" s="232" t="s">
        <v>13</v>
      </c>
      <c r="P16" s="918">
        <v>11.641245215952884</v>
      </c>
      <c r="Q16" s="915">
        <v>35</v>
      </c>
      <c r="R16" s="133">
        <v>22.997776277972193</v>
      </c>
    </row>
    <row r="17" spans="14:18" x14ac:dyDescent="0.3">
      <c r="N17" s="923"/>
      <c r="O17" s="262" t="s">
        <v>24</v>
      </c>
      <c r="P17" s="919">
        <v>4.0440209613168498</v>
      </c>
      <c r="Q17" s="916">
        <v>28.134445471353555</v>
      </c>
      <c r="R17" s="141">
        <v>8.9519658558373649</v>
      </c>
    </row>
    <row r="18" spans="14:18" x14ac:dyDescent="0.3">
      <c r="N18" s="751" t="s">
        <v>340</v>
      </c>
      <c r="O18" s="254" t="s">
        <v>10</v>
      </c>
      <c r="P18" s="917">
        <v>10.837065633388614</v>
      </c>
      <c r="Q18" s="914" t="s">
        <v>9</v>
      </c>
      <c r="R18" s="139" t="s">
        <v>9</v>
      </c>
    </row>
    <row r="19" spans="14:18" x14ac:dyDescent="0.3">
      <c r="N19" s="922"/>
      <c r="O19" s="232" t="s">
        <v>73</v>
      </c>
      <c r="P19" s="918">
        <v>0.51100757607290348</v>
      </c>
      <c r="Q19" s="915" t="s">
        <v>9</v>
      </c>
      <c r="R19" s="133" t="s">
        <v>9</v>
      </c>
    </row>
    <row r="20" spans="14:18" x14ac:dyDescent="0.3">
      <c r="N20" s="922"/>
      <c r="O20" s="232" t="s">
        <v>25</v>
      </c>
      <c r="P20" s="918" t="s">
        <v>9</v>
      </c>
      <c r="Q20" s="915" t="s">
        <v>9</v>
      </c>
      <c r="R20" s="133" t="s">
        <v>9</v>
      </c>
    </row>
    <row r="21" spans="14:18" x14ac:dyDescent="0.3">
      <c r="N21" s="922"/>
      <c r="O21" s="232" t="s">
        <v>227</v>
      </c>
      <c r="P21" s="918">
        <v>0</v>
      </c>
      <c r="Q21" s="915" t="s">
        <v>9</v>
      </c>
      <c r="R21" s="133" t="s">
        <v>9</v>
      </c>
    </row>
    <row r="22" spans="14:18" x14ac:dyDescent="0.3">
      <c r="N22" s="922"/>
      <c r="O22" s="232" t="s">
        <v>13</v>
      </c>
      <c r="P22" s="918">
        <v>0.80629410789650391</v>
      </c>
      <c r="Q22" s="915" t="s">
        <v>9</v>
      </c>
      <c r="R22" s="133" t="s">
        <v>9</v>
      </c>
    </row>
    <row r="23" spans="14:18" x14ac:dyDescent="0.3">
      <c r="N23" s="923"/>
      <c r="O23" s="262" t="s">
        <v>24</v>
      </c>
      <c r="P23" s="919" t="s">
        <v>9</v>
      </c>
      <c r="Q23" s="916" t="s">
        <v>9</v>
      </c>
      <c r="R23" s="141" t="s">
        <v>9</v>
      </c>
    </row>
    <row r="24" spans="14:18" x14ac:dyDescent="0.3">
      <c r="N24" s="751" t="s">
        <v>481</v>
      </c>
      <c r="O24" s="254" t="s">
        <v>10</v>
      </c>
      <c r="P24" s="917" t="s">
        <v>9</v>
      </c>
      <c r="Q24" s="914" t="s">
        <v>9</v>
      </c>
      <c r="R24" s="139">
        <v>7.5632558813717727</v>
      </c>
    </row>
    <row r="25" spans="14:18" x14ac:dyDescent="0.3">
      <c r="N25" s="922"/>
      <c r="O25" s="232" t="s">
        <v>73</v>
      </c>
      <c r="P25" s="918" t="s">
        <v>9</v>
      </c>
      <c r="Q25" s="915" t="s">
        <v>9</v>
      </c>
      <c r="R25" s="133" t="s">
        <v>9</v>
      </c>
    </row>
    <row r="26" spans="14:18" x14ac:dyDescent="0.3">
      <c r="N26" s="922"/>
      <c r="O26" s="232" t="s">
        <v>25</v>
      </c>
      <c r="P26" s="918" t="s">
        <v>9</v>
      </c>
      <c r="Q26" s="915" t="s">
        <v>9</v>
      </c>
      <c r="R26" s="133">
        <v>0</v>
      </c>
    </row>
    <row r="27" spans="14:18" x14ac:dyDescent="0.3">
      <c r="N27" s="922"/>
      <c r="O27" s="232" t="s">
        <v>227</v>
      </c>
      <c r="P27" s="918" t="s">
        <v>9</v>
      </c>
      <c r="Q27" s="915" t="s">
        <v>9</v>
      </c>
      <c r="R27" s="133" t="s">
        <v>9</v>
      </c>
    </row>
    <row r="28" spans="14:18" x14ac:dyDescent="0.3">
      <c r="N28" s="922"/>
      <c r="O28" s="232" t="s">
        <v>13</v>
      </c>
      <c r="P28" s="918" t="s">
        <v>9</v>
      </c>
      <c r="Q28" s="915" t="s">
        <v>9</v>
      </c>
      <c r="R28" s="133">
        <v>9.8814838429035348</v>
      </c>
    </row>
    <row r="29" spans="14:18" ht="15" thickBot="1" x14ac:dyDescent="0.35">
      <c r="N29" s="924"/>
      <c r="O29" s="925" t="s">
        <v>24</v>
      </c>
      <c r="P29" s="926" t="s">
        <v>9</v>
      </c>
      <c r="Q29" s="927" t="s">
        <v>9</v>
      </c>
      <c r="R29" s="135">
        <v>6.285625425383162</v>
      </c>
    </row>
  </sheetData>
  <mergeCells count="9">
    <mergeCell ref="N24:N29"/>
    <mergeCell ref="P4:R4"/>
    <mergeCell ref="N4:N5"/>
    <mergeCell ref="O4:O5"/>
    <mergeCell ref="C8:C12"/>
    <mergeCell ref="F6:J6"/>
    <mergeCell ref="N6:N11"/>
    <mergeCell ref="N12:N17"/>
    <mergeCell ref="N18:N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46A9F-552A-4B5C-9F64-EFB3E3EB324F}">
  <dimension ref="A3:AW126"/>
  <sheetViews>
    <sheetView topLeftCell="X80" zoomScale="70" zoomScaleNormal="70" workbookViewId="0">
      <selection activeCell="B12" sqref="B12:B15"/>
    </sheetView>
  </sheetViews>
  <sheetFormatPr defaultColWidth="11.5546875" defaultRowHeight="14.4" x14ac:dyDescent="0.3"/>
  <cols>
    <col min="1" max="1" width="16.5546875" style="22" customWidth="1"/>
    <col min="2" max="2" width="28.88671875" style="22" customWidth="1"/>
    <col min="3" max="3" width="19.5546875" style="22" customWidth="1"/>
    <col min="4" max="4" width="23.21875" style="22" customWidth="1"/>
    <col min="5" max="5" width="18.77734375" style="22" customWidth="1"/>
    <col min="6" max="6" width="14.5546875" style="22" customWidth="1"/>
    <col min="7" max="7" width="19.5546875" style="22" customWidth="1"/>
    <col min="8" max="8" width="11.109375" style="22" customWidth="1"/>
    <col min="9" max="9" width="21.88671875" style="22" customWidth="1"/>
    <col min="10" max="10" width="22" style="22" customWidth="1"/>
    <col min="11" max="11" width="11.5546875" style="22"/>
    <col min="12" max="12" width="23.21875" style="22" customWidth="1"/>
    <col min="13" max="20" width="15.88671875" style="22" customWidth="1"/>
    <col min="21" max="37" width="11.5546875" style="22"/>
    <col min="38" max="38" width="30" style="22" customWidth="1"/>
    <col min="39" max="39" width="20.44140625" style="22" customWidth="1"/>
    <col min="40" max="16384" width="11.5546875" style="22"/>
  </cols>
  <sheetData>
    <row r="3" spans="1:43" x14ac:dyDescent="0.3">
      <c r="I3" s="22" t="s">
        <v>211</v>
      </c>
      <c r="J3" s="22" t="s">
        <v>21</v>
      </c>
      <c r="K3" s="22" t="s">
        <v>20</v>
      </c>
    </row>
    <row r="4" spans="1:43" x14ac:dyDescent="0.3">
      <c r="I4" s="22">
        <v>1200</v>
      </c>
      <c r="J4" s="22">
        <f>H11+H14+H16+H18+H19</f>
        <v>551.04525326445696</v>
      </c>
      <c r="K4" s="22">
        <f>I4/J4</f>
        <v>2.1776795878216149</v>
      </c>
    </row>
    <row r="9" spans="1:43" ht="15" thickBot="1" x14ac:dyDescent="0.35">
      <c r="A9" s="316" t="s">
        <v>23</v>
      </c>
      <c r="W9" s="781" t="s">
        <v>212</v>
      </c>
      <c r="X9" s="782"/>
      <c r="Y9" s="785">
        <v>1</v>
      </c>
      <c r="Z9" s="777"/>
      <c r="AA9" s="776">
        <v>2</v>
      </c>
      <c r="AB9" s="776"/>
      <c r="AC9" s="785">
        <v>3</v>
      </c>
      <c r="AD9" s="777"/>
      <c r="AE9" s="776">
        <v>4</v>
      </c>
      <c r="AF9" s="776"/>
      <c r="AG9" s="785">
        <v>5</v>
      </c>
      <c r="AH9" s="777"/>
      <c r="AI9" s="776">
        <v>6</v>
      </c>
      <c r="AJ9" s="777"/>
    </row>
    <row r="10" spans="1:43" ht="15" thickBot="1" x14ac:dyDescent="0.35">
      <c r="C10" s="22" t="s">
        <v>14</v>
      </c>
      <c r="D10" s="22" t="s">
        <v>0</v>
      </c>
      <c r="E10" s="22" t="s">
        <v>213</v>
      </c>
      <c r="F10" s="22" t="s">
        <v>214</v>
      </c>
      <c r="G10" s="22" t="s">
        <v>215</v>
      </c>
      <c r="H10" s="22" t="s">
        <v>216</v>
      </c>
      <c r="I10" s="318" t="s">
        <v>217</v>
      </c>
      <c r="J10" s="319" t="s">
        <v>218</v>
      </c>
      <c r="K10" s="22" t="s">
        <v>219</v>
      </c>
      <c r="N10" s="320">
        <v>1</v>
      </c>
      <c r="O10" s="220">
        <v>2</v>
      </c>
      <c r="P10" s="321">
        <v>3</v>
      </c>
      <c r="Q10" s="220">
        <v>4</v>
      </c>
      <c r="R10" s="322">
        <v>5</v>
      </c>
      <c r="S10" s="220">
        <v>6</v>
      </c>
      <c r="T10" s="323">
        <v>7</v>
      </c>
      <c r="U10" s="324">
        <v>8</v>
      </c>
      <c r="W10" s="783"/>
      <c r="X10" s="784"/>
      <c r="Y10" s="307" t="s">
        <v>220</v>
      </c>
      <c r="Z10" s="325" t="s">
        <v>124</v>
      </c>
      <c r="AA10" s="127" t="s">
        <v>220</v>
      </c>
      <c r="AB10" s="127" t="s">
        <v>124</v>
      </c>
      <c r="AC10" s="307" t="s">
        <v>220</v>
      </c>
      <c r="AD10" s="325" t="s">
        <v>124</v>
      </c>
      <c r="AE10" s="127" t="s">
        <v>220</v>
      </c>
      <c r="AF10" s="127" t="s">
        <v>124</v>
      </c>
      <c r="AG10" s="307" t="s">
        <v>220</v>
      </c>
      <c r="AH10" s="325" t="s">
        <v>124</v>
      </c>
      <c r="AI10" s="127" t="s">
        <v>220</v>
      </c>
      <c r="AJ10" s="325" t="s">
        <v>124</v>
      </c>
      <c r="AL10" s="127" t="s">
        <v>221</v>
      </c>
      <c r="AM10" s="127" t="s">
        <v>222</v>
      </c>
    </row>
    <row r="11" spans="1:43" x14ac:dyDescent="0.3">
      <c r="A11" s="22" t="s">
        <v>19</v>
      </c>
      <c r="F11" s="22">
        <f>1+(H11*G18)</f>
        <v>16.72</v>
      </c>
      <c r="H11" s="2">
        <v>20</v>
      </c>
      <c r="I11" s="326">
        <f>F11*K4</f>
        <v>36.410802708377396</v>
      </c>
      <c r="J11" s="327">
        <f t="shared" ref="J11:J19" si="0">H11*K$4</f>
        <v>43.553591756432297</v>
      </c>
      <c r="K11" s="2">
        <f>J11*24</f>
        <v>1045.2862021543751</v>
      </c>
      <c r="L11" s="22" t="s">
        <v>223</v>
      </c>
      <c r="M11" s="762" t="s">
        <v>48</v>
      </c>
      <c r="N11" s="328" t="s">
        <v>224</v>
      </c>
      <c r="O11" s="329" t="s">
        <v>224</v>
      </c>
      <c r="P11" s="330" t="s">
        <v>224</v>
      </c>
      <c r="Q11" s="331" t="s">
        <v>224</v>
      </c>
      <c r="R11" s="332" t="s">
        <v>224</v>
      </c>
      <c r="S11" s="331" t="s">
        <v>224</v>
      </c>
      <c r="T11" s="333"/>
      <c r="U11" s="46"/>
      <c r="W11" s="774" t="s">
        <v>48</v>
      </c>
      <c r="X11" s="334" t="s">
        <v>19</v>
      </c>
      <c r="Y11" s="335">
        <v>36</v>
      </c>
      <c r="Z11" s="119">
        <v>31</v>
      </c>
      <c r="AA11" s="334">
        <v>36</v>
      </c>
      <c r="AB11" s="334">
        <v>24</v>
      </c>
      <c r="AC11" s="335">
        <v>36</v>
      </c>
      <c r="AD11" s="119">
        <v>33</v>
      </c>
      <c r="AE11" s="334">
        <v>36</v>
      </c>
      <c r="AF11" s="334">
        <v>1</v>
      </c>
      <c r="AG11" s="335">
        <v>36</v>
      </c>
      <c r="AH11" s="119">
        <v>31</v>
      </c>
      <c r="AI11" s="334">
        <v>36</v>
      </c>
      <c r="AJ11" s="119">
        <v>1</v>
      </c>
      <c r="AL11" s="127">
        <v>1</v>
      </c>
      <c r="AM11" s="127">
        <v>0.95</v>
      </c>
      <c r="AP11" s="778"/>
    </row>
    <row r="12" spans="1:43" x14ac:dyDescent="0.3">
      <c r="A12" s="22" t="s">
        <v>1</v>
      </c>
      <c r="B12" s="22" t="s">
        <v>10</v>
      </c>
      <c r="C12" s="22" t="s">
        <v>15</v>
      </c>
      <c r="D12" s="22">
        <v>96.08</v>
      </c>
      <c r="E12" s="22">
        <v>0.05</v>
      </c>
      <c r="F12" s="22">
        <f t="shared" ref="F12:F17" si="1">E12*D12</f>
        <v>4.8040000000000003</v>
      </c>
      <c r="G12" s="22">
        <v>1.1599999999999999</v>
      </c>
      <c r="H12" s="2">
        <f>F12/G12</f>
        <v>4.1413793103448278</v>
      </c>
      <c r="I12" s="336">
        <f>F12*K$4</f>
        <v>10.461572739895038</v>
      </c>
      <c r="J12" s="337">
        <f t="shared" si="0"/>
        <v>9.0185971895646873</v>
      </c>
      <c r="K12" s="2">
        <f>J12*6</f>
        <v>54.111583137388124</v>
      </c>
      <c r="L12" s="338" t="s">
        <v>225</v>
      </c>
      <c r="M12" s="763"/>
      <c r="N12" s="339" t="s">
        <v>1</v>
      </c>
      <c r="O12" s="340" t="s">
        <v>1</v>
      </c>
      <c r="P12" s="341" t="s">
        <v>1</v>
      </c>
      <c r="Q12" s="342" t="s">
        <v>1</v>
      </c>
      <c r="R12" s="343" t="s">
        <v>1</v>
      </c>
      <c r="S12" s="342" t="s">
        <v>1</v>
      </c>
      <c r="T12" s="333"/>
      <c r="U12" s="46"/>
      <c r="W12" s="765"/>
      <c r="X12" s="127" t="s">
        <v>1</v>
      </c>
      <c r="Y12" s="307">
        <v>10.5</v>
      </c>
      <c r="Z12" s="325">
        <v>11</v>
      </c>
      <c r="AA12" s="127">
        <v>10.5</v>
      </c>
      <c r="AB12" s="127">
        <v>11</v>
      </c>
      <c r="AC12" s="307">
        <v>10.5</v>
      </c>
      <c r="AD12" s="325">
        <v>1</v>
      </c>
      <c r="AE12" s="127">
        <v>10.5</v>
      </c>
      <c r="AF12" s="127">
        <v>1</v>
      </c>
      <c r="AG12" s="307">
        <v>10.5</v>
      </c>
      <c r="AH12" s="325">
        <v>18</v>
      </c>
      <c r="AI12" s="127">
        <v>10.5</v>
      </c>
      <c r="AJ12" s="325">
        <v>9</v>
      </c>
      <c r="AL12" s="127">
        <v>2</v>
      </c>
      <c r="AM12" s="127">
        <v>0.95</v>
      </c>
      <c r="AP12" s="778"/>
    </row>
    <row r="13" spans="1:43" x14ac:dyDescent="0.3">
      <c r="A13" s="22" t="s">
        <v>2</v>
      </c>
      <c r="B13" s="22" t="s">
        <v>73</v>
      </c>
      <c r="C13" s="22" t="s">
        <v>40</v>
      </c>
      <c r="D13" s="22">
        <v>136.15</v>
      </c>
      <c r="E13" s="22">
        <v>0.05</v>
      </c>
      <c r="F13" s="22">
        <f t="shared" si="1"/>
        <v>6.807500000000001</v>
      </c>
      <c r="G13" s="22">
        <v>1.1200000000000001</v>
      </c>
      <c r="H13" s="2">
        <f t="shared" ref="H13" si="2">F13/G13</f>
        <v>6.078125</v>
      </c>
      <c r="I13" s="336">
        <f t="shared" ref="I13" si="3">F13*K$4</f>
        <v>14.824553794095646</v>
      </c>
      <c r="J13" s="337">
        <f t="shared" si="0"/>
        <v>13.236208744728252</v>
      </c>
      <c r="K13" s="2">
        <f t="shared" ref="K13" si="4">J13*6</f>
        <v>79.417252468369512</v>
      </c>
      <c r="L13" s="338" t="s">
        <v>226</v>
      </c>
      <c r="M13" s="763"/>
      <c r="N13" s="339" t="s">
        <v>34</v>
      </c>
      <c r="O13" s="340" t="s">
        <v>34</v>
      </c>
      <c r="P13" s="341" t="s">
        <v>34</v>
      </c>
      <c r="Q13" s="342" t="s">
        <v>7</v>
      </c>
      <c r="R13" s="343" t="s">
        <v>7</v>
      </c>
      <c r="S13" s="342" t="s">
        <v>7</v>
      </c>
      <c r="T13" s="333"/>
      <c r="U13" s="46"/>
      <c r="W13" s="765"/>
      <c r="X13" s="127" t="s">
        <v>2</v>
      </c>
      <c r="Y13" s="307" t="s">
        <v>9</v>
      </c>
      <c r="Z13" s="325" t="s">
        <v>9</v>
      </c>
      <c r="AA13" s="127" t="s">
        <v>9</v>
      </c>
      <c r="AB13" s="127" t="s">
        <v>9</v>
      </c>
      <c r="AC13" s="307" t="s">
        <v>9</v>
      </c>
      <c r="AD13" s="325" t="s">
        <v>9</v>
      </c>
      <c r="AE13" s="127" t="s">
        <v>9</v>
      </c>
      <c r="AF13" s="127" t="s">
        <v>9</v>
      </c>
      <c r="AG13" s="307" t="s">
        <v>9</v>
      </c>
      <c r="AH13" s="325" t="s">
        <v>9</v>
      </c>
      <c r="AI13" s="127" t="s">
        <v>9</v>
      </c>
      <c r="AJ13" s="325" t="s">
        <v>9</v>
      </c>
      <c r="AL13" s="127">
        <v>3</v>
      </c>
      <c r="AM13" s="127">
        <v>0.95</v>
      </c>
      <c r="AP13" s="778"/>
      <c r="AQ13" s="368">
        <v>53.5</v>
      </c>
    </row>
    <row r="14" spans="1:43" s="1" customFormat="1" x14ac:dyDescent="0.3">
      <c r="A14" s="22" t="s">
        <v>4</v>
      </c>
      <c r="B14" s="22" t="s">
        <v>227</v>
      </c>
      <c r="C14" s="22" t="s">
        <v>39</v>
      </c>
      <c r="D14" s="22">
        <v>156.18</v>
      </c>
      <c r="E14" s="22">
        <v>0.05</v>
      </c>
      <c r="F14" s="22">
        <f t="shared" si="1"/>
        <v>7.8090000000000011</v>
      </c>
      <c r="G14" s="22">
        <v>1.1499999999999999</v>
      </c>
      <c r="H14" s="2">
        <f>F14/G14</f>
        <v>6.7904347826086973</v>
      </c>
      <c r="I14" s="336">
        <f>F14*K$4</f>
        <v>17.005499901298993</v>
      </c>
      <c r="J14" s="337">
        <f t="shared" si="0"/>
        <v>14.787391218520865</v>
      </c>
      <c r="K14" s="2">
        <f>J14*6</f>
        <v>88.724347311125186</v>
      </c>
      <c r="L14" s="22" t="s">
        <v>228</v>
      </c>
      <c r="M14" s="763"/>
      <c r="N14" s="344" t="s">
        <v>3</v>
      </c>
      <c r="O14" s="345" t="s">
        <v>3</v>
      </c>
      <c r="P14" s="346" t="s">
        <v>3</v>
      </c>
      <c r="Q14" s="347" t="s">
        <v>3</v>
      </c>
      <c r="R14" s="348" t="s">
        <v>3</v>
      </c>
      <c r="S14" s="347" t="s">
        <v>3</v>
      </c>
      <c r="T14" s="333"/>
      <c r="U14" s="46"/>
      <c r="W14" s="765"/>
      <c r="X14" s="127" t="s">
        <v>4</v>
      </c>
      <c r="Y14" s="307" t="s">
        <v>9</v>
      </c>
      <c r="Z14" s="325" t="s">
        <v>9</v>
      </c>
      <c r="AA14" s="127" t="s">
        <v>9</v>
      </c>
      <c r="AB14" s="127" t="s">
        <v>9</v>
      </c>
      <c r="AC14" s="307" t="s">
        <v>9</v>
      </c>
      <c r="AD14" s="325" t="s">
        <v>9</v>
      </c>
      <c r="AE14" s="127" t="s">
        <v>9</v>
      </c>
      <c r="AF14" s="127" t="s">
        <v>9</v>
      </c>
      <c r="AG14" s="307" t="s">
        <v>9</v>
      </c>
      <c r="AH14" s="325" t="s">
        <v>9</v>
      </c>
      <c r="AI14" s="127" t="s">
        <v>9</v>
      </c>
      <c r="AJ14" s="325" t="s">
        <v>9</v>
      </c>
      <c r="AL14" s="306" t="s">
        <v>229</v>
      </c>
      <c r="AM14" s="349">
        <f>SUM(AM11:AM13)</f>
        <v>2.8499999999999996</v>
      </c>
      <c r="AP14" s="778"/>
      <c r="AQ14" s="309">
        <v>53.5</v>
      </c>
    </row>
    <row r="15" spans="1:43" x14ac:dyDescent="0.3">
      <c r="A15" s="22" t="s">
        <v>12</v>
      </c>
      <c r="B15" s="22" t="s">
        <v>13</v>
      </c>
      <c r="C15" s="22" t="s">
        <v>16</v>
      </c>
      <c r="D15" s="22">
        <v>142.1</v>
      </c>
      <c r="E15" s="22">
        <v>0.05</v>
      </c>
      <c r="F15" s="22">
        <f t="shared" si="1"/>
        <v>7.1050000000000004</v>
      </c>
      <c r="G15" s="22">
        <v>1.296</v>
      </c>
      <c r="H15" s="2">
        <f>F15/G15</f>
        <v>5.4822530864197532</v>
      </c>
      <c r="I15" s="336">
        <f>F15*K$4</f>
        <v>15.472413471472574</v>
      </c>
      <c r="J15" s="337">
        <f t="shared" si="0"/>
        <v>11.938590641568345</v>
      </c>
      <c r="K15" s="2">
        <f>J15*6</f>
        <v>71.631543849410065</v>
      </c>
      <c r="L15" s="22" t="s">
        <v>230</v>
      </c>
      <c r="M15" s="763"/>
      <c r="N15" s="344" t="s">
        <v>5</v>
      </c>
      <c r="O15" s="345" t="s">
        <v>5</v>
      </c>
      <c r="P15" s="346" t="s">
        <v>5</v>
      </c>
      <c r="Q15" s="347" t="s">
        <v>5</v>
      </c>
      <c r="R15" s="348" t="s">
        <v>5</v>
      </c>
      <c r="S15" s="347" t="s">
        <v>5</v>
      </c>
      <c r="T15" s="333"/>
      <c r="U15" s="46"/>
      <c r="W15" s="765"/>
      <c r="X15" s="127" t="s">
        <v>12</v>
      </c>
      <c r="Y15" s="307" t="s">
        <v>9</v>
      </c>
      <c r="Z15" s="325" t="s">
        <v>9</v>
      </c>
      <c r="AA15" s="127" t="s">
        <v>9</v>
      </c>
      <c r="AB15" s="127" t="s">
        <v>9</v>
      </c>
      <c r="AC15" s="307" t="s">
        <v>9</v>
      </c>
      <c r="AD15" s="325" t="s">
        <v>9</v>
      </c>
      <c r="AE15" s="127" t="s">
        <v>9</v>
      </c>
      <c r="AF15" s="127" t="s">
        <v>9</v>
      </c>
      <c r="AG15" s="307" t="s">
        <v>9</v>
      </c>
      <c r="AH15" s="325" t="s">
        <v>9</v>
      </c>
      <c r="AI15" s="127" t="s">
        <v>9</v>
      </c>
      <c r="AJ15" s="325" t="s">
        <v>9</v>
      </c>
      <c r="AL15" s="306" t="s">
        <v>231</v>
      </c>
      <c r="AM15" s="349">
        <f>AM14+1.2</f>
        <v>4.05</v>
      </c>
      <c r="AP15" s="778"/>
      <c r="AQ15" s="368">
        <v>53.5</v>
      </c>
    </row>
    <row r="16" spans="1:43" ht="15" thickBot="1" x14ac:dyDescent="0.35">
      <c r="A16" s="22" t="s">
        <v>34</v>
      </c>
      <c r="B16" s="22" t="s">
        <v>35</v>
      </c>
      <c r="C16" s="22" t="s">
        <v>41</v>
      </c>
      <c r="D16" s="22">
        <v>138.59</v>
      </c>
      <c r="E16" s="22">
        <v>7.4999999999999997E-2</v>
      </c>
      <c r="F16" s="22">
        <f t="shared" si="1"/>
        <v>10.39425</v>
      </c>
      <c r="G16" s="22">
        <v>0.90900000000000003</v>
      </c>
      <c r="H16" s="2">
        <f>F16/G16</f>
        <v>11.434818481848184</v>
      </c>
      <c r="I16" s="336">
        <f>F16*K$4</f>
        <v>22.63534605571482</v>
      </c>
      <c r="J16" s="337">
        <f t="shared" si="0"/>
        <v>24.901370798366138</v>
      </c>
      <c r="K16" s="2">
        <f>J16*12</f>
        <v>298.81644958039362</v>
      </c>
      <c r="L16" s="338" t="s">
        <v>232</v>
      </c>
      <c r="M16" s="763"/>
      <c r="N16" s="344" t="s">
        <v>6</v>
      </c>
      <c r="O16" s="345" t="s">
        <v>6</v>
      </c>
      <c r="P16" s="346" t="s">
        <v>6</v>
      </c>
      <c r="Q16" s="347" t="s">
        <v>6</v>
      </c>
      <c r="R16" s="348" t="s">
        <v>6</v>
      </c>
      <c r="S16" s="347" t="s">
        <v>6</v>
      </c>
      <c r="T16" s="333"/>
      <c r="U16" s="46"/>
      <c r="W16" s="765"/>
      <c r="X16" s="127" t="s">
        <v>34</v>
      </c>
      <c r="Y16" s="307">
        <v>22.6</v>
      </c>
      <c r="Z16" s="325">
        <v>1</v>
      </c>
      <c r="AA16" s="127">
        <v>22.6</v>
      </c>
      <c r="AB16" s="127">
        <v>5</v>
      </c>
      <c r="AC16" s="307">
        <v>22.6</v>
      </c>
      <c r="AD16" s="325">
        <v>5</v>
      </c>
      <c r="AE16" s="127" t="s">
        <v>9</v>
      </c>
      <c r="AF16" s="127" t="s">
        <v>9</v>
      </c>
      <c r="AG16" s="307" t="s">
        <v>9</v>
      </c>
      <c r="AH16" s="325" t="s">
        <v>9</v>
      </c>
      <c r="AI16" s="127" t="s">
        <v>9</v>
      </c>
      <c r="AJ16" s="325" t="s">
        <v>9</v>
      </c>
      <c r="AL16" s="779" t="s">
        <v>233</v>
      </c>
      <c r="AM16" s="779"/>
      <c r="AP16" s="778"/>
      <c r="AQ16" s="309">
        <v>53.6</v>
      </c>
    </row>
    <row r="17" spans="1:43" ht="14.4" customHeight="1" x14ac:dyDescent="0.3">
      <c r="A17" s="22" t="s">
        <v>7</v>
      </c>
      <c r="B17" s="22" t="s">
        <v>11</v>
      </c>
      <c r="C17" s="22" t="s">
        <v>17</v>
      </c>
      <c r="D17" s="22">
        <v>104.15</v>
      </c>
      <c r="E17" s="22">
        <v>7.4999999999999997E-2</v>
      </c>
      <c r="F17" s="22">
        <f t="shared" si="1"/>
        <v>7.8112500000000002</v>
      </c>
      <c r="G17" s="22">
        <v>1.0900000000000001</v>
      </c>
      <c r="H17" s="2">
        <f>F17/G17</f>
        <v>7.1662844036697244</v>
      </c>
      <c r="I17" s="336">
        <f>F17*K$4</f>
        <v>17.010399680371588</v>
      </c>
      <c r="J17" s="337">
        <f t="shared" si="0"/>
        <v>15.605871266395953</v>
      </c>
      <c r="K17" s="2">
        <f>J17*12</f>
        <v>187.27045519675144</v>
      </c>
      <c r="L17" s="338" t="s">
        <v>234</v>
      </c>
      <c r="M17" s="762" t="s">
        <v>49</v>
      </c>
      <c r="N17" s="350" t="s">
        <v>224</v>
      </c>
      <c r="O17" s="351" t="s">
        <v>224</v>
      </c>
      <c r="P17" s="352" t="s">
        <v>224</v>
      </c>
      <c r="Q17" s="353" t="s">
        <v>224</v>
      </c>
      <c r="R17" s="354" t="s">
        <v>224</v>
      </c>
      <c r="S17" s="353" t="s">
        <v>224</v>
      </c>
      <c r="T17" s="47"/>
      <c r="U17" s="302"/>
      <c r="W17" s="765"/>
      <c r="X17" s="127" t="s">
        <v>7</v>
      </c>
      <c r="Y17" s="307" t="s">
        <v>9</v>
      </c>
      <c r="Z17" s="325" t="s">
        <v>9</v>
      </c>
      <c r="AA17" s="127" t="s">
        <v>9</v>
      </c>
      <c r="AB17" s="127" t="s">
        <v>9</v>
      </c>
      <c r="AC17" s="307" t="s">
        <v>9</v>
      </c>
      <c r="AD17" s="325" t="s">
        <v>9</v>
      </c>
      <c r="AE17" s="127">
        <v>17</v>
      </c>
      <c r="AF17" s="127">
        <v>1</v>
      </c>
      <c r="AG17" s="307">
        <v>17</v>
      </c>
      <c r="AH17" s="325">
        <v>1</v>
      </c>
      <c r="AI17" s="127">
        <v>17</v>
      </c>
      <c r="AJ17" s="325">
        <v>15</v>
      </c>
      <c r="AL17" s="780" t="s">
        <v>235</v>
      </c>
      <c r="AM17" s="780"/>
      <c r="AP17" s="778"/>
      <c r="AQ17" s="368">
        <v>53.6</v>
      </c>
    </row>
    <row r="18" spans="1:43" x14ac:dyDescent="0.3">
      <c r="A18" s="22" t="s">
        <v>3</v>
      </c>
      <c r="B18" s="22" t="s">
        <v>160</v>
      </c>
      <c r="E18" s="22" t="s">
        <v>9</v>
      </c>
      <c r="F18" s="22">
        <f>G18*H18</f>
        <v>393</v>
      </c>
      <c r="G18" s="22">
        <v>0.78600000000000003</v>
      </c>
      <c r="H18" s="2">
        <v>500</v>
      </c>
      <c r="I18" s="326">
        <f>F18*K4</f>
        <v>855.82807801389458</v>
      </c>
      <c r="J18" s="327">
        <f t="shared" si="0"/>
        <v>1088.8397939108074</v>
      </c>
      <c r="K18" s="2">
        <f>J18*24</f>
        <v>26132.15505385938</v>
      </c>
      <c r="L18" s="338" t="s">
        <v>236</v>
      </c>
      <c r="M18" s="763"/>
      <c r="N18" s="356" t="s">
        <v>2</v>
      </c>
      <c r="O18" s="357" t="s">
        <v>2</v>
      </c>
      <c r="P18" s="358" t="s">
        <v>2</v>
      </c>
      <c r="Q18" s="359" t="s">
        <v>2</v>
      </c>
      <c r="R18" s="360" t="s">
        <v>2</v>
      </c>
      <c r="S18" s="359" t="s">
        <v>2</v>
      </c>
      <c r="T18" s="44"/>
      <c r="U18" s="163"/>
      <c r="W18" s="765"/>
      <c r="X18" s="127" t="s">
        <v>3</v>
      </c>
      <c r="Y18" s="307">
        <v>857</v>
      </c>
      <c r="Z18" s="325" t="s">
        <v>237</v>
      </c>
      <c r="AA18" s="307">
        <v>857</v>
      </c>
      <c r="AB18" s="325" t="s">
        <v>237</v>
      </c>
      <c r="AC18" s="307">
        <v>857</v>
      </c>
      <c r="AD18" s="325" t="s">
        <v>237</v>
      </c>
      <c r="AE18" s="307">
        <v>857</v>
      </c>
      <c r="AF18" s="325" t="s">
        <v>237</v>
      </c>
      <c r="AG18" s="307">
        <v>857</v>
      </c>
      <c r="AH18" s="325" t="s">
        <v>237</v>
      </c>
      <c r="AI18" s="307">
        <v>857</v>
      </c>
      <c r="AJ18" s="325" t="s">
        <v>237</v>
      </c>
      <c r="AL18" s="780"/>
      <c r="AM18" s="780"/>
      <c r="AP18" s="778"/>
      <c r="AQ18" s="368">
        <v>53.6</v>
      </c>
    </row>
    <row r="19" spans="1:43" x14ac:dyDescent="0.3">
      <c r="A19" s="22" t="s">
        <v>238</v>
      </c>
      <c r="B19" s="22" t="s">
        <v>239</v>
      </c>
      <c r="E19" s="22" t="s">
        <v>9</v>
      </c>
      <c r="F19" s="22">
        <f>G19*H19</f>
        <v>16.742920000000002</v>
      </c>
      <c r="G19" s="22">
        <v>1.306</v>
      </c>
      <c r="H19" s="2">
        <v>12.82</v>
      </c>
      <c r="I19" s="326">
        <f>F19*K4</f>
        <v>36.460715124530275</v>
      </c>
      <c r="J19" s="327">
        <f t="shared" si="0"/>
        <v>27.917852315873102</v>
      </c>
      <c r="K19" s="2">
        <f>J19*24</f>
        <v>670.02845558095441</v>
      </c>
      <c r="L19" s="338" t="s">
        <v>240</v>
      </c>
      <c r="M19" s="763"/>
      <c r="N19" s="356" t="s">
        <v>34</v>
      </c>
      <c r="O19" s="357" t="s">
        <v>34</v>
      </c>
      <c r="P19" s="358" t="s">
        <v>34</v>
      </c>
      <c r="Q19" s="359" t="s">
        <v>7</v>
      </c>
      <c r="R19" s="360" t="s">
        <v>7</v>
      </c>
      <c r="S19" s="359" t="s">
        <v>7</v>
      </c>
      <c r="T19" s="44"/>
      <c r="U19" s="163"/>
      <c r="W19" s="765"/>
      <c r="X19" s="127" t="s">
        <v>238</v>
      </c>
      <c r="Y19" s="307">
        <v>28</v>
      </c>
      <c r="Z19" s="325">
        <v>40</v>
      </c>
      <c r="AA19" s="127">
        <v>28</v>
      </c>
      <c r="AB19" s="127">
        <v>48</v>
      </c>
      <c r="AC19" s="307">
        <v>28</v>
      </c>
      <c r="AD19" s="325">
        <v>49</v>
      </c>
      <c r="AE19" s="127">
        <v>28</v>
      </c>
      <c r="AF19" s="127">
        <v>43</v>
      </c>
      <c r="AG19" s="307">
        <v>28</v>
      </c>
      <c r="AH19" s="325">
        <v>43</v>
      </c>
      <c r="AI19" s="127">
        <v>28</v>
      </c>
      <c r="AJ19" s="325">
        <v>43</v>
      </c>
      <c r="AL19" s="780"/>
      <c r="AM19" s="780"/>
    </row>
    <row r="20" spans="1:43" ht="15" thickBot="1" x14ac:dyDescent="0.35">
      <c r="A20" s="22" t="s">
        <v>6</v>
      </c>
      <c r="B20" s="22" t="s">
        <v>8</v>
      </c>
      <c r="C20" s="22" t="s">
        <v>18</v>
      </c>
      <c r="D20" s="22">
        <v>325.81900000000002</v>
      </c>
      <c r="E20" s="22" t="s">
        <v>9</v>
      </c>
      <c r="F20" s="22">
        <v>25</v>
      </c>
      <c r="G20" s="22" t="s">
        <v>9</v>
      </c>
      <c r="H20" s="2" t="s">
        <v>9</v>
      </c>
      <c r="I20" s="361">
        <f>F20*K4</f>
        <v>54.441989695540371</v>
      </c>
      <c r="J20" s="362"/>
      <c r="K20" s="2"/>
      <c r="L20" s="338" t="s">
        <v>241</v>
      </c>
      <c r="M20" s="763"/>
      <c r="N20" s="363" t="s">
        <v>3</v>
      </c>
      <c r="O20" s="364" t="s">
        <v>3</v>
      </c>
      <c r="P20" s="365" t="s">
        <v>3</v>
      </c>
      <c r="Q20" s="366" t="s">
        <v>3</v>
      </c>
      <c r="R20" s="367" t="s">
        <v>3</v>
      </c>
      <c r="S20" s="366" t="s">
        <v>3</v>
      </c>
      <c r="T20" s="44"/>
      <c r="U20" s="163"/>
      <c r="W20" s="766"/>
      <c r="X20" s="309" t="s">
        <v>6</v>
      </c>
      <c r="Y20" s="308">
        <v>54.4</v>
      </c>
      <c r="Z20" s="368">
        <v>53.5</v>
      </c>
      <c r="AA20" s="309">
        <v>54.4</v>
      </c>
      <c r="AB20" s="309">
        <v>53.5</v>
      </c>
      <c r="AC20" s="308">
        <v>54.4</v>
      </c>
      <c r="AD20" s="368">
        <v>53.5</v>
      </c>
      <c r="AE20" s="309">
        <v>54.4</v>
      </c>
      <c r="AF20" s="309">
        <v>53.6</v>
      </c>
      <c r="AG20" s="308">
        <v>54.4</v>
      </c>
      <c r="AH20" s="368">
        <v>53.6</v>
      </c>
      <c r="AI20" s="309">
        <v>54.4</v>
      </c>
      <c r="AJ20" s="368">
        <v>53.6</v>
      </c>
      <c r="AL20" s="780"/>
      <c r="AM20" s="780"/>
    </row>
    <row r="21" spans="1:43" x14ac:dyDescent="0.3">
      <c r="M21" s="763"/>
      <c r="N21" s="363" t="s">
        <v>5</v>
      </c>
      <c r="O21" s="364" t="s">
        <v>5</v>
      </c>
      <c r="P21" s="365" t="s">
        <v>5</v>
      </c>
      <c r="Q21" s="366" t="s">
        <v>5</v>
      </c>
      <c r="R21" s="367" t="s">
        <v>5</v>
      </c>
      <c r="S21" s="366" t="s">
        <v>5</v>
      </c>
      <c r="T21" s="44"/>
      <c r="U21" s="163"/>
      <c r="W21" s="765" t="s">
        <v>49</v>
      </c>
      <c r="X21" s="127" t="s">
        <v>19</v>
      </c>
      <c r="Y21" s="307">
        <v>36</v>
      </c>
      <c r="Z21" s="325">
        <v>37</v>
      </c>
      <c r="AA21" s="127">
        <v>36</v>
      </c>
      <c r="AB21" s="127">
        <v>38</v>
      </c>
      <c r="AC21" s="307">
        <v>36</v>
      </c>
      <c r="AD21" s="325">
        <v>17</v>
      </c>
      <c r="AE21" s="127">
        <v>36</v>
      </c>
      <c r="AF21" s="127">
        <v>17</v>
      </c>
      <c r="AG21" s="307">
        <v>36</v>
      </c>
      <c r="AH21" s="325">
        <v>33</v>
      </c>
      <c r="AI21" s="127">
        <v>36</v>
      </c>
      <c r="AJ21" s="325">
        <v>46</v>
      </c>
      <c r="AL21" s="780"/>
      <c r="AM21" s="780"/>
      <c r="AQ21" s="368">
        <v>54</v>
      </c>
    </row>
    <row r="22" spans="1:43" ht="15" thickBot="1" x14ac:dyDescent="0.35">
      <c r="A22" s="316" t="s">
        <v>22</v>
      </c>
      <c r="I22" s="22" t="s">
        <v>242</v>
      </c>
      <c r="M22" s="764"/>
      <c r="N22" s="369" t="s">
        <v>6</v>
      </c>
      <c r="O22" s="370" t="s">
        <v>6</v>
      </c>
      <c r="P22" s="371" t="s">
        <v>6</v>
      </c>
      <c r="Q22" s="372" t="s">
        <v>6</v>
      </c>
      <c r="R22" s="373" t="s">
        <v>6</v>
      </c>
      <c r="S22" s="372" t="s">
        <v>6</v>
      </c>
      <c r="T22" s="48"/>
      <c r="U22" s="303"/>
      <c r="W22" s="765"/>
      <c r="X22" s="127" t="s">
        <v>1</v>
      </c>
      <c r="Y22" s="307" t="s">
        <v>9</v>
      </c>
      <c r="Z22" s="325" t="s">
        <v>9</v>
      </c>
      <c r="AA22" s="127" t="s">
        <v>9</v>
      </c>
      <c r="AB22" s="127" t="s">
        <v>9</v>
      </c>
      <c r="AC22" s="307" t="s">
        <v>9</v>
      </c>
      <c r="AD22" s="325" t="s">
        <v>9</v>
      </c>
      <c r="AE22" s="127" t="s">
        <v>9</v>
      </c>
      <c r="AF22" s="127" t="s">
        <v>9</v>
      </c>
      <c r="AG22" s="307" t="s">
        <v>9</v>
      </c>
      <c r="AH22" s="325" t="s">
        <v>9</v>
      </c>
      <c r="AI22" s="127" t="s">
        <v>9</v>
      </c>
      <c r="AJ22" s="325" t="s">
        <v>9</v>
      </c>
      <c r="AL22" s="780"/>
      <c r="AM22" s="780"/>
      <c r="AQ22" s="309">
        <v>53.9</v>
      </c>
    </row>
    <row r="23" spans="1:43" x14ac:dyDescent="0.3">
      <c r="A23" s="22" t="s">
        <v>19</v>
      </c>
      <c r="B23" s="22" t="s">
        <v>243</v>
      </c>
      <c r="C23" s="22" t="s">
        <v>244</v>
      </c>
      <c r="L23" s="338"/>
      <c r="M23" s="763" t="s">
        <v>50</v>
      </c>
      <c r="N23" s="374" t="s">
        <v>224</v>
      </c>
      <c r="O23" s="375" t="s">
        <v>224</v>
      </c>
      <c r="P23" s="376" t="s">
        <v>224</v>
      </c>
      <c r="Q23" s="377" t="s">
        <v>224</v>
      </c>
      <c r="R23" s="378" t="s">
        <v>224</v>
      </c>
      <c r="S23" s="377" t="s">
        <v>224</v>
      </c>
      <c r="T23" s="333"/>
      <c r="U23" s="46"/>
      <c r="W23" s="765"/>
      <c r="X23" s="127" t="s">
        <v>2</v>
      </c>
      <c r="Y23" s="307">
        <v>14.8</v>
      </c>
      <c r="Z23" s="325">
        <v>1</v>
      </c>
      <c r="AA23" s="127">
        <v>14.8</v>
      </c>
      <c r="AB23" s="127">
        <v>17</v>
      </c>
      <c r="AC23" s="307">
        <v>14.8</v>
      </c>
      <c r="AD23" s="325">
        <v>1</v>
      </c>
      <c r="AE23" s="127">
        <v>14.8</v>
      </c>
      <c r="AF23" s="127">
        <v>21</v>
      </c>
      <c r="AG23" s="307">
        <v>14.8</v>
      </c>
      <c r="AH23" s="325">
        <v>21</v>
      </c>
      <c r="AI23" s="127">
        <v>14.8</v>
      </c>
      <c r="AJ23" s="325">
        <v>1</v>
      </c>
      <c r="AL23" s="780"/>
      <c r="AM23" s="780"/>
      <c r="AQ23" s="368">
        <v>53.8</v>
      </c>
    </row>
    <row r="24" spans="1:43" x14ac:dyDescent="0.3">
      <c r="B24" s="22" t="s">
        <v>245</v>
      </c>
      <c r="M24" s="763"/>
      <c r="N24" s="379" t="s">
        <v>4</v>
      </c>
      <c r="O24" s="380" t="s">
        <v>4</v>
      </c>
      <c r="P24" s="381" t="s">
        <v>4</v>
      </c>
      <c r="Q24" s="382" t="s">
        <v>4</v>
      </c>
      <c r="R24" s="383" t="s">
        <v>4</v>
      </c>
      <c r="S24" s="382" t="s">
        <v>4</v>
      </c>
      <c r="T24" s="333"/>
      <c r="U24" s="46"/>
      <c r="W24" s="765"/>
      <c r="X24" s="127" t="s">
        <v>4</v>
      </c>
      <c r="Y24" s="307" t="s">
        <v>9</v>
      </c>
      <c r="Z24" s="325" t="s">
        <v>9</v>
      </c>
      <c r="AA24" s="127" t="s">
        <v>9</v>
      </c>
      <c r="AB24" s="127" t="s">
        <v>9</v>
      </c>
      <c r="AC24" s="307" t="s">
        <v>9</v>
      </c>
      <c r="AD24" s="325" t="s">
        <v>9</v>
      </c>
      <c r="AE24" s="127" t="s">
        <v>9</v>
      </c>
      <c r="AF24" s="127" t="s">
        <v>9</v>
      </c>
      <c r="AG24" s="307" t="s">
        <v>9</v>
      </c>
      <c r="AH24" s="325" t="s">
        <v>9</v>
      </c>
      <c r="AI24" s="127" t="s">
        <v>9</v>
      </c>
      <c r="AJ24" s="325" t="s">
        <v>9</v>
      </c>
      <c r="AL24" s="780"/>
      <c r="AM24" s="780"/>
      <c r="AQ24" s="309">
        <v>53.6</v>
      </c>
    </row>
    <row r="25" spans="1:43" x14ac:dyDescent="0.3">
      <c r="B25" s="22" t="s">
        <v>246</v>
      </c>
      <c r="M25" s="763"/>
      <c r="N25" s="379" t="s">
        <v>34</v>
      </c>
      <c r="O25" s="380" t="s">
        <v>34</v>
      </c>
      <c r="P25" s="381" t="s">
        <v>34</v>
      </c>
      <c r="Q25" s="382" t="s">
        <v>7</v>
      </c>
      <c r="R25" s="383" t="s">
        <v>7</v>
      </c>
      <c r="S25" s="382" t="s">
        <v>7</v>
      </c>
      <c r="T25" s="333"/>
      <c r="U25" s="46"/>
      <c r="W25" s="765"/>
      <c r="X25" s="127" t="s">
        <v>12</v>
      </c>
      <c r="Y25" s="307" t="s">
        <v>9</v>
      </c>
      <c r="Z25" s="325" t="s">
        <v>9</v>
      </c>
      <c r="AA25" s="127" t="s">
        <v>9</v>
      </c>
      <c r="AB25" s="127" t="s">
        <v>9</v>
      </c>
      <c r="AC25" s="307" t="s">
        <v>9</v>
      </c>
      <c r="AD25" s="325" t="s">
        <v>9</v>
      </c>
      <c r="AE25" s="127" t="s">
        <v>9</v>
      </c>
      <c r="AF25" s="127" t="s">
        <v>9</v>
      </c>
      <c r="AG25" s="307" t="s">
        <v>9</v>
      </c>
      <c r="AH25" s="325" t="s">
        <v>9</v>
      </c>
      <c r="AI25" s="127" t="s">
        <v>9</v>
      </c>
      <c r="AJ25" s="325" t="s">
        <v>9</v>
      </c>
      <c r="AL25" s="780"/>
      <c r="AM25" s="780"/>
      <c r="AQ25" s="368">
        <v>53.7</v>
      </c>
    </row>
    <row r="26" spans="1:43" x14ac:dyDescent="0.3">
      <c r="A26" s="22" t="s">
        <v>247</v>
      </c>
      <c r="B26" s="22" t="s">
        <v>248</v>
      </c>
      <c r="M26" s="763"/>
      <c r="N26" s="374" t="s">
        <v>3</v>
      </c>
      <c r="O26" s="375" t="s">
        <v>3</v>
      </c>
      <c r="P26" s="376" t="s">
        <v>3</v>
      </c>
      <c r="Q26" s="377" t="s">
        <v>3</v>
      </c>
      <c r="R26" s="378" t="s">
        <v>3</v>
      </c>
      <c r="S26" s="377" t="s">
        <v>3</v>
      </c>
      <c r="T26" s="384"/>
      <c r="U26" s="271"/>
      <c r="W26" s="765"/>
      <c r="X26" s="127" t="s">
        <v>34</v>
      </c>
      <c r="Y26" s="307">
        <v>22.6</v>
      </c>
      <c r="Z26" s="325">
        <v>6</v>
      </c>
      <c r="AA26" s="127">
        <v>22.6</v>
      </c>
      <c r="AB26" s="127">
        <v>7</v>
      </c>
      <c r="AC26" s="307">
        <v>22.6</v>
      </c>
      <c r="AD26" s="325">
        <v>8</v>
      </c>
      <c r="AE26" s="127" t="s">
        <v>9</v>
      </c>
      <c r="AF26" s="127" t="s">
        <v>9</v>
      </c>
      <c r="AG26" s="307" t="s">
        <v>9</v>
      </c>
      <c r="AH26" s="325" t="s">
        <v>9</v>
      </c>
      <c r="AI26" s="127" t="s">
        <v>9</v>
      </c>
      <c r="AJ26" s="325" t="s">
        <v>9</v>
      </c>
      <c r="AL26" s="780"/>
      <c r="AM26" s="780"/>
      <c r="AQ26" s="325">
        <v>53.8</v>
      </c>
    </row>
    <row r="27" spans="1:43" x14ac:dyDescent="0.3">
      <c r="M27" s="763"/>
      <c r="N27" s="374" t="s">
        <v>5</v>
      </c>
      <c r="O27" s="375" t="s">
        <v>5</v>
      </c>
      <c r="P27" s="376" t="s">
        <v>5</v>
      </c>
      <c r="Q27" s="377" t="s">
        <v>5</v>
      </c>
      <c r="R27" s="378" t="s">
        <v>5</v>
      </c>
      <c r="S27" s="377" t="s">
        <v>5</v>
      </c>
      <c r="T27" s="384"/>
      <c r="U27" s="271"/>
      <c r="W27" s="765"/>
      <c r="X27" s="127" t="s">
        <v>7</v>
      </c>
      <c r="Y27" s="307" t="s">
        <v>9</v>
      </c>
      <c r="Z27" s="325" t="s">
        <v>9</v>
      </c>
      <c r="AA27" s="127" t="s">
        <v>9</v>
      </c>
      <c r="AB27" s="127" t="s">
        <v>9</v>
      </c>
      <c r="AC27" s="307" t="s">
        <v>9</v>
      </c>
      <c r="AD27" s="325" t="s">
        <v>9</v>
      </c>
      <c r="AE27" s="127">
        <v>17</v>
      </c>
      <c r="AF27" s="127">
        <v>16</v>
      </c>
      <c r="AG27" s="307">
        <v>17</v>
      </c>
      <c r="AH27" s="325">
        <v>1</v>
      </c>
      <c r="AI27" s="127">
        <v>17</v>
      </c>
      <c r="AJ27" s="325">
        <v>16</v>
      </c>
      <c r="AL27" s="780"/>
      <c r="AM27" s="780"/>
    </row>
    <row r="28" spans="1:43" ht="15" thickBot="1" x14ac:dyDescent="0.35">
      <c r="A28" s="22" t="s">
        <v>38</v>
      </c>
      <c r="B28" s="22" t="s">
        <v>249</v>
      </c>
      <c r="C28" s="22" t="s">
        <v>244</v>
      </c>
      <c r="M28" s="763"/>
      <c r="N28" s="374" t="s">
        <v>6</v>
      </c>
      <c r="O28" s="375" t="s">
        <v>6</v>
      </c>
      <c r="P28" s="376" t="s">
        <v>6</v>
      </c>
      <c r="Q28" s="377" t="s">
        <v>6</v>
      </c>
      <c r="R28" s="378" t="s">
        <v>6</v>
      </c>
      <c r="S28" s="377" t="s">
        <v>6</v>
      </c>
      <c r="T28" s="384"/>
      <c r="U28" s="271"/>
      <c r="W28" s="765"/>
      <c r="X28" s="127" t="s">
        <v>3</v>
      </c>
      <c r="Y28" s="307">
        <v>857</v>
      </c>
      <c r="Z28" s="325" t="s">
        <v>237</v>
      </c>
      <c r="AA28" s="307">
        <v>857</v>
      </c>
      <c r="AB28" s="325" t="s">
        <v>237</v>
      </c>
      <c r="AC28" s="307">
        <v>857</v>
      </c>
      <c r="AD28" s="325" t="s">
        <v>237</v>
      </c>
      <c r="AE28" s="307">
        <v>857</v>
      </c>
      <c r="AF28" s="325" t="s">
        <v>237</v>
      </c>
      <c r="AG28" s="307">
        <v>857</v>
      </c>
      <c r="AH28" s="325" t="s">
        <v>237</v>
      </c>
      <c r="AI28" s="307">
        <v>857</v>
      </c>
      <c r="AJ28" s="325" t="s">
        <v>237</v>
      </c>
      <c r="AL28" s="780"/>
      <c r="AM28" s="780"/>
    </row>
    <row r="29" spans="1:43" x14ac:dyDescent="0.3">
      <c r="B29" s="22" t="s">
        <v>250</v>
      </c>
      <c r="M29" s="762" t="s">
        <v>51</v>
      </c>
      <c r="N29" s="385" t="s">
        <v>224</v>
      </c>
      <c r="O29" s="386" t="s">
        <v>224</v>
      </c>
      <c r="P29" s="387" t="s">
        <v>224</v>
      </c>
      <c r="Q29" s="388" t="s">
        <v>224</v>
      </c>
      <c r="R29" s="389" t="s">
        <v>224</v>
      </c>
      <c r="S29" s="388" t="s">
        <v>224</v>
      </c>
      <c r="T29" s="47"/>
      <c r="U29" s="302"/>
      <c r="W29" s="765"/>
      <c r="X29" s="127" t="s">
        <v>238</v>
      </c>
      <c r="Y29" s="307">
        <v>28</v>
      </c>
      <c r="Z29" s="325">
        <v>45</v>
      </c>
      <c r="AA29" s="127">
        <v>28</v>
      </c>
      <c r="AB29" s="127">
        <v>40</v>
      </c>
      <c r="AC29" s="307">
        <v>28</v>
      </c>
      <c r="AD29" s="325">
        <v>40</v>
      </c>
      <c r="AE29" s="127">
        <v>28</v>
      </c>
      <c r="AF29" s="127">
        <v>43</v>
      </c>
      <c r="AG29" s="307">
        <v>28</v>
      </c>
      <c r="AH29" s="325">
        <v>42</v>
      </c>
      <c r="AI29" s="127">
        <v>28</v>
      </c>
      <c r="AJ29" s="325">
        <v>31</v>
      </c>
      <c r="AL29" s="780"/>
      <c r="AM29" s="780"/>
    </row>
    <row r="30" spans="1:43" x14ac:dyDescent="0.3">
      <c r="B30" s="22" t="s">
        <v>251</v>
      </c>
      <c r="M30" s="763"/>
      <c r="N30" s="390" t="s">
        <v>12</v>
      </c>
      <c r="O30" s="391" t="s">
        <v>12</v>
      </c>
      <c r="P30" s="392" t="s">
        <v>12</v>
      </c>
      <c r="Q30" s="393" t="s">
        <v>12</v>
      </c>
      <c r="R30" s="394" t="s">
        <v>12</v>
      </c>
      <c r="S30" s="393" t="s">
        <v>12</v>
      </c>
      <c r="T30" s="44"/>
      <c r="U30" s="163"/>
      <c r="W30" s="765"/>
      <c r="X30" s="127" t="s">
        <v>6</v>
      </c>
      <c r="Y30" s="308">
        <v>54.4</v>
      </c>
      <c r="Z30" s="368">
        <v>54</v>
      </c>
      <c r="AA30" s="309">
        <v>54.4</v>
      </c>
      <c r="AB30" s="309">
        <v>53.9</v>
      </c>
      <c r="AC30" s="308">
        <v>54.4</v>
      </c>
      <c r="AD30" s="368">
        <v>53.8</v>
      </c>
      <c r="AE30" s="309">
        <v>54.4</v>
      </c>
      <c r="AF30" s="309">
        <v>53.6</v>
      </c>
      <c r="AG30" s="308">
        <v>54.4</v>
      </c>
      <c r="AH30" s="368">
        <v>53.7</v>
      </c>
      <c r="AI30" s="309">
        <v>54.4</v>
      </c>
      <c r="AJ30" s="325">
        <v>53.8</v>
      </c>
      <c r="AL30" s="10"/>
      <c r="AM30" s="10"/>
    </row>
    <row r="31" spans="1:43" x14ac:dyDescent="0.3">
      <c r="B31" s="22" t="s">
        <v>252</v>
      </c>
      <c r="M31" s="763"/>
      <c r="N31" s="390" t="s">
        <v>34</v>
      </c>
      <c r="O31" s="391" t="s">
        <v>34</v>
      </c>
      <c r="P31" s="392" t="s">
        <v>34</v>
      </c>
      <c r="Q31" s="393" t="s">
        <v>7</v>
      </c>
      <c r="R31" s="394" t="s">
        <v>7</v>
      </c>
      <c r="S31" s="393" t="s">
        <v>7</v>
      </c>
      <c r="T31" s="44"/>
      <c r="U31" s="163"/>
      <c r="W31" s="774" t="s">
        <v>50</v>
      </c>
      <c r="X31" s="334" t="s">
        <v>19</v>
      </c>
      <c r="Y31" s="335">
        <v>36</v>
      </c>
      <c r="Z31" s="119">
        <v>28</v>
      </c>
      <c r="AA31" s="334">
        <v>36</v>
      </c>
      <c r="AB31" s="334">
        <v>26</v>
      </c>
      <c r="AC31" s="335">
        <v>36</v>
      </c>
      <c r="AD31" s="119">
        <v>33</v>
      </c>
      <c r="AE31" s="334">
        <v>36</v>
      </c>
      <c r="AF31" s="334">
        <v>1</v>
      </c>
      <c r="AG31" s="335">
        <v>36</v>
      </c>
      <c r="AH31" s="119">
        <v>17</v>
      </c>
      <c r="AI31" s="334">
        <v>36</v>
      </c>
      <c r="AJ31" s="119">
        <v>24</v>
      </c>
      <c r="AL31" s="10" t="s">
        <v>253</v>
      </c>
      <c r="AM31" s="10">
        <v>1.2</v>
      </c>
      <c r="AQ31" s="368">
        <v>53.5</v>
      </c>
    </row>
    <row r="32" spans="1:43" x14ac:dyDescent="0.3">
      <c r="B32" s="22" t="s">
        <v>254</v>
      </c>
      <c r="M32" s="763"/>
      <c r="N32" s="395" t="s">
        <v>3</v>
      </c>
      <c r="O32" s="396" t="s">
        <v>3</v>
      </c>
      <c r="P32" s="397" t="s">
        <v>3</v>
      </c>
      <c r="Q32" s="398" t="s">
        <v>3</v>
      </c>
      <c r="R32" s="399" t="s">
        <v>3</v>
      </c>
      <c r="S32" s="398" t="s">
        <v>3</v>
      </c>
      <c r="T32" s="400"/>
      <c r="U32" s="242"/>
      <c r="W32" s="765"/>
      <c r="X32" s="127" t="s">
        <v>1</v>
      </c>
      <c r="Y32" s="307" t="s">
        <v>9</v>
      </c>
      <c r="Z32" s="325" t="s">
        <v>9</v>
      </c>
      <c r="AA32" s="127" t="s">
        <v>9</v>
      </c>
      <c r="AB32" s="127" t="s">
        <v>9</v>
      </c>
      <c r="AC32" s="307" t="s">
        <v>9</v>
      </c>
      <c r="AD32" s="325" t="s">
        <v>9</v>
      </c>
      <c r="AE32" s="127" t="s">
        <v>9</v>
      </c>
      <c r="AF32" s="127" t="s">
        <v>9</v>
      </c>
      <c r="AG32" s="307" t="s">
        <v>9</v>
      </c>
      <c r="AH32" s="325" t="s">
        <v>9</v>
      </c>
      <c r="AI32" s="127" t="s">
        <v>9</v>
      </c>
      <c r="AJ32" s="325" t="s">
        <v>9</v>
      </c>
      <c r="AL32" s="401" t="s">
        <v>255</v>
      </c>
      <c r="AM32" s="402">
        <f>AM31/AM15</f>
        <v>0.29629629629629628</v>
      </c>
      <c r="AQ32" s="309">
        <v>53.8</v>
      </c>
    </row>
    <row r="33" spans="1:43" x14ac:dyDescent="0.3">
      <c r="D33" s="22" t="s">
        <v>256</v>
      </c>
      <c r="E33" s="22" t="s">
        <v>257</v>
      </c>
      <c r="M33" s="763"/>
      <c r="N33" s="395" t="s">
        <v>5</v>
      </c>
      <c r="O33" s="396" t="s">
        <v>5</v>
      </c>
      <c r="P33" s="397" t="s">
        <v>5</v>
      </c>
      <c r="Q33" s="398" t="s">
        <v>5</v>
      </c>
      <c r="R33" s="399" t="s">
        <v>5</v>
      </c>
      <c r="S33" s="398" t="s">
        <v>5</v>
      </c>
      <c r="T33" s="400"/>
      <c r="U33" s="242"/>
      <c r="W33" s="765"/>
      <c r="X33" s="127" t="s">
        <v>2</v>
      </c>
      <c r="Y33" s="307" t="s">
        <v>9</v>
      </c>
      <c r="Z33" s="325" t="s">
        <v>9</v>
      </c>
      <c r="AA33" s="127" t="s">
        <v>9</v>
      </c>
      <c r="AB33" s="127" t="s">
        <v>9</v>
      </c>
      <c r="AC33" s="307" t="s">
        <v>9</v>
      </c>
      <c r="AD33" s="325" t="s">
        <v>9</v>
      </c>
      <c r="AE33" s="127" t="s">
        <v>9</v>
      </c>
      <c r="AF33" s="127" t="s">
        <v>9</v>
      </c>
      <c r="AG33" s="307" t="s">
        <v>9</v>
      </c>
      <c r="AH33" s="325" t="s">
        <v>9</v>
      </c>
      <c r="AI33" s="127" t="s">
        <v>9</v>
      </c>
      <c r="AJ33" s="325" t="s">
        <v>9</v>
      </c>
      <c r="AQ33" s="368">
        <v>53.5</v>
      </c>
    </row>
    <row r="34" spans="1:43" ht="15" customHeight="1" thickBot="1" x14ac:dyDescent="0.35">
      <c r="B34" s="22" t="s">
        <v>258</v>
      </c>
      <c r="D34" s="22">
        <v>1.7</v>
      </c>
      <c r="E34" s="22">
        <f>K18/1000</f>
        <v>26.132155053859382</v>
      </c>
      <c r="M34" s="764"/>
      <c r="N34" s="403" t="s">
        <v>6</v>
      </c>
      <c r="O34" s="404" t="s">
        <v>6</v>
      </c>
      <c r="P34" s="405" t="s">
        <v>6</v>
      </c>
      <c r="Q34" s="406" t="s">
        <v>6</v>
      </c>
      <c r="R34" s="407" t="s">
        <v>6</v>
      </c>
      <c r="S34" s="406" t="s">
        <v>6</v>
      </c>
      <c r="T34" s="408"/>
      <c r="U34" s="248"/>
      <c r="W34" s="765"/>
      <c r="X34" s="127" t="s">
        <v>4</v>
      </c>
      <c r="Y34" s="307">
        <v>17</v>
      </c>
      <c r="Z34" s="325">
        <v>1</v>
      </c>
      <c r="AA34" s="127">
        <v>17</v>
      </c>
      <c r="AB34" s="127">
        <v>1</v>
      </c>
      <c r="AC34" s="307">
        <v>17</v>
      </c>
      <c r="AD34" s="325">
        <v>1</v>
      </c>
      <c r="AE34" s="127">
        <v>17</v>
      </c>
      <c r="AF34" s="127">
        <v>1</v>
      </c>
      <c r="AG34" s="307">
        <v>17</v>
      </c>
      <c r="AH34" s="325">
        <v>11</v>
      </c>
      <c r="AI34" s="127">
        <v>17</v>
      </c>
      <c r="AJ34" s="325">
        <v>1</v>
      </c>
      <c r="AL34" s="775" t="s">
        <v>259</v>
      </c>
      <c r="AM34" s="775"/>
      <c r="AQ34" s="309">
        <v>53.9</v>
      </c>
    </row>
    <row r="35" spans="1:43" x14ac:dyDescent="0.3">
      <c r="M35" s="763" t="s">
        <v>52</v>
      </c>
      <c r="N35" s="410"/>
      <c r="O35" s="411"/>
      <c r="P35" s="412"/>
      <c r="Q35" s="411"/>
      <c r="R35" s="413"/>
      <c r="S35" s="411"/>
      <c r="T35" s="333"/>
      <c r="U35" s="46"/>
      <c r="W35" s="765"/>
      <c r="X35" s="127" t="s">
        <v>12</v>
      </c>
      <c r="Y35" s="307" t="s">
        <v>9</v>
      </c>
      <c r="Z35" s="325" t="s">
        <v>9</v>
      </c>
      <c r="AA35" s="127" t="s">
        <v>9</v>
      </c>
      <c r="AB35" s="127" t="s">
        <v>9</v>
      </c>
      <c r="AC35" s="307" t="s">
        <v>9</v>
      </c>
      <c r="AD35" s="325" t="s">
        <v>9</v>
      </c>
      <c r="AE35" s="127" t="s">
        <v>9</v>
      </c>
      <c r="AF35" s="127" t="s">
        <v>9</v>
      </c>
      <c r="AG35" s="307" t="s">
        <v>9</v>
      </c>
      <c r="AH35" s="325" t="s">
        <v>9</v>
      </c>
      <c r="AI35" s="127" t="s">
        <v>9</v>
      </c>
      <c r="AJ35" s="325" t="s">
        <v>9</v>
      </c>
      <c r="AL35" s="775"/>
      <c r="AM35" s="775"/>
      <c r="AQ35" s="368">
        <v>53.6</v>
      </c>
    </row>
    <row r="36" spans="1:43" x14ac:dyDescent="0.3">
      <c r="M36" s="763"/>
      <c r="N36" s="333"/>
      <c r="O36" s="305"/>
      <c r="P36" s="143"/>
      <c r="Q36" s="305"/>
      <c r="R36" s="44"/>
      <c r="S36" s="305"/>
      <c r="T36" s="333"/>
      <c r="U36" s="46"/>
      <c r="W36" s="765"/>
      <c r="X36" s="127" t="s">
        <v>34</v>
      </c>
      <c r="Y36" s="307">
        <v>22.6</v>
      </c>
      <c r="Z36" s="325">
        <v>1</v>
      </c>
      <c r="AA36" s="127">
        <v>22.6</v>
      </c>
      <c r="AB36" s="127">
        <v>9</v>
      </c>
      <c r="AC36" s="307">
        <v>22.6</v>
      </c>
      <c r="AD36" s="325">
        <v>10</v>
      </c>
      <c r="AE36" s="127" t="s">
        <v>9</v>
      </c>
      <c r="AF36" s="127" t="s">
        <v>9</v>
      </c>
      <c r="AG36" s="307" t="s">
        <v>9</v>
      </c>
      <c r="AH36" s="325" t="s">
        <v>9</v>
      </c>
      <c r="AI36" s="127" t="s">
        <v>9</v>
      </c>
      <c r="AJ36" s="325" t="s">
        <v>9</v>
      </c>
      <c r="AL36" s="775"/>
      <c r="AM36" s="775"/>
      <c r="AQ36" s="368">
        <v>54.4</v>
      </c>
    </row>
    <row r="37" spans="1:43" x14ac:dyDescent="0.3">
      <c r="M37" s="763"/>
      <c r="N37" s="333"/>
      <c r="O37" s="305"/>
      <c r="P37" s="143"/>
      <c r="Q37" s="305"/>
      <c r="R37" s="44"/>
      <c r="S37" s="305"/>
      <c r="T37" s="333"/>
      <c r="U37" s="46"/>
      <c r="W37" s="765"/>
      <c r="X37" s="127" t="s">
        <v>7</v>
      </c>
      <c r="Y37" s="307" t="s">
        <v>9</v>
      </c>
      <c r="Z37" s="325" t="s">
        <v>9</v>
      </c>
      <c r="AA37" s="127" t="s">
        <v>9</v>
      </c>
      <c r="AB37" s="127" t="s">
        <v>9</v>
      </c>
      <c r="AC37" s="307" t="s">
        <v>9</v>
      </c>
      <c r="AD37" s="325" t="s">
        <v>9</v>
      </c>
      <c r="AE37" s="127">
        <v>17</v>
      </c>
      <c r="AF37" s="127">
        <v>16</v>
      </c>
      <c r="AG37" s="307">
        <v>17</v>
      </c>
      <c r="AH37" s="325">
        <v>16</v>
      </c>
      <c r="AI37" s="127">
        <v>17</v>
      </c>
      <c r="AJ37" s="325">
        <v>1</v>
      </c>
      <c r="AL37" s="775"/>
      <c r="AM37" s="775"/>
    </row>
    <row r="38" spans="1:43" x14ac:dyDescent="0.3">
      <c r="M38" s="763"/>
      <c r="N38" s="333"/>
      <c r="O38" s="305"/>
      <c r="P38" s="143"/>
      <c r="Q38" s="305"/>
      <c r="R38" s="44"/>
      <c r="S38" s="305"/>
      <c r="T38" s="384"/>
      <c r="U38" s="271"/>
      <c r="W38" s="765"/>
      <c r="X38" s="127" t="s">
        <v>3</v>
      </c>
      <c r="Y38" s="307">
        <v>857</v>
      </c>
      <c r="Z38" s="325" t="s">
        <v>237</v>
      </c>
      <c r="AA38" s="307">
        <v>857</v>
      </c>
      <c r="AB38" s="325" t="s">
        <v>237</v>
      </c>
      <c r="AC38" s="307">
        <v>857</v>
      </c>
      <c r="AD38" s="325" t="s">
        <v>237</v>
      </c>
      <c r="AE38" s="307">
        <v>857</v>
      </c>
      <c r="AF38" s="325" t="s">
        <v>237</v>
      </c>
      <c r="AG38" s="307">
        <v>857</v>
      </c>
      <c r="AH38" s="325" t="s">
        <v>237</v>
      </c>
      <c r="AI38" s="307">
        <v>857</v>
      </c>
      <c r="AJ38" s="325" t="s">
        <v>237</v>
      </c>
      <c r="AL38" s="414"/>
      <c r="AM38" s="414"/>
    </row>
    <row r="39" spans="1:43" x14ac:dyDescent="0.3">
      <c r="M39" s="763"/>
      <c r="N39" s="410"/>
      <c r="O39" s="411"/>
      <c r="P39" s="412"/>
      <c r="Q39" s="411"/>
      <c r="R39" s="413"/>
      <c r="S39" s="411"/>
      <c r="T39" s="384"/>
      <c r="U39" s="271"/>
      <c r="W39" s="765"/>
      <c r="X39" s="127" t="s">
        <v>238</v>
      </c>
      <c r="Y39" s="307">
        <v>28</v>
      </c>
      <c r="Z39" s="325">
        <v>47</v>
      </c>
      <c r="AA39" s="127">
        <v>28</v>
      </c>
      <c r="AB39" s="127">
        <v>48</v>
      </c>
      <c r="AC39" s="307">
        <v>28</v>
      </c>
      <c r="AD39" s="325">
        <v>34</v>
      </c>
      <c r="AE39" s="127">
        <v>28</v>
      </c>
      <c r="AF39" s="127">
        <v>13</v>
      </c>
      <c r="AG39" s="307">
        <v>28</v>
      </c>
      <c r="AH39" s="325">
        <v>38</v>
      </c>
      <c r="AI39" s="127">
        <v>28</v>
      </c>
      <c r="AJ39" s="325">
        <v>43</v>
      </c>
      <c r="AL39" s="414"/>
      <c r="AM39" s="414"/>
      <c r="AQ39" s="368">
        <v>53.5</v>
      </c>
    </row>
    <row r="40" spans="1:43" ht="15" thickBot="1" x14ac:dyDescent="0.35">
      <c r="M40" s="763"/>
      <c r="N40" s="410"/>
      <c r="O40" s="411"/>
      <c r="P40" s="412"/>
      <c r="Q40" s="411"/>
      <c r="R40" s="413"/>
      <c r="S40" s="411"/>
      <c r="T40" s="384"/>
      <c r="U40" s="271"/>
      <c r="W40" s="766"/>
      <c r="X40" s="309" t="s">
        <v>6</v>
      </c>
      <c r="Y40" s="308">
        <v>54.4</v>
      </c>
      <c r="Z40" s="368">
        <v>53.5</v>
      </c>
      <c r="AA40" s="309">
        <v>54.4</v>
      </c>
      <c r="AB40" s="309">
        <v>53.8</v>
      </c>
      <c r="AC40" s="308">
        <v>54.4</v>
      </c>
      <c r="AD40" s="368">
        <v>53.5</v>
      </c>
      <c r="AE40" s="309">
        <v>54.4</v>
      </c>
      <c r="AF40" s="309">
        <v>53.9</v>
      </c>
      <c r="AG40" s="308">
        <v>54.4</v>
      </c>
      <c r="AH40" s="368">
        <v>53.6</v>
      </c>
      <c r="AI40" s="309">
        <v>54.4</v>
      </c>
      <c r="AJ40" s="368">
        <v>54.4</v>
      </c>
      <c r="AL40" s="414"/>
      <c r="AM40" s="414"/>
      <c r="AQ40" s="309">
        <v>53.5</v>
      </c>
    </row>
    <row r="41" spans="1:43" x14ac:dyDescent="0.3">
      <c r="M41" s="762" t="s">
        <v>53</v>
      </c>
      <c r="N41" s="415"/>
      <c r="O41" s="297"/>
      <c r="P41" s="416"/>
      <c r="Q41" s="297"/>
      <c r="R41" s="296"/>
      <c r="S41" s="297"/>
      <c r="T41" s="417"/>
      <c r="U41" s="43"/>
      <c r="W41" s="765" t="s">
        <v>51</v>
      </c>
      <c r="X41" s="127" t="s">
        <v>19</v>
      </c>
      <c r="Y41" s="307">
        <v>36</v>
      </c>
      <c r="Z41" s="325">
        <v>33</v>
      </c>
      <c r="AA41" s="127">
        <v>36</v>
      </c>
      <c r="AB41" s="127">
        <v>33</v>
      </c>
      <c r="AC41" s="307">
        <v>36</v>
      </c>
      <c r="AD41" s="325">
        <v>17</v>
      </c>
      <c r="AE41" s="127">
        <v>36</v>
      </c>
      <c r="AF41" s="127">
        <v>11</v>
      </c>
      <c r="AG41" s="307">
        <v>36</v>
      </c>
      <c r="AH41" s="325">
        <v>29</v>
      </c>
      <c r="AI41" s="127">
        <v>36</v>
      </c>
      <c r="AJ41" s="325">
        <v>34</v>
      </c>
      <c r="AL41" s="414"/>
      <c r="AM41" s="414"/>
      <c r="AQ41" s="368">
        <v>53.8</v>
      </c>
    </row>
    <row r="42" spans="1:43" x14ac:dyDescent="0.3">
      <c r="A42" s="316" t="s">
        <v>260</v>
      </c>
      <c r="M42" s="763"/>
      <c r="N42" s="333"/>
      <c r="O42" s="305"/>
      <c r="P42" s="143"/>
      <c r="Q42" s="305"/>
      <c r="R42" s="44"/>
      <c r="S42" s="305"/>
      <c r="T42" s="333"/>
      <c r="U42" s="46"/>
      <c r="W42" s="765"/>
      <c r="X42" s="127" t="s">
        <v>1</v>
      </c>
      <c r="Y42" s="307" t="s">
        <v>9</v>
      </c>
      <c r="Z42" s="325" t="s">
        <v>9</v>
      </c>
      <c r="AA42" s="127" t="s">
        <v>9</v>
      </c>
      <c r="AB42" s="127" t="s">
        <v>9</v>
      </c>
      <c r="AC42" s="307" t="s">
        <v>9</v>
      </c>
      <c r="AD42" s="325" t="s">
        <v>9</v>
      </c>
      <c r="AE42" s="127" t="s">
        <v>9</v>
      </c>
      <c r="AF42" s="127" t="s">
        <v>9</v>
      </c>
      <c r="AG42" s="307" t="s">
        <v>9</v>
      </c>
      <c r="AH42" s="325" t="s">
        <v>9</v>
      </c>
      <c r="AI42" s="127" t="s">
        <v>9</v>
      </c>
      <c r="AJ42" s="325" t="s">
        <v>9</v>
      </c>
      <c r="AQ42" s="309">
        <v>53.8</v>
      </c>
    </row>
    <row r="43" spans="1:43" x14ac:dyDescent="0.3">
      <c r="A43" s="22">
        <v>1</v>
      </c>
      <c r="B43" s="22" t="s">
        <v>261</v>
      </c>
      <c r="M43" s="763"/>
      <c r="N43" s="333"/>
      <c r="O43" s="305"/>
      <c r="P43" s="143"/>
      <c r="Q43" s="305"/>
      <c r="R43" s="44"/>
      <c r="S43" s="305"/>
      <c r="T43" s="333"/>
      <c r="U43" s="46"/>
      <c r="W43" s="765"/>
      <c r="X43" s="127" t="s">
        <v>2</v>
      </c>
      <c r="Y43" s="307" t="s">
        <v>9</v>
      </c>
      <c r="Z43" s="325" t="s">
        <v>9</v>
      </c>
      <c r="AA43" s="127" t="s">
        <v>9</v>
      </c>
      <c r="AB43" s="127" t="s">
        <v>9</v>
      </c>
      <c r="AC43" s="307" t="s">
        <v>9</v>
      </c>
      <c r="AD43" s="325" t="s">
        <v>9</v>
      </c>
      <c r="AE43" s="127" t="s">
        <v>9</v>
      </c>
      <c r="AF43" s="127" t="s">
        <v>9</v>
      </c>
      <c r="AG43" s="307" t="s">
        <v>9</v>
      </c>
      <c r="AH43" s="325" t="s">
        <v>9</v>
      </c>
      <c r="AI43" s="127" t="s">
        <v>9</v>
      </c>
      <c r="AJ43" s="325" t="s">
        <v>9</v>
      </c>
      <c r="AQ43" s="368">
        <v>53.5</v>
      </c>
    </row>
    <row r="44" spans="1:43" x14ac:dyDescent="0.3">
      <c r="B44" s="22" t="s">
        <v>262</v>
      </c>
      <c r="M44" s="763"/>
      <c r="N44" s="333"/>
      <c r="O44" s="305"/>
      <c r="P44" s="143"/>
      <c r="Q44" s="305"/>
      <c r="R44" s="44"/>
      <c r="S44" s="305"/>
      <c r="T44" s="384"/>
      <c r="U44" s="271"/>
      <c r="W44" s="765"/>
      <c r="X44" s="127" t="s">
        <v>4</v>
      </c>
      <c r="Y44" s="307" t="s">
        <v>9</v>
      </c>
      <c r="Z44" s="325" t="s">
        <v>9</v>
      </c>
      <c r="AA44" s="127" t="s">
        <v>9</v>
      </c>
      <c r="AB44" s="127" t="s">
        <v>9</v>
      </c>
      <c r="AC44" s="307" t="s">
        <v>9</v>
      </c>
      <c r="AD44" s="325" t="s">
        <v>9</v>
      </c>
      <c r="AE44" s="127" t="s">
        <v>9</v>
      </c>
      <c r="AF44" s="127" t="s">
        <v>9</v>
      </c>
      <c r="AG44" s="307" t="s">
        <v>9</v>
      </c>
      <c r="AH44" s="325" t="s">
        <v>9</v>
      </c>
      <c r="AI44" s="127" t="s">
        <v>9</v>
      </c>
      <c r="AJ44" s="325" t="s">
        <v>9</v>
      </c>
      <c r="AQ44" s="368">
        <v>53.8</v>
      </c>
    </row>
    <row r="45" spans="1:43" x14ac:dyDescent="0.3">
      <c r="B45" s="22" t="s">
        <v>263</v>
      </c>
      <c r="M45" s="763"/>
      <c r="N45" s="410"/>
      <c r="O45" s="411"/>
      <c r="P45" s="412"/>
      <c r="Q45" s="411"/>
      <c r="R45" s="413"/>
      <c r="S45" s="411"/>
      <c r="T45" s="384"/>
      <c r="U45" s="271"/>
      <c r="W45" s="765"/>
      <c r="X45" s="127" t="s">
        <v>12</v>
      </c>
      <c r="Y45" s="307">
        <v>15.5</v>
      </c>
      <c r="Z45" s="325">
        <v>1</v>
      </c>
      <c r="AA45" s="127">
        <v>15.5</v>
      </c>
      <c r="AB45" s="127">
        <v>8</v>
      </c>
      <c r="AC45" s="307">
        <v>15.5</v>
      </c>
      <c r="AD45" s="325">
        <v>8</v>
      </c>
      <c r="AE45" s="127">
        <v>15.5</v>
      </c>
      <c r="AF45" s="127">
        <v>9</v>
      </c>
      <c r="AG45" s="307">
        <v>15.5</v>
      </c>
      <c r="AH45" s="325">
        <v>8</v>
      </c>
      <c r="AI45" s="127">
        <v>15.5</v>
      </c>
      <c r="AJ45" s="325">
        <v>9</v>
      </c>
    </row>
    <row r="46" spans="1:43" ht="15" thickBot="1" x14ac:dyDescent="0.35">
      <c r="A46" s="22">
        <v>2</v>
      </c>
      <c r="B46" s="22" t="s">
        <v>264</v>
      </c>
      <c r="M46" s="764"/>
      <c r="N46" s="418"/>
      <c r="O46" s="419"/>
      <c r="P46" s="420"/>
      <c r="Q46" s="419"/>
      <c r="R46" s="421"/>
      <c r="S46" s="419"/>
      <c r="T46" s="422"/>
      <c r="U46" s="274"/>
      <c r="W46" s="765"/>
      <c r="X46" s="127" t="s">
        <v>34</v>
      </c>
      <c r="Y46" s="307">
        <v>22.6</v>
      </c>
      <c r="Z46" s="325">
        <v>11</v>
      </c>
      <c r="AA46" s="127">
        <v>22.6</v>
      </c>
      <c r="AB46" s="127">
        <v>8</v>
      </c>
      <c r="AC46" s="307">
        <v>22.6</v>
      </c>
      <c r="AD46" s="325">
        <v>5</v>
      </c>
      <c r="AE46" s="127" t="s">
        <v>9</v>
      </c>
      <c r="AF46" s="127" t="s">
        <v>9</v>
      </c>
      <c r="AG46" s="307" t="s">
        <v>9</v>
      </c>
      <c r="AH46" s="325" t="s">
        <v>9</v>
      </c>
      <c r="AI46" s="127" t="s">
        <v>9</v>
      </c>
      <c r="AJ46" s="325" t="s">
        <v>9</v>
      </c>
    </row>
    <row r="47" spans="1:43" x14ac:dyDescent="0.3">
      <c r="B47" s="22" t="s">
        <v>265</v>
      </c>
      <c r="W47" s="765"/>
      <c r="X47" s="127" t="s">
        <v>7</v>
      </c>
      <c r="Y47" s="307" t="s">
        <v>9</v>
      </c>
      <c r="Z47" s="325" t="s">
        <v>9</v>
      </c>
      <c r="AA47" s="127" t="s">
        <v>9</v>
      </c>
      <c r="AB47" s="127" t="s">
        <v>9</v>
      </c>
      <c r="AC47" s="307" t="s">
        <v>9</v>
      </c>
      <c r="AD47" s="325" t="s">
        <v>9</v>
      </c>
      <c r="AE47" s="127">
        <v>17</v>
      </c>
      <c r="AF47" s="127">
        <v>1</v>
      </c>
      <c r="AG47" s="307">
        <v>17</v>
      </c>
      <c r="AH47" s="325">
        <v>16</v>
      </c>
      <c r="AI47" s="127">
        <v>17</v>
      </c>
      <c r="AJ47" s="325">
        <v>1</v>
      </c>
    </row>
    <row r="48" spans="1:43" x14ac:dyDescent="0.3">
      <c r="B48" s="22" t="s">
        <v>266</v>
      </c>
      <c r="W48" s="765"/>
      <c r="X48" s="127" t="s">
        <v>3</v>
      </c>
      <c r="Y48" s="307">
        <v>857</v>
      </c>
      <c r="Z48" s="325" t="s">
        <v>237</v>
      </c>
      <c r="AA48" s="307">
        <v>857</v>
      </c>
      <c r="AB48" s="325" t="s">
        <v>237</v>
      </c>
      <c r="AC48" s="307">
        <v>857</v>
      </c>
      <c r="AD48" s="325" t="s">
        <v>237</v>
      </c>
      <c r="AE48" s="307">
        <v>857</v>
      </c>
      <c r="AF48" s="325" t="s">
        <v>237</v>
      </c>
      <c r="AG48" s="307">
        <v>857</v>
      </c>
      <c r="AH48" s="325" t="s">
        <v>237</v>
      </c>
      <c r="AI48" s="307">
        <v>857</v>
      </c>
      <c r="AJ48" s="325" t="s">
        <v>237</v>
      </c>
    </row>
    <row r="49" spans="1:36" x14ac:dyDescent="0.3">
      <c r="A49" s="22">
        <v>3</v>
      </c>
      <c r="B49" s="22" t="s">
        <v>267</v>
      </c>
      <c r="W49" s="765"/>
      <c r="X49" s="127" t="s">
        <v>238</v>
      </c>
      <c r="Y49" s="307">
        <v>28</v>
      </c>
      <c r="Z49" s="325">
        <v>12</v>
      </c>
      <c r="AA49" s="127">
        <v>28</v>
      </c>
      <c r="AB49" s="127">
        <v>40</v>
      </c>
      <c r="AC49" s="307">
        <v>28</v>
      </c>
      <c r="AD49" s="325">
        <v>42</v>
      </c>
      <c r="AE49" s="127">
        <v>28</v>
      </c>
      <c r="AF49" s="127">
        <v>49</v>
      </c>
      <c r="AG49" s="307">
        <v>28</v>
      </c>
      <c r="AH49" s="325">
        <v>44</v>
      </c>
      <c r="AI49" s="127">
        <v>28</v>
      </c>
      <c r="AJ49" s="325">
        <v>43</v>
      </c>
    </row>
    <row r="50" spans="1:36" x14ac:dyDescent="0.3">
      <c r="B50" s="22" t="s">
        <v>268</v>
      </c>
      <c r="W50" s="766"/>
      <c r="X50" s="309" t="s">
        <v>6</v>
      </c>
      <c r="Y50" s="308">
        <v>54.4</v>
      </c>
      <c r="Z50" s="368">
        <v>53.5</v>
      </c>
      <c r="AA50" s="309">
        <v>54.4</v>
      </c>
      <c r="AB50" s="309">
        <v>53.5</v>
      </c>
      <c r="AC50" s="308">
        <v>54.4</v>
      </c>
      <c r="AD50" s="368">
        <v>53.8</v>
      </c>
      <c r="AE50" s="309">
        <v>54.4</v>
      </c>
      <c r="AF50" s="309">
        <v>53.8</v>
      </c>
      <c r="AG50" s="308">
        <v>54.4</v>
      </c>
      <c r="AH50" s="368">
        <v>53.5</v>
      </c>
      <c r="AI50" s="309">
        <v>54.4</v>
      </c>
      <c r="AJ50" s="368">
        <v>53.8</v>
      </c>
    </row>
    <row r="51" spans="1:36" x14ac:dyDescent="0.3">
      <c r="B51" s="22" t="s">
        <v>269</v>
      </c>
      <c r="S51" s="325"/>
    </row>
    <row r="52" spans="1:36" x14ac:dyDescent="0.3">
      <c r="A52" s="22">
        <v>4</v>
      </c>
      <c r="B52" s="22" t="s">
        <v>270</v>
      </c>
      <c r="S52" s="127"/>
      <c r="Y52" s="22" t="s">
        <v>271</v>
      </c>
    </row>
    <row r="53" spans="1:36" x14ac:dyDescent="0.3">
      <c r="B53" s="22" t="s">
        <v>272</v>
      </c>
      <c r="S53" s="325"/>
    </row>
    <row r="54" spans="1:36" x14ac:dyDescent="0.3">
      <c r="B54" s="22" t="s">
        <v>273</v>
      </c>
      <c r="S54" s="127"/>
    </row>
    <row r="55" spans="1:36" x14ac:dyDescent="0.3">
      <c r="A55" s="22">
        <v>5</v>
      </c>
      <c r="B55" s="22" t="s">
        <v>274</v>
      </c>
      <c r="W55" s="22" t="s">
        <v>168</v>
      </c>
    </row>
    <row r="56" spans="1:36" x14ac:dyDescent="0.3">
      <c r="B56" s="22" t="s">
        <v>275</v>
      </c>
      <c r="Q56" s="325">
        <v>40</v>
      </c>
      <c r="R56" s="325">
        <v>45</v>
      </c>
      <c r="S56" s="325">
        <v>47</v>
      </c>
      <c r="T56" s="325">
        <v>12</v>
      </c>
    </row>
    <row r="57" spans="1:36" x14ac:dyDescent="0.3">
      <c r="A57" s="22">
        <v>6</v>
      </c>
      <c r="B57" s="22" t="s">
        <v>276</v>
      </c>
      <c r="Q57" s="127">
        <v>48</v>
      </c>
      <c r="R57" s="127">
        <v>40</v>
      </c>
      <c r="S57" s="127">
        <v>48</v>
      </c>
      <c r="T57" s="127">
        <v>40</v>
      </c>
    </row>
    <row r="58" spans="1:36" x14ac:dyDescent="0.3">
      <c r="B58" s="22" t="s">
        <v>277</v>
      </c>
      <c r="Q58" s="325">
        <v>49</v>
      </c>
      <c r="R58" s="325">
        <v>40</v>
      </c>
      <c r="S58" s="325">
        <v>34</v>
      </c>
      <c r="T58" s="325">
        <v>42</v>
      </c>
    </row>
    <row r="59" spans="1:36" x14ac:dyDescent="0.3">
      <c r="A59" s="22">
        <v>7</v>
      </c>
      <c r="B59" s="22" t="s">
        <v>278</v>
      </c>
      <c r="P59" s="325"/>
      <c r="Q59" s="127">
        <v>43</v>
      </c>
      <c r="R59" s="127">
        <v>43</v>
      </c>
      <c r="S59" s="127">
        <v>13</v>
      </c>
      <c r="T59" s="127">
        <v>49</v>
      </c>
    </row>
    <row r="60" spans="1:36" x14ac:dyDescent="0.3">
      <c r="B60" s="22" t="s">
        <v>279</v>
      </c>
      <c r="P60" s="127"/>
      <c r="Q60" s="325">
        <v>43</v>
      </c>
      <c r="R60" s="325">
        <v>42</v>
      </c>
      <c r="S60" s="325">
        <v>38</v>
      </c>
      <c r="T60" s="325">
        <v>44</v>
      </c>
    </row>
    <row r="61" spans="1:36" x14ac:dyDescent="0.3">
      <c r="B61" s="22" t="s">
        <v>280</v>
      </c>
      <c r="P61" s="325"/>
      <c r="Q61" s="325">
        <v>43</v>
      </c>
      <c r="R61" s="325">
        <v>31</v>
      </c>
      <c r="S61" s="325">
        <v>43</v>
      </c>
      <c r="T61" s="325">
        <v>43</v>
      </c>
    </row>
    <row r="62" spans="1:36" x14ac:dyDescent="0.3">
      <c r="B62" s="22" t="s">
        <v>281</v>
      </c>
      <c r="P62" s="127"/>
      <c r="Q62" s="127"/>
      <c r="R62" s="127"/>
    </row>
    <row r="63" spans="1:36" x14ac:dyDescent="0.3">
      <c r="A63" s="22">
        <v>8</v>
      </c>
      <c r="B63" s="22" t="s">
        <v>282</v>
      </c>
      <c r="P63" s="325"/>
      <c r="Q63" s="325"/>
      <c r="R63" s="325"/>
    </row>
    <row r="64" spans="1:36" x14ac:dyDescent="0.3">
      <c r="B64" s="22" t="s">
        <v>283</v>
      </c>
      <c r="P64" s="325"/>
      <c r="Q64" s="325"/>
      <c r="R64" s="325"/>
    </row>
    <row r="65" spans="1:49" x14ac:dyDescent="0.3">
      <c r="A65" s="22">
        <v>9</v>
      </c>
      <c r="B65" s="22" t="s">
        <v>284</v>
      </c>
    </row>
    <row r="66" spans="1:49" x14ac:dyDescent="0.3">
      <c r="B66" s="22" t="s">
        <v>285</v>
      </c>
    </row>
    <row r="67" spans="1:49" x14ac:dyDescent="0.3">
      <c r="B67" s="22" t="s">
        <v>286</v>
      </c>
      <c r="W67" s="21" t="s">
        <v>287</v>
      </c>
      <c r="AA67" s="21" t="s">
        <v>287</v>
      </c>
      <c r="AD67" s="21" t="s">
        <v>288</v>
      </c>
      <c r="AG67" s="21" t="s">
        <v>288</v>
      </c>
      <c r="AK67" s="21" t="s">
        <v>186</v>
      </c>
      <c r="AO67" s="21" t="s">
        <v>186</v>
      </c>
      <c r="AS67" s="21" t="s">
        <v>289</v>
      </c>
      <c r="AW67" s="21" t="s">
        <v>289</v>
      </c>
    </row>
    <row r="68" spans="1:49" x14ac:dyDescent="0.3">
      <c r="A68" s="22">
        <v>10</v>
      </c>
      <c r="B68" s="22" t="s">
        <v>290</v>
      </c>
      <c r="W68" s="22" t="s">
        <v>170</v>
      </c>
      <c r="AA68" s="22" t="s">
        <v>172</v>
      </c>
      <c r="AD68" s="22" t="s">
        <v>171</v>
      </c>
      <c r="AG68" s="22" t="s">
        <v>173</v>
      </c>
      <c r="AK68" s="22" t="s">
        <v>291</v>
      </c>
      <c r="AO68" s="22" t="s">
        <v>292</v>
      </c>
      <c r="AS68" s="22" t="s">
        <v>293</v>
      </c>
      <c r="AW68" s="22" t="s">
        <v>294</v>
      </c>
    </row>
    <row r="69" spans="1:49" x14ac:dyDescent="0.3">
      <c r="A69" s="22">
        <v>11</v>
      </c>
      <c r="B69" s="22" t="s">
        <v>295</v>
      </c>
      <c r="W69" s="22">
        <f>323.11*0.05</f>
        <v>16.1555</v>
      </c>
      <c r="AA69" s="22">
        <f xml:space="preserve"> 357.7*0.05</f>
        <v>17.885000000000002</v>
      </c>
      <c r="AD69" s="22">
        <f>362.11*0.05</f>
        <v>18.105500000000003</v>
      </c>
      <c r="AG69" s="22">
        <f>396.09*0.05</f>
        <v>19.804500000000001</v>
      </c>
      <c r="AK69" s="22" t="s">
        <v>296</v>
      </c>
      <c r="AO69" s="22" t="s">
        <v>297</v>
      </c>
      <c r="AS69" s="22" t="s">
        <v>298</v>
      </c>
      <c r="AW69" s="22" t="s">
        <v>299</v>
      </c>
    </row>
    <row r="70" spans="1:49" x14ac:dyDescent="0.3">
      <c r="AK70" s="22" t="s">
        <v>300</v>
      </c>
      <c r="AO70" s="22" t="s">
        <v>301</v>
      </c>
      <c r="AS70" s="22" t="s">
        <v>302</v>
      </c>
      <c r="AW70" s="22" t="s">
        <v>303</v>
      </c>
    </row>
    <row r="71" spans="1:49" x14ac:dyDescent="0.3">
      <c r="AK71" s="22" t="s">
        <v>304</v>
      </c>
      <c r="AO71" s="22" t="s">
        <v>305</v>
      </c>
      <c r="AS71" s="22" t="s">
        <v>306</v>
      </c>
      <c r="AW71" s="22" t="s">
        <v>307</v>
      </c>
    </row>
    <row r="72" spans="1:49" x14ac:dyDescent="0.3">
      <c r="AK72" s="22" t="s">
        <v>308</v>
      </c>
      <c r="AO72" s="22" t="s">
        <v>309</v>
      </c>
      <c r="AS72" s="22" t="s">
        <v>310</v>
      </c>
      <c r="AW72" s="22" t="s">
        <v>311</v>
      </c>
    </row>
    <row r="73" spans="1:49" x14ac:dyDescent="0.3">
      <c r="AK73" s="22" t="s">
        <v>312</v>
      </c>
      <c r="AO73" s="22" t="s">
        <v>313</v>
      </c>
      <c r="AS73" s="22" t="s">
        <v>314</v>
      </c>
      <c r="AW73" s="22" t="s">
        <v>315</v>
      </c>
    </row>
    <row r="74" spans="1:49" x14ac:dyDescent="0.3">
      <c r="A74" s="22" t="s">
        <v>316</v>
      </c>
    </row>
    <row r="75" spans="1:49" ht="15" thickBot="1" x14ac:dyDescent="0.35">
      <c r="A75" s="22">
        <v>1</v>
      </c>
      <c r="B75" s="22" t="s">
        <v>317</v>
      </c>
    </row>
    <row r="76" spans="1:49" ht="15" thickBot="1" x14ac:dyDescent="0.35">
      <c r="A76" s="22">
        <v>2</v>
      </c>
      <c r="B76" s="22" t="s">
        <v>318</v>
      </c>
      <c r="AA76" s="745" t="s">
        <v>161</v>
      </c>
      <c r="AB76" s="746"/>
      <c r="AC76" s="746"/>
      <c r="AD76" s="746"/>
      <c r="AE76" s="746"/>
      <c r="AF76" s="746"/>
      <c r="AG76" s="746"/>
      <c r="AH76" s="746"/>
      <c r="AI76" s="746"/>
      <c r="AJ76" s="746"/>
      <c r="AK76" s="746"/>
      <c r="AL76" s="746"/>
      <c r="AM76" s="745" t="s">
        <v>162</v>
      </c>
      <c r="AN76" s="746"/>
      <c r="AO76" s="747"/>
    </row>
    <row r="77" spans="1:49" ht="15" thickBot="1" x14ac:dyDescent="0.35">
      <c r="A77" s="22">
        <v>2</v>
      </c>
      <c r="B77" s="22" t="s">
        <v>319</v>
      </c>
      <c r="AA77" s="767" t="s">
        <v>19</v>
      </c>
      <c r="AB77" s="768"/>
      <c r="AC77" s="768"/>
      <c r="AD77" s="769" t="s">
        <v>46</v>
      </c>
      <c r="AE77" s="768"/>
      <c r="AF77" s="770"/>
      <c r="AG77" s="768" t="s">
        <v>47</v>
      </c>
      <c r="AH77" s="768"/>
      <c r="AI77" s="768"/>
      <c r="AJ77" s="769" t="s">
        <v>5</v>
      </c>
      <c r="AK77" s="768"/>
      <c r="AL77" s="770"/>
      <c r="AM77" s="771" t="s">
        <v>8</v>
      </c>
      <c r="AN77" s="772"/>
      <c r="AO77" s="773"/>
    </row>
    <row r="78" spans="1:49" x14ac:dyDescent="0.3">
      <c r="A78" s="22">
        <v>3</v>
      </c>
      <c r="B78" s="22" t="s">
        <v>320</v>
      </c>
      <c r="X78" s="427" t="s">
        <v>46</v>
      </c>
      <c r="Y78" s="428" t="s">
        <v>47</v>
      </c>
      <c r="Z78" s="226" t="s">
        <v>55</v>
      </c>
      <c r="AA78" s="287" t="s">
        <v>158</v>
      </c>
      <c r="AB78" s="288" t="s">
        <v>159</v>
      </c>
      <c r="AC78" s="288" t="s">
        <v>157</v>
      </c>
      <c r="AD78" s="292" t="s">
        <v>158</v>
      </c>
      <c r="AE78" s="288" t="s">
        <v>159</v>
      </c>
      <c r="AF78" s="293" t="s">
        <v>157</v>
      </c>
      <c r="AG78" s="288" t="s">
        <v>158</v>
      </c>
      <c r="AH78" s="288" t="s">
        <v>159</v>
      </c>
      <c r="AI78" s="288" t="s">
        <v>157</v>
      </c>
      <c r="AJ78" s="292" t="s">
        <v>158</v>
      </c>
      <c r="AK78" s="288" t="s">
        <v>159</v>
      </c>
      <c r="AL78" s="293" t="s">
        <v>157</v>
      </c>
      <c r="AM78" s="424" t="s">
        <v>158</v>
      </c>
      <c r="AN78" s="425" t="s">
        <v>159</v>
      </c>
      <c r="AO78" s="426" t="s">
        <v>157</v>
      </c>
    </row>
    <row r="79" spans="1:49" x14ac:dyDescent="0.3">
      <c r="A79" s="22">
        <v>4</v>
      </c>
      <c r="B79" s="22" t="s">
        <v>321</v>
      </c>
      <c r="X79" s="748" t="s">
        <v>48</v>
      </c>
      <c r="Y79" s="755" t="s">
        <v>48</v>
      </c>
      <c r="Z79" s="43" t="s">
        <v>59</v>
      </c>
      <c r="AA79" s="210">
        <f>I$11</f>
        <v>36.410802708377396</v>
      </c>
      <c r="AB79" s="42">
        <f>Z11</f>
        <v>31</v>
      </c>
      <c r="AC79" s="211">
        <f>ABS(AB79-AA79)/AA79</f>
        <v>0.14860432360455703</v>
      </c>
      <c r="AD79" s="83">
        <f>I$12</f>
        <v>10.461572739895038</v>
      </c>
      <c r="AE79" s="42">
        <v>11</v>
      </c>
      <c r="AF79" s="217">
        <f t="shared" ref="AF79:AF84" si="5">ABS(AE79-AD79)/AD79</f>
        <v>5.14671429900476E-2</v>
      </c>
      <c r="AG79" s="78">
        <f>I$16</f>
        <v>22.63534605571482</v>
      </c>
      <c r="AH79" s="64">
        <v>1</v>
      </c>
      <c r="AI79" s="206">
        <f>ABS(AH79-AG79)/AG79</f>
        <v>0.95582130719192049</v>
      </c>
      <c r="AJ79" s="84">
        <f>I$19</f>
        <v>36.460715124530275</v>
      </c>
      <c r="AK79" s="64">
        <v>40</v>
      </c>
      <c r="AL79" s="216">
        <f>ABS(AK79-AJ79)/AJ79</f>
        <v>9.7071186436728518E-2</v>
      </c>
      <c r="AM79" s="210">
        <f>I$20</f>
        <v>54.441989695540371</v>
      </c>
      <c r="AN79" s="42">
        <v>53.5</v>
      </c>
      <c r="AO79" s="212">
        <f>ABS(AN79-AM79)/AM79</f>
        <v>1.730263167838509E-2</v>
      </c>
    </row>
    <row r="80" spans="1:49" x14ac:dyDescent="0.3">
      <c r="A80" s="22">
        <v>5</v>
      </c>
      <c r="B80" s="22" t="s">
        <v>322</v>
      </c>
      <c r="X80" s="749"/>
      <c r="Y80" s="756"/>
      <c r="Z80" s="46" t="s">
        <v>60</v>
      </c>
      <c r="AA80" s="175">
        <f t="shared" ref="AA80:AA102" si="6">I$11</f>
        <v>36.410802708377396</v>
      </c>
      <c r="AB80" s="64">
        <f>AB11</f>
        <v>24</v>
      </c>
      <c r="AC80" s="206">
        <f t="shared" ref="AC80:AC102" si="7">ABS(AB80-AA80)/AA80</f>
        <v>0.34085496020997963</v>
      </c>
      <c r="AD80" s="84">
        <f t="shared" ref="AD80:AD84" si="8">I$12</f>
        <v>10.461572739895038</v>
      </c>
      <c r="AE80" s="64">
        <v>11</v>
      </c>
      <c r="AF80" s="216">
        <f t="shared" si="5"/>
        <v>5.14671429900476E-2</v>
      </c>
      <c r="AG80" s="78">
        <f t="shared" ref="AG80:AG81" si="9">I$16</f>
        <v>22.63534605571482</v>
      </c>
      <c r="AH80" s="64">
        <v>5</v>
      </c>
      <c r="AI80" s="206">
        <f t="shared" ref="AI80:AI102" si="10">ABS(AH80-AG80)/AG80</f>
        <v>0.77910653595960222</v>
      </c>
      <c r="AJ80" s="84">
        <f t="shared" ref="AJ80:AJ102" si="11">I$19</f>
        <v>36.460715124530275</v>
      </c>
      <c r="AK80" s="64">
        <v>48</v>
      </c>
      <c r="AL80" s="216">
        <f t="shared" ref="AL80:AL102" si="12">ABS(AK80-AJ80)/AJ80</f>
        <v>0.31648542372407423</v>
      </c>
      <c r="AM80" s="175">
        <f t="shared" ref="AM80:AM102" si="13">I$20</f>
        <v>54.441989695540371</v>
      </c>
      <c r="AN80" s="64">
        <v>53.5</v>
      </c>
      <c r="AO80" s="207">
        <f t="shared" ref="AO80:AO102" si="14">ABS(AN80-AM80)/AM80</f>
        <v>1.730263167838509E-2</v>
      </c>
    </row>
    <row r="81" spans="1:46" ht="15" thickBot="1" x14ac:dyDescent="0.35">
      <c r="A81" s="22">
        <v>6</v>
      </c>
      <c r="B81" s="22" t="s">
        <v>323</v>
      </c>
      <c r="X81" s="749"/>
      <c r="Y81" s="757"/>
      <c r="Z81" s="51" t="s">
        <v>61</v>
      </c>
      <c r="AA81" s="213">
        <f t="shared" si="6"/>
        <v>36.410802708377396</v>
      </c>
      <c r="AB81" s="50">
        <f>AD11</f>
        <v>33</v>
      </c>
      <c r="AC81" s="214">
        <f t="shared" si="7"/>
        <v>9.3675570288722004E-2</v>
      </c>
      <c r="AD81" s="85">
        <f t="shared" si="8"/>
        <v>10.461572739895038</v>
      </c>
      <c r="AE81" s="50">
        <v>1</v>
      </c>
      <c r="AF81" s="218">
        <f t="shared" si="5"/>
        <v>0.90441207790999567</v>
      </c>
      <c r="AG81" s="78">
        <f t="shared" si="9"/>
        <v>22.63534605571482</v>
      </c>
      <c r="AH81" s="64">
        <v>5</v>
      </c>
      <c r="AI81" s="206">
        <f t="shared" si="10"/>
        <v>0.77910653595960222</v>
      </c>
      <c r="AJ81" s="84">
        <f t="shared" si="11"/>
        <v>36.460715124530275</v>
      </c>
      <c r="AK81" s="64">
        <v>49</v>
      </c>
      <c r="AL81" s="216">
        <f t="shared" si="12"/>
        <v>0.34391220338499245</v>
      </c>
      <c r="AM81" s="213">
        <f t="shared" si="13"/>
        <v>54.441989695540371</v>
      </c>
      <c r="AN81" s="50">
        <v>53.5</v>
      </c>
      <c r="AO81" s="215">
        <f t="shared" si="14"/>
        <v>1.730263167838509E-2</v>
      </c>
    </row>
    <row r="82" spans="1:46" ht="15" thickBot="1" x14ac:dyDescent="0.35">
      <c r="X82" s="749"/>
      <c r="Y82" s="756" t="s">
        <v>49</v>
      </c>
      <c r="Z82" s="46" t="s">
        <v>82</v>
      </c>
      <c r="AA82" s="175">
        <f t="shared" si="6"/>
        <v>36.410802708377396</v>
      </c>
      <c r="AB82" s="64">
        <f>AF11</f>
        <v>1</v>
      </c>
      <c r="AC82" s="206">
        <f t="shared" si="7"/>
        <v>0.97253562334208243</v>
      </c>
      <c r="AD82" s="84">
        <f t="shared" si="8"/>
        <v>10.461572739895038</v>
      </c>
      <c r="AE82" s="64">
        <v>1</v>
      </c>
      <c r="AF82" s="216">
        <f t="shared" si="5"/>
        <v>0.90441207790999567</v>
      </c>
      <c r="AG82" s="57">
        <f>I$17</f>
        <v>17.010399680371588</v>
      </c>
      <c r="AH82" s="42">
        <v>1</v>
      </c>
      <c r="AI82" s="211">
        <f>ABS(AH82-AG82)/AG82</f>
        <v>0.9412124336411738</v>
      </c>
      <c r="AJ82" s="83">
        <f t="shared" si="11"/>
        <v>36.460715124530275</v>
      </c>
      <c r="AK82" s="42">
        <v>43</v>
      </c>
      <c r="AL82" s="217">
        <f t="shared" si="12"/>
        <v>0.17935152541948315</v>
      </c>
      <c r="AM82" s="175">
        <f t="shared" si="13"/>
        <v>54.441989695540371</v>
      </c>
      <c r="AN82" s="64">
        <v>53.6</v>
      </c>
      <c r="AO82" s="207">
        <f t="shared" si="14"/>
        <v>1.546581416750354E-2</v>
      </c>
      <c r="AQ82" s="4"/>
      <c r="AR82" s="745" t="s">
        <v>324</v>
      </c>
      <c r="AS82" s="746"/>
      <c r="AT82" s="747"/>
    </row>
    <row r="83" spans="1:46" ht="15" thickBot="1" x14ac:dyDescent="0.35">
      <c r="X83" s="749"/>
      <c r="Y83" s="756"/>
      <c r="Z83" s="46" t="s">
        <v>83</v>
      </c>
      <c r="AA83" s="175">
        <f t="shared" si="6"/>
        <v>36.410802708377396</v>
      </c>
      <c r="AB83" s="64">
        <f>AH11</f>
        <v>31</v>
      </c>
      <c r="AC83" s="206">
        <f t="shared" si="7"/>
        <v>0.14860432360455703</v>
      </c>
      <c r="AD83" s="84">
        <f t="shared" si="8"/>
        <v>10.461572739895038</v>
      </c>
      <c r="AE83" s="64">
        <v>18</v>
      </c>
      <c r="AF83" s="216">
        <f t="shared" si="5"/>
        <v>0.72058259762007792</v>
      </c>
      <c r="AG83" s="78">
        <f t="shared" ref="AG83:AG84" si="15">I$17</f>
        <v>17.010399680371588</v>
      </c>
      <c r="AH83" s="64">
        <v>1</v>
      </c>
      <c r="AI83" s="206">
        <f t="shared" si="10"/>
        <v>0.9412124336411738</v>
      </c>
      <c r="AJ83" s="84">
        <f t="shared" si="11"/>
        <v>36.460715124530275</v>
      </c>
      <c r="AK83" s="64">
        <v>43</v>
      </c>
      <c r="AL83" s="216">
        <f t="shared" si="12"/>
        <v>0.17935152541948315</v>
      </c>
      <c r="AM83" s="175">
        <f t="shared" si="13"/>
        <v>54.441989695540371</v>
      </c>
      <c r="AN83" s="64">
        <v>53.6</v>
      </c>
      <c r="AO83" s="207">
        <f t="shared" si="14"/>
        <v>1.546581416750354E-2</v>
      </c>
      <c r="AQ83" s="6"/>
      <c r="AR83" s="228" t="s">
        <v>115</v>
      </c>
      <c r="AS83" s="229" t="s">
        <v>165</v>
      </c>
      <c r="AT83" s="230" t="s">
        <v>164</v>
      </c>
    </row>
    <row r="84" spans="1:46" x14ac:dyDescent="0.3">
      <c r="X84" s="750"/>
      <c r="Y84" s="756"/>
      <c r="Z84" s="46" t="s">
        <v>84</v>
      </c>
      <c r="AA84" s="175">
        <f t="shared" si="6"/>
        <v>36.410802708377396</v>
      </c>
      <c r="AB84" s="64">
        <f>AJ11</f>
        <v>1</v>
      </c>
      <c r="AC84" s="206">
        <f t="shared" si="7"/>
        <v>0.97253562334208243</v>
      </c>
      <c r="AD84" s="84">
        <f t="shared" si="8"/>
        <v>10.461572739895038</v>
      </c>
      <c r="AE84" s="64">
        <v>9</v>
      </c>
      <c r="AF84" s="216">
        <f t="shared" si="5"/>
        <v>0.13970870118996107</v>
      </c>
      <c r="AG84" s="58">
        <f t="shared" si="15"/>
        <v>17.010399680371588</v>
      </c>
      <c r="AH84" s="50">
        <v>15</v>
      </c>
      <c r="AI84" s="214">
        <f t="shared" si="10"/>
        <v>0.11818650461760763</v>
      </c>
      <c r="AJ84" s="85">
        <f t="shared" si="11"/>
        <v>36.460715124530275</v>
      </c>
      <c r="AK84" s="50">
        <v>43</v>
      </c>
      <c r="AL84" s="218">
        <f t="shared" si="12"/>
        <v>0.17935152541948315</v>
      </c>
      <c r="AM84" s="175">
        <f t="shared" si="13"/>
        <v>54.441989695540371</v>
      </c>
      <c r="AN84" s="64">
        <v>53.6</v>
      </c>
      <c r="AO84" s="215">
        <f t="shared" si="14"/>
        <v>1.546581416750354E-2</v>
      </c>
      <c r="AQ84" s="758" t="s">
        <v>163</v>
      </c>
      <c r="AR84" s="124" t="s">
        <v>19</v>
      </c>
      <c r="AS84" s="64">
        <v>0.1</v>
      </c>
      <c r="AT84" s="207">
        <f>AVERAGE(AC79:AC102)</f>
        <v>0.34604479332312993</v>
      </c>
    </row>
    <row r="85" spans="1:46" x14ac:dyDescent="0.3">
      <c r="R85" s="325"/>
      <c r="S85" s="325"/>
      <c r="T85" s="325"/>
      <c r="U85" s="325"/>
      <c r="X85" s="751" t="s">
        <v>49</v>
      </c>
      <c r="Y85" s="755" t="s">
        <v>48</v>
      </c>
      <c r="Z85" s="43" t="s">
        <v>62</v>
      </c>
      <c r="AA85" s="210">
        <f t="shared" si="6"/>
        <v>36.410802708377396</v>
      </c>
      <c r="AB85" s="42">
        <f>Z21</f>
        <v>37</v>
      </c>
      <c r="AC85" s="211">
        <f t="shared" si="7"/>
        <v>1.618193634294806E-2</v>
      </c>
      <c r="AD85" s="83">
        <f>I$13</f>
        <v>14.824553794095646</v>
      </c>
      <c r="AE85" s="42">
        <v>1</v>
      </c>
      <c r="AF85" s="217">
        <f t="shared" ref="AF85:AF102" si="16">ABS(AE85-AD85)/AD85</f>
        <v>0.93254434407339248</v>
      </c>
      <c r="AG85" s="78">
        <f>I$16</f>
        <v>22.63534605571482</v>
      </c>
      <c r="AH85" s="64">
        <v>6</v>
      </c>
      <c r="AI85" s="206">
        <f t="shared" si="10"/>
        <v>0.73492784315152271</v>
      </c>
      <c r="AJ85" s="84">
        <f t="shared" si="11"/>
        <v>36.460715124530275</v>
      </c>
      <c r="AK85" s="64">
        <v>45</v>
      </c>
      <c r="AL85" s="216">
        <f t="shared" si="12"/>
        <v>0.23420508474131957</v>
      </c>
      <c r="AM85" s="210">
        <f t="shared" si="13"/>
        <v>54.441989695540371</v>
      </c>
      <c r="AN85" s="42">
        <v>54</v>
      </c>
      <c r="AO85" s="207">
        <f t="shared" si="14"/>
        <v>8.1185441239774742E-3</v>
      </c>
      <c r="AQ85" s="759"/>
      <c r="AR85" s="124" t="s">
        <v>46</v>
      </c>
      <c r="AS85" s="64">
        <v>0.1</v>
      </c>
      <c r="AT85" s="207">
        <f>AVERAGE(AF79:AF102)</f>
        <v>0.61789810839373194</v>
      </c>
    </row>
    <row r="86" spans="1:46" x14ac:dyDescent="0.3">
      <c r="R86" s="127"/>
      <c r="S86" s="127"/>
      <c r="T86" s="127"/>
      <c r="U86" s="127"/>
      <c r="X86" s="752"/>
      <c r="Y86" s="756"/>
      <c r="Z86" s="46" t="s">
        <v>63</v>
      </c>
      <c r="AA86" s="175">
        <f t="shared" si="6"/>
        <v>36.410802708377396</v>
      </c>
      <c r="AB86" s="64">
        <f>AB21</f>
        <v>38</v>
      </c>
      <c r="AC86" s="206">
        <f t="shared" si="7"/>
        <v>4.3646313000865578E-2</v>
      </c>
      <c r="AD86" s="84">
        <f t="shared" ref="AD86:AD90" si="17">I$13</f>
        <v>14.824553794095646</v>
      </c>
      <c r="AE86" s="64">
        <v>17</v>
      </c>
      <c r="AF86" s="216">
        <f t="shared" si="16"/>
        <v>0.14674615075232789</v>
      </c>
      <c r="AG86" s="78">
        <f t="shared" ref="AG86:AG87" si="18">I$16</f>
        <v>22.63534605571482</v>
      </c>
      <c r="AH86" s="64">
        <v>7</v>
      </c>
      <c r="AI86" s="206">
        <f t="shared" si="10"/>
        <v>0.6907491503434432</v>
      </c>
      <c r="AJ86" s="84">
        <f t="shared" si="11"/>
        <v>36.460715124530275</v>
      </c>
      <c r="AK86" s="64">
        <v>40</v>
      </c>
      <c r="AL86" s="216">
        <f t="shared" si="12"/>
        <v>9.7071186436728518E-2</v>
      </c>
      <c r="AM86" s="175">
        <f t="shared" si="13"/>
        <v>54.441989695540371</v>
      </c>
      <c r="AN86" s="64">
        <v>53.9</v>
      </c>
      <c r="AO86" s="207">
        <f t="shared" si="14"/>
        <v>9.9553616348590241E-3</v>
      </c>
      <c r="AQ86" s="759"/>
      <c r="AR86" s="124" t="s">
        <v>47</v>
      </c>
      <c r="AS86" s="64">
        <v>0.1</v>
      </c>
      <c r="AT86" s="207">
        <f>AVERAGE(AI79:AI102)</f>
        <v>0.61270313101435459</v>
      </c>
    </row>
    <row r="87" spans="1:46" x14ac:dyDescent="0.3">
      <c r="R87" s="325"/>
      <c r="S87" s="325"/>
      <c r="T87" s="325"/>
      <c r="U87" s="325"/>
      <c r="X87" s="752"/>
      <c r="Y87" s="757"/>
      <c r="Z87" s="51" t="s">
        <v>64</v>
      </c>
      <c r="AA87" s="213">
        <f t="shared" si="6"/>
        <v>36.410802708377396</v>
      </c>
      <c r="AB87" s="50">
        <f>AD21</f>
        <v>17</v>
      </c>
      <c r="AC87" s="214">
        <f t="shared" si="7"/>
        <v>0.53310559681540226</v>
      </c>
      <c r="AD87" s="85">
        <f t="shared" si="17"/>
        <v>14.824553794095646</v>
      </c>
      <c r="AE87" s="50">
        <v>1</v>
      </c>
      <c r="AF87" s="218">
        <f t="shared" si="16"/>
        <v>0.93254434407339248</v>
      </c>
      <c r="AG87" s="78">
        <f t="shared" si="18"/>
        <v>22.63534605571482</v>
      </c>
      <c r="AH87" s="64">
        <v>8</v>
      </c>
      <c r="AI87" s="206">
        <f t="shared" si="10"/>
        <v>0.64657045753536369</v>
      </c>
      <c r="AJ87" s="84">
        <f t="shared" si="11"/>
        <v>36.460715124530275</v>
      </c>
      <c r="AK87" s="64">
        <v>40</v>
      </c>
      <c r="AL87" s="216">
        <f t="shared" si="12"/>
        <v>9.7071186436728518E-2</v>
      </c>
      <c r="AM87" s="213">
        <f t="shared" si="13"/>
        <v>54.441989695540371</v>
      </c>
      <c r="AN87" s="50">
        <v>53.8</v>
      </c>
      <c r="AO87" s="207">
        <f t="shared" si="14"/>
        <v>1.1792179145740572E-2</v>
      </c>
      <c r="AQ87" s="759"/>
      <c r="AR87" s="124" t="s">
        <v>5</v>
      </c>
      <c r="AS87" s="64">
        <v>0.1</v>
      </c>
      <c r="AT87" s="207">
        <f>AVERAGE(AL79:AL102)</f>
        <v>0.22470367231317531</v>
      </c>
    </row>
    <row r="88" spans="1:46" x14ac:dyDescent="0.3">
      <c r="X88" s="752"/>
      <c r="Y88" s="756" t="s">
        <v>49</v>
      </c>
      <c r="Z88" s="46" t="s">
        <v>85</v>
      </c>
      <c r="AA88" s="175">
        <f t="shared" si="6"/>
        <v>36.410802708377396</v>
      </c>
      <c r="AB88" s="64">
        <f>AF21</f>
        <v>17</v>
      </c>
      <c r="AC88" s="206">
        <f t="shared" si="7"/>
        <v>0.53310559681540226</v>
      </c>
      <c r="AD88" s="84">
        <f t="shared" si="17"/>
        <v>14.824553794095646</v>
      </c>
      <c r="AE88" s="64">
        <v>21</v>
      </c>
      <c r="AF88" s="216">
        <f t="shared" si="16"/>
        <v>0.41656877445875795</v>
      </c>
      <c r="AG88" s="57">
        <f>I$17</f>
        <v>17.010399680371588</v>
      </c>
      <c r="AH88" s="42">
        <v>16</v>
      </c>
      <c r="AI88" s="211">
        <f t="shared" si="10"/>
        <v>5.9398938258781467E-2</v>
      </c>
      <c r="AJ88" s="83">
        <f t="shared" si="11"/>
        <v>36.460715124530275</v>
      </c>
      <c r="AK88" s="42">
        <v>43</v>
      </c>
      <c r="AL88" s="217">
        <f t="shared" si="12"/>
        <v>0.17935152541948315</v>
      </c>
      <c r="AM88" s="175">
        <f t="shared" si="13"/>
        <v>54.441989695540371</v>
      </c>
      <c r="AN88" s="64">
        <v>53.6</v>
      </c>
      <c r="AO88" s="212">
        <f t="shared" si="14"/>
        <v>1.546581416750354E-2</v>
      </c>
      <c r="AQ88" s="760"/>
      <c r="AR88" s="124" t="s">
        <v>160</v>
      </c>
      <c r="AS88" s="64">
        <v>5</v>
      </c>
      <c r="AT88" s="207" t="s">
        <v>9</v>
      </c>
    </row>
    <row r="89" spans="1:46" ht="15" thickBot="1" x14ac:dyDescent="0.35">
      <c r="X89" s="752"/>
      <c r="Y89" s="756"/>
      <c r="Z89" s="46" t="s">
        <v>90</v>
      </c>
      <c r="AA89" s="175">
        <f t="shared" si="6"/>
        <v>36.410802708377396</v>
      </c>
      <c r="AB89" s="64">
        <f>AH21</f>
        <v>33</v>
      </c>
      <c r="AC89" s="206">
        <f t="shared" si="7"/>
        <v>9.3675570288722004E-2</v>
      </c>
      <c r="AD89" s="84">
        <f t="shared" si="17"/>
        <v>14.824553794095646</v>
      </c>
      <c r="AE89" s="64">
        <v>21</v>
      </c>
      <c r="AF89" s="216">
        <f t="shared" si="16"/>
        <v>0.41656877445875795</v>
      </c>
      <c r="AG89" s="78">
        <f t="shared" ref="AG89:AG90" si="19">I$17</f>
        <v>17.010399680371588</v>
      </c>
      <c r="AH89" s="64">
        <v>1</v>
      </c>
      <c r="AI89" s="206">
        <f t="shared" si="10"/>
        <v>0.9412124336411738</v>
      </c>
      <c r="AJ89" s="84">
        <f t="shared" si="11"/>
        <v>36.460715124530275</v>
      </c>
      <c r="AK89" s="64">
        <v>42</v>
      </c>
      <c r="AL89" s="216">
        <f t="shared" si="12"/>
        <v>0.15192474575856493</v>
      </c>
      <c r="AM89" s="175">
        <f t="shared" si="13"/>
        <v>54.441989695540371</v>
      </c>
      <c r="AN89" s="64">
        <v>53.7</v>
      </c>
      <c r="AO89" s="207">
        <f t="shared" si="14"/>
        <v>1.3628996656621992E-2</v>
      </c>
      <c r="AQ89" s="125" t="s">
        <v>166</v>
      </c>
      <c r="AR89" s="164" t="s">
        <v>8</v>
      </c>
      <c r="AS89" s="165" t="s">
        <v>9</v>
      </c>
      <c r="AT89" s="227">
        <f>AVERAGE(AO79:AO102)</f>
        <v>1.3705530719575448E-2</v>
      </c>
    </row>
    <row r="90" spans="1:46" x14ac:dyDescent="0.3">
      <c r="X90" s="753"/>
      <c r="Y90" s="756"/>
      <c r="Z90" s="46" t="s">
        <v>95</v>
      </c>
      <c r="AA90" s="175">
        <f t="shared" si="6"/>
        <v>36.410802708377396</v>
      </c>
      <c r="AB90" s="64">
        <f>AJ21</f>
        <v>46</v>
      </c>
      <c r="AC90" s="206">
        <f t="shared" si="7"/>
        <v>0.26336132626420572</v>
      </c>
      <c r="AD90" s="84">
        <f t="shared" si="17"/>
        <v>14.824553794095646</v>
      </c>
      <c r="AE90" s="64">
        <v>1</v>
      </c>
      <c r="AF90" s="216">
        <f t="shared" si="16"/>
        <v>0.93254434407339248</v>
      </c>
      <c r="AG90" s="58">
        <f t="shared" si="19"/>
        <v>17.010399680371588</v>
      </c>
      <c r="AH90" s="50">
        <v>16</v>
      </c>
      <c r="AI90" s="214">
        <f t="shared" si="10"/>
        <v>5.9398938258781467E-2</v>
      </c>
      <c r="AJ90" s="85">
        <f t="shared" si="11"/>
        <v>36.460715124530275</v>
      </c>
      <c r="AK90" s="50">
        <v>31</v>
      </c>
      <c r="AL90" s="218">
        <f t="shared" si="12"/>
        <v>0.14976983051153539</v>
      </c>
      <c r="AM90" s="175">
        <f t="shared" si="13"/>
        <v>54.441989695540371</v>
      </c>
      <c r="AN90" s="64">
        <v>53.8</v>
      </c>
      <c r="AO90" s="215">
        <f t="shared" si="14"/>
        <v>1.1792179145740572E-2</v>
      </c>
    </row>
    <row r="91" spans="1:46" x14ac:dyDescent="0.3">
      <c r="X91" s="748" t="s">
        <v>50</v>
      </c>
      <c r="Y91" s="755" t="s">
        <v>48</v>
      </c>
      <c r="Z91" s="43" t="s">
        <v>65</v>
      </c>
      <c r="AA91" s="210">
        <f t="shared" si="6"/>
        <v>36.410802708377396</v>
      </c>
      <c r="AB91" s="42">
        <f>Z31</f>
        <v>28</v>
      </c>
      <c r="AC91" s="211">
        <f t="shared" si="7"/>
        <v>0.23099745357830959</v>
      </c>
      <c r="AD91" s="83">
        <f>I$14</f>
        <v>17.005499901298993</v>
      </c>
      <c r="AE91" s="42">
        <v>1</v>
      </c>
      <c r="AF91" s="217">
        <f t="shared" si="16"/>
        <v>0.94119549523365598</v>
      </c>
      <c r="AG91" s="78">
        <f>I$16</f>
        <v>22.63534605571482</v>
      </c>
      <c r="AH91" s="64">
        <v>1</v>
      </c>
      <c r="AI91" s="206">
        <f t="shared" si="10"/>
        <v>0.95582130719192049</v>
      </c>
      <c r="AJ91" s="84">
        <f t="shared" si="11"/>
        <v>36.460715124530275</v>
      </c>
      <c r="AK91" s="64">
        <v>47</v>
      </c>
      <c r="AL91" s="216">
        <f t="shared" si="12"/>
        <v>0.28905864406315601</v>
      </c>
      <c r="AM91" s="210">
        <f t="shared" si="13"/>
        <v>54.441989695540371</v>
      </c>
      <c r="AN91" s="42">
        <v>53.5</v>
      </c>
      <c r="AO91" s="207">
        <f t="shared" si="14"/>
        <v>1.730263167838509E-2</v>
      </c>
    </row>
    <row r="92" spans="1:46" x14ac:dyDescent="0.3">
      <c r="X92" s="749"/>
      <c r="Y92" s="756"/>
      <c r="Z92" s="46" t="s">
        <v>66</v>
      </c>
      <c r="AA92" s="175">
        <f t="shared" si="6"/>
        <v>36.410802708377396</v>
      </c>
      <c r="AB92" s="64">
        <f>AB31</f>
        <v>26</v>
      </c>
      <c r="AC92" s="206">
        <f t="shared" si="7"/>
        <v>0.28592620689414461</v>
      </c>
      <c r="AD92" s="84">
        <f t="shared" ref="AD92:AD96" si="20">I$14</f>
        <v>17.005499901298993</v>
      </c>
      <c r="AE92" s="64">
        <v>1</v>
      </c>
      <c r="AF92" s="216">
        <f t="shared" si="16"/>
        <v>0.94119549523365598</v>
      </c>
      <c r="AG92" s="78">
        <f t="shared" ref="AG92:AG93" si="21">I$16</f>
        <v>22.63534605571482</v>
      </c>
      <c r="AH92" s="64">
        <v>9</v>
      </c>
      <c r="AI92" s="206">
        <f t="shared" si="10"/>
        <v>0.60239176472728406</v>
      </c>
      <c r="AJ92" s="84">
        <f t="shared" si="11"/>
        <v>36.460715124530275</v>
      </c>
      <c r="AK92" s="64">
        <v>48</v>
      </c>
      <c r="AL92" s="216">
        <f t="shared" si="12"/>
        <v>0.31648542372407423</v>
      </c>
      <c r="AM92" s="175">
        <f t="shared" si="13"/>
        <v>54.441989695540371</v>
      </c>
      <c r="AN92" s="64">
        <v>53.8</v>
      </c>
      <c r="AO92" s="207">
        <f t="shared" si="14"/>
        <v>1.1792179145740572E-2</v>
      </c>
    </row>
    <row r="93" spans="1:46" x14ac:dyDescent="0.3">
      <c r="X93" s="749"/>
      <c r="Y93" s="757"/>
      <c r="Z93" s="51" t="s">
        <v>67</v>
      </c>
      <c r="AA93" s="213">
        <f t="shared" si="6"/>
        <v>36.410802708377396</v>
      </c>
      <c r="AB93" s="50">
        <f>AD31</f>
        <v>33</v>
      </c>
      <c r="AC93" s="214">
        <f t="shared" si="7"/>
        <v>9.3675570288722004E-2</v>
      </c>
      <c r="AD93" s="85">
        <f t="shared" si="20"/>
        <v>17.005499901298993</v>
      </c>
      <c r="AE93" s="50">
        <v>1</v>
      </c>
      <c r="AF93" s="218">
        <f t="shared" si="16"/>
        <v>0.94119549523365598</v>
      </c>
      <c r="AG93" s="78">
        <f t="shared" si="21"/>
        <v>22.63534605571482</v>
      </c>
      <c r="AH93" s="64">
        <v>10</v>
      </c>
      <c r="AI93" s="206">
        <f t="shared" si="10"/>
        <v>0.55821307191920455</v>
      </c>
      <c r="AJ93" s="84">
        <f t="shared" si="11"/>
        <v>36.460715124530275</v>
      </c>
      <c r="AK93" s="64">
        <v>34</v>
      </c>
      <c r="AL93" s="216">
        <f t="shared" si="12"/>
        <v>6.7489491528780754E-2</v>
      </c>
      <c r="AM93" s="213">
        <f t="shared" si="13"/>
        <v>54.441989695540371</v>
      </c>
      <c r="AN93" s="50">
        <v>53.5</v>
      </c>
      <c r="AO93" s="207">
        <f t="shared" si="14"/>
        <v>1.730263167838509E-2</v>
      </c>
    </row>
    <row r="94" spans="1:46" x14ac:dyDescent="0.3">
      <c r="X94" s="749"/>
      <c r="Y94" s="756" t="s">
        <v>49</v>
      </c>
      <c r="Z94" s="46" t="s">
        <v>86</v>
      </c>
      <c r="AA94" s="175">
        <f t="shared" si="6"/>
        <v>36.410802708377396</v>
      </c>
      <c r="AB94" s="64">
        <f>AF31</f>
        <v>1</v>
      </c>
      <c r="AC94" s="206">
        <f t="shared" si="7"/>
        <v>0.97253562334208243</v>
      </c>
      <c r="AD94" s="84">
        <f t="shared" si="20"/>
        <v>17.005499901298993</v>
      </c>
      <c r="AE94" s="64">
        <v>1</v>
      </c>
      <c r="AF94" s="216">
        <f t="shared" si="16"/>
        <v>0.94119549523365598</v>
      </c>
      <c r="AG94" s="57">
        <f>I$17</f>
        <v>17.010399680371588</v>
      </c>
      <c r="AH94" s="42">
        <v>16</v>
      </c>
      <c r="AI94" s="211">
        <f t="shared" si="10"/>
        <v>5.9398938258781467E-2</v>
      </c>
      <c r="AJ94" s="83">
        <f t="shared" si="11"/>
        <v>36.460715124530275</v>
      </c>
      <c r="AK94" s="42">
        <v>13</v>
      </c>
      <c r="AL94" s="217">
        <f t="shared" si="12"/>
        <v>0.64345186440806323</v>
      </c>
      <c r="AM94" s="175">
        <f t="shared" si="13"/>
        <v>54.441989695540371</v>
      </c>
      <c r="AN94" s="64">
        <v>53.9</v>
      </c>
      <c r="AO94" s="212">
        <f t="shared" si="14"/>
        <v>9.9553616348590241E-3</v>
      </c>
    </row>
    <row r="95" spans="1:46" x14ac:dyDescent="0.3">
      <c r="X95" s="749"/>
      <c r="Y95" s="756"/>
      <c r="Z95" s="46" t="s">
        <v>91</v>
      </c>
      <c r="AA95" s="175">
        <f t="shared" si="6"/>
        <v>36.410802708377396</v>
      </c>
      <c r="AB95" s="64">
        <f>AH31</f>
        <v>17</v>
      </c>
      <c r="AC95" s="206">
        <f t="shared" si="7"/>
        <v>0.53310559681540226</v>
      </c>
      <c r="AD95" s="84">
        <f>I$14</f>
        <v>17.005499901298993</v>
      </c>
      <c r="AE95" s="64">
        <v>11</v>
      </c>
      <c r="AF95" s="216">
        <f t="shared" si="16"/>
        <v>0.35315044757021541</v>
      </c>
      <c r="AG95" s="78">
        <f t="shared" ref="AG95:AG96" si="22">I$17</f>
        <v>17.010399680371588</v>
      </c>
      <c r="AH95" s="64">
        <v>16</v>
      </c>
      <c r="AI95" s="206">
        <f t="shared" si="10"/>
        <v>5.9398938258781467E-2</v>
      </c>
      <c r="AJ95" s="84">
        <f t="shared" si="11"/>
        <v>36.460715124530275</v>
      </c>
      <c r="AK95" s="64">
        <v>38</v>
      </c>
      <c r="AL95" s="216">
        <f t="shared" si="12"/>
        <v>4.221762711489209E-2</v>
      </c>
      <c r="AM95" s="175">
        <f t="shared" si="13"/>
        <v>54.441989695540371</v>
      </c>
      <c r="AN95" s="64">
        <v>53.6</v>
      </c>
      <c r="AO95" s="207">
        <f t="shared" si="14"/>
        <v>1.546581416750354E-2</v>
      </c>
    </row>
    <row r="96" spans="1:46" x14ac:dyDescent="0.3">
      <c r="X96" s="750"/>
      <c r="Y96" s="756"/>
      <c r="Z96" s="46" t="s">
        <v>96</v>
      </c>
      <c r="AA96" s="175">
        <f t="shared" si="6"/>
        <v>36.410802708377396</v>
      </c>
      <c r="AB96" s="64">
        <f>AJ31</f>
        <v>24</v>
      </c>
      <c r="AC96" s="206">
        <f t="shared" si="7"/>
        <v>0.34085496020997963</v>
      </c>
      <c r="AD96" s="84">
        <f t="shared" si="20"/>
        <v>17.005499901298993</v>
      </c>
      <c r="AE96" s="64">
        <v>1</v>
      </c>
      <c r="AF96" s="216">
        <f t="shared" si="16"/>
        <v>0.94119549523365598</v>
      </c>
      <c r="AG96" s="58">
        <f t="shared" si="22"/>
        <v>17.010399680371588</v>
      </c>
      <c r="AH96" s="50">
        <v>1</v>
      </c>
      <c r="AI96" s="214">
        <f t="shared" si="10"/>
        <v>0.9412124336411738</v>
      </c>
      <c r="AJ96" s="85">
        <f t="shared" si="11"/>
        <v>36.460715124530275</v>
      </c>
      <c r="AK96" s="50">
        <v>43</v>
      </c>
      <c r="AL96" s="218">
        <f t="shared" si="12"/>
        <v>0.17935152541948315</v>
      </c>
      <c r="AM96" s="175">
        <f t="shared" si="13"/>
        <v>54.441989695540371</v>
      </c>
      <c r="AN96" s="64">
        <v>54.4</v>
      </c>
      <c r="AO96" s="215">
        <f t="shared" si="14"/>
        <v>7.7127408045140754E-4</v>
      </c>
    </row>
    <row r="97" spans="23:44" x14ac:dyDescent="0.3">
      <c r="X97" s="748" t="s">
        <v>51</v>
      </c>
      <c r="Y97" s="755" t="s">
        <v>48</v>
      </c>
      <c r="Z97" s="43" t="s">
        <v>68</v>
      </c>
      <c r="AA97" s="210">
        <f t="shared" si="6"/>
        <v>36.410802708377396</v>
      </c>
      <c r="AB97" s="42">
        <f>Z41</f>
        <v>33</v>
      </c>
      <c r="AC97" s="211">
        <f t="shared" si="7"/>
        <v>9.3675570288722004E-2</v>
      </c>
      <c r="AD97" s="83">
        <f>I$15</f>
        <v>15.472413471472574</v>
      </c>
      <c r="AE97" s="42">
        <v>1</v>
      </c>
      <c r="AF97" s="217">
        <f t="shared" si="16"/>
        <v>0.93536884198164938</v>
      </c>
      <c r="AG97" s="78">
        <f>I$16</f>
        <v>22.63534605571482</v>
      </c>
      <c r="AH97" s="64">
        <v>11</v>
      </c>
      <c r="AI97" s="206">
        <f t="shared" si="10"/>
        <v>0.51403437911112504</v>
      </c>
      <c r="AJ97" s="84">
        <f t="shared" si="11"/>
        <v>36.460715124530275</v>
      </c>
      <c r="AK97" s="64">
        <v>12</v>
      </c>
      <c r="AL97" s="216">
        <f t="shared" si="12"/>
        <v>0.67087864406898146</v>
      </c>
      <c r="AM97" s="210">
        <f t="shared" si="13"/>
        <v>54.441989695540371</v>
      </c>
      <c r="AN97" s="42">
        <v>53.5</v>
      </c>
      <c r="AO97" s="207">
        <f t="shared" si="14"/>
        <v>1.730263167838509E-2</v>
      </c>
    </row>
    <row r="98" spans="23:44" x14ac:dyDescent="0.3">
      <c r="X98" s="749"/>
      <c r="Y98" s="756"/>
      <c r="Z98" s="46" t="s">
        <v>69</v>
      </c>
      <c r="AA98" s="175">
        <f t="shared" si="6"/>
        <v>36.410802708377396</v>
      </c>
      <c r="AB98" s="64">
        <f>AB41</f>
        <v>33</v>
      </c>
      <c r="AC98" s="206">
        <f t="shared" si="7"/>
        <v>9.3675570288722004E-2</v>
      </c>
      <c r="AD98" s="84">
        <f t="shared" ref="AD98:AD102" si="23">I$15</f>
        <v>15.472413471472574</v>
      </c>
      <c r="AE98" s="64">
        <v>8</v>
      </c>
      <c r="AF98" s="216">
        <f t="shared" si="16"/>
        <v>0.48295073585319548</v>
      </c>
      <c r="AG98" s="78">
        <f t="shared" ref="AG98:AG99" si="24">I$16</f>
        <v>22.63534605571482</v>
      </c>
      <c r="AH98" s="64">
        <v>8</v>
      </c>
      <c r="AI98" s="206">
        <f t="shared" si="10"/>
        <v>0.64657045753536369</v>
      </c>
      <c r="AJ98" s="84">
        <f t="shared" si="11"/>
        <v>36.460715124530275</v>
      </c>
      <c r="AK98" s="64">
        <v>40</v>
      </c>
      <c r="AL98" s="216">
        <f t="shared" si="12"/>
        <v>9.7071186436728518E-2</v>
      </c>
      <c r="AM98" s="175">
        <f t="shared" si="13"/>
        <v>54.441989695540371</v>
      </c>
      <c r="AN98" s="64">
        <v>53.5</v>
      </c>
      <c r="AO98" s="207">
        <f t="shared" si="14"/>
        <v>1.730263167838509E-2</v>
      </c>
    </row>
    <row r="99" spans="23:44" x14ac:dyDescent="0.3">
      <c r="X99" s="749"/>
      <c r="Y99" s="757"/>
      <c r="Z99" s="51" t="s">
        <v>70</v>
      </c>
      <c r="AA99" s="213">
        <f t="shared" si="6"/>
        <v>36.410802708377396</v>
      </c>
      <c r="AB99" s="50">
        <f>AD41</f>
        <v>17</v>
      </c>
      <c r="AC99" s="214">
        <f t="shared" si="7"/>
        <v>0.53310559681540226</v>
      </c>
      <c r="AD99" s="85">
        <f t="shared" si="23"/>
        <v>15.472413471472574</v>
      </c>
      <c r="AE99" s="50">
        <v>8</v>
      </c>
      <c r="AF99" s="218">
        <f t="shared" si="16"/>
        <v>0.48295073585319548</v>
      </c>
      <c r="AG99" s="78">
        <f t="shared" si="24"/>
        <v>22.63534605571482</v>
      </c>
      <c r="AH99" s="64">
        <v>5</v>
      </c>
      <c r="AI99" s="206">
        <f t="shared" si="10"/>
        <v>0.77910653595960222</v>
      </c>
      <c r="AJ99" s="84">
        <f t="shared" si="11"/>
        <v>36.460715124530275</v>
      </c>
      <c r="AK99" s="64">
        <v>42</v>
      </c>
      <c r="AL99" s="216">
        <f t="shared" si="12"/>
        <v>0.15192474575856493</v>
      </c>
      <c r="AM99" s="213">
        <f t="shared" si="13"/>
        <v>54.441989695540371</v>
      </c>
      <c r="AN99" s="50">
        <v>53.8</v>
      </c>
      <c r="AO99" s="207">
        <f t="shared" si="14"/>
        <v>1.1792179145740572E-2</v>
      </c>
    </row>
    <row r="100" spans="23:44" x14ac:dyDescent="0.3">
      <c r="X100" s="749"/>
      <c r="Y100" s="755" t="s">
        <v>49</v>
      </c>
      <c r="Z100" s="43" t="s">
        <v>87</v>
      </c>
      <c r="AA100" s="210">
        <f t="shared" si="6"/>
        <v>36.410802708377396</v>
      </c>
      <c r="AB100" s="42">
        <f>AF41</f>
        <v>11</v>
      </c>
      <c r="AC100" s="211">
        <f t="shared" si="7"/>
        <v>0.69789185676290733</v>
      </c>
      <c r="AD100" s="83">
        <f t="shared" si="23"/>
        <v>15.472413471472574</v>
      </c>
      <c r="AE100" s="42">
        <v>9</v>
      </c>
      <c r="AF100" s="217">
        <f t="shared" si="16"/>
        <v>0.41831957783484491</v>
      </c>
      <c r="AG100" s="57">
        <f>I$17</f>
        <v>17.010399680371588</v>
      </c>
      <c r="AH100" s="42">
        <v>1</v>
      </c>
      <c r="AI100" s="211">
        <f t="shared" si="10"/>
        <v>0.9412124336411738</v>
      </c>
      <c r="AJ100" s="83">
        <f t="shared" si="11"/>
        <v>36.460715124530275</v>
      </c>
      <c r="AK100" s="42">
        <v>49</v>
      </c>
      <c r="AL100" s="217">
        <f t="shared" si="12"/>
        <v>0.34391220338499245</v>
      </c>
      <c r="AM100" s="175">
        <f t="shared" si="13"/>
        <v>54.441989695540371</v>
      </c>
      <c r="AN100" s="64">
        <v>53.8</v>
      </c>
      <c r="AO100" s="212">
        <f t="shared" si="14"/>
        <v>1.1792179145740572E-2</v>
      </c>
    </row>
    <row r="101" spans="23:44" x14ac:dyDescent="0.3">
      <c r="X101" s="749"/>
      <c r="Y101" s="756"/>
      <c r="Z101" s="46" t="s">
        <v>92</v>
      </c>
      <c r="AA101" s="175">
        <f t="shared" si="6"/>
        <v>36.410802708377396</v>
      </c>
      <c r="AB101" s="64">
        <f>AH41</f>
        <v>29</v>
      </c>
      <c r="AC101" s="206">
        <f t="shared" si="7"/>
        <v>0.20353307692039208</v>
      </c>
      <c r="AD101" s="84">
        <f>I$15</f>
        <v>15.472413471472574</v>
      </c>
      <c r="AE101" s="64">
        <v>8</v>
      </c>
      <c r="AF101" s="216">
        <f t="shared" si="16"/>
        <v>0.48295073585319548</v>
      </c>
      <c r="AG101" s="78">
        <f t="shared" ref="AG101:AG102" si="25">I$17</f>
        <v>17.010399680371588</v>
      </c>
      <c r="AH101" s="64">
        <v>16</v>
      </c>
      <c r="AI101" s="206">
        <f t="shared" si="10"/>
        <v>5.9398938258781467E-2</v>
      </c>
      <c r="AJ101" s="84">
        <f t="shared" si="11"/>
        <v>36.460715124530275</v>
      </c>
      <c r="AK101" s="64">
        <v>44</v>
      </c>
      <c r="AL101" s="216">
        <f t="shared" si="12"/>
        <v>0.20677830508040138</v>
      </c>
      <c r="AM101" s="175">
        <f t="shared" si="13"/>
        <v>54.441989695540371</v>
      </c>
      <c r="AN101" s="64">
        <v>53.5</v>
      </c>
      <c r="AO101" s="207">
        <f t="shared" si="14"/>
        <v>1.730263167838509E-2</v>
      </c>
    </row>
    <row r="102" spans="23:44" ht="15" thickBot="1" x14ac:dyDescent="0.35">
      <c r="X102" s="754"/>
      <c r="Y102" s="761"/>
      <c r="Z102" s="55" t="s">
        <v>97</v>
      </c>
      <c r="AA102" s="178">
        <f t="shared" si="6"/>
        <v>36.410802708377396</v>
      </c>
      <c r="AB102" s="54">
        <f>AJ41</f>
        <v>34</v>
      </c>
      <c r="AC102" s="208">
        <f t="shared" si="7"/>
        <v>6.621119363080448E-2</v>
      </c>
      <c r="AD102" s="86">
        <f t="shared" si="23"/>
        <v>15.472413471472574</v>
      </c>
      <c r="AE102" s="54">
        <v>9</v>
      </c>
      <c r="AF102" s="219">
        <f t="shared" si="16"/>
        <v>0.41831957783484491</v>
      </c>
      <c r="AG102" s="59">
        <f t="shared" si="25"/>
        <v>17.010399680371588</v>
      </c>
      <c r="AH102" s="54">
        <v>1</v>
      </c>
      <c r="AI102" s="208">
        <f t="shared" si="10"/>
        <v>0.9412124336411738</v>
      </c>
      <c r="AJ102" s="86">
        <f t="shared" si="11"/>
        <v>36.460715124530275</v>
      </c>
      <c r="AK102" s="54">
        <v>43</v>
      </c>
      <c r="AL102" s="219">
        <f t="shared" si="12"/>
        <v>0.17935152541948315</v>
      </c>
      <c r="AM102" s="178">
        <f t="shared" si="13"/>
        <v>54.441989695540371</v>
      </c>
      <c r="AN102" s="54">
        <v>53.8</v>
      </c>
      <c r="AO102" s="209">
        <f t="shared" si="14"/>
        <v>1.1792179145740572E-2</v>
      </c>
    </row>
    <row r="103" spans="23:44" x14ac:dyDescent="0.3">
      <c r="W103" s="6"/>
      <c r="X103" s="6"/>
      <c r="Y103" s="26"/>
      <c r="Z103" s="26"/>
      <c r="AA103" s="38"/>
      <c r="AB103" s="26"/>
      <c r="AC103" s="423"/>
      <c r="AD103" s="38"/>
      <c r="AE103" s="26"/>
      <c r="AF103" s="423"/>
      <c r="AG103" s="38"/>
      <c r="AH103" s="26"/>
      <c r="AI103" s="423"/>
      <c r="AJ103" s="38"/>
      <c r="AK103" s="26"/>
      <c r="AL103" s="423"/>
      <c r="AM103" s="26"/>
      <c r="AN103" s="26"/>
      <c r="AO103" s="423"/>
      <c r="AP103" s="38"/>
      <c r="AQ103" s="26"/>
      <c r="AR103" s="423"/>
    </row>
    <row r="104" spans="23:44" x14ac:dyDescent="0.3">
      <c r="W104" s="6"/>
      <c r="X104" s="6"/>
      <c r="Y104" s="26"/>
      <c r="Z104" s="26"/>
      <c r="AA104" s="38"/>
      <c r="AB104" s="26"/>
      <c r="AC104" s="423"/>
      <c r="AD104" s="38"/>
      <c r="AE104" s="26"/>
      <c r="AF104" s="423"/>
      <c r="AG104" s="38"/>
      <c r="AH104" s="26"/>
      <c r="AI104" s="423"/>
      <c r="AJ104" s="38"/>
      <c r="AK104" s="26"/>
      <c r="AL104" s="423"/>
      <c r="AM104" s="26"/>
      <c r="AN104" s="26"/>
      <c r="AO104" s="423"/>
      <c r="AP104" s="38"/>
      <c r="AQ104" s="26"/>
      <c r="AR104" s="423"/>
    </row>
    <row r="105" spans="23:44" x14ac:dyDescent="0.3">
      <c r="W105" s="6"/>
      <c r="X105" s="6"/>
      <c r="Y105" s="26"/>
      <c r="Z105" s="26"/>
      <c r="AA105" s="38"/>
      <c r="AB105" s="26"/>
      <c r="AC105" s="423"/>
      <c r="AD105" s="38"/>
      <c r="AE105" s="26"/>
      <c r="AF105" s="423"/>
      <c r="AG105" s="38"/>
      <c r="AH105" s="26"/>
      <c r="AI105" s="423"/>
      <c r="AJ105" s="38"/>
      <c r="AK105" s="26"/>
      <c r="AL105" s="423"/>
      <c r="AM105" s="26"/>
      <c r="AN105" s="26"/>
      <c r="AO105" s="423"/>
      <c r="AP105" s="38"/>
      <c r="AQ105" s="26"/>
      <c r="AR105" s="423"/>
    </row>
    <row r="106" spans="23:44" x14ac:dyDescent="0.3">
      <c r="W106" s="6"/>
      <c r="X106" s="6"/>
      <c r="AC106" s="423"/>
      <c r="AD106" s="38"/>
      <c r="AE106" s="26"/>
      <c r="AF106" s="423"/>
      <c r="AG106" s="38"/>
      <c r="AH106" s="26"/>
      <c r="AI106" s="423"/>
      <c r="AJ106" s="38"/>
      <c r="AK106" s="26"/>
      <c r="AL106" s="423"/>
      <c r="AM106" s="26"/>
      <c r="AN106" s="26"/>
      <c r="AO106" s="423"/>
      <c r="AP106" s="38"/>
      <c r="AQ106" s="26"/>
      <c r="AR106" s="423"/>
    </row>
    <row r="107" spans="23:44" x14ac:dyDescent="0.3">
      <c r="W107" s="6"/>
      <c r="X107" s="6"/>
      <c r="AC107" s="423"/>
      <c r="AD107" s="38"/>
      <c r="AE107" s="26"/>
      <c r="AF107" s="423"/>
      <c r="AG107" s="38"/>
      <c r="AH107" s="26"/>
      <c r="AI107" s="423"/>
      <c r="AJ107" s="38"/>
      <c r="AK107" s="26"/>
      <c r="AL107" s="423"/>
      <c r="AM107" s="26"/>
      <c r="AN107" s="26"/>
      <c r="AO107" s="423"/>
      <c r="AP107" s="38"/>
      <c r="AQ107" s="26"/>
      <c r="AR107" s="423"/>
    </row>
    <row r="108" spans="23:44" x14ac:dyDescent="0.3">
      <c r="W108" s="6"/>
      <c r="X108" s="6"/>
      <c r="AC108" s="423"/>
      <c r="AD108" s="38"/>
      <c r="AE108" s="26"/>
      <c r="AF108" s="423"/>
      <c r="AG108" s="38"/>
      <c r="AH108" s="26"/>
      <c r="AI108" s="423"/>
      <c r="AJ108" s="38"/>
      <c r="AK108" s="26"/>
      <c r="AL108" s="423"/>
      <c r="AM108" s="26"/>
      <c r="AN108" s="26"/>
      <c r="AO108" s="423"/>
      <c r="AP108" s="38"/>
      <c r="AQ108" s="26"/>
      <c r="AR108" s="423"/>
    </row>
    <row r="109" spans="23:44" x14ac:dyDescent="0.3">
      <c r="W109" s="6"/>
      <c r="X109" s="6"/>
      <c r="AC109" s="423"/>
      <c r="AD109" s="38"/>
      <c r="AE109" s="26"/>
      <c r="AF109" s="423"/>
      <c r="AG109" s="38"/>
      <c r="AH109" s="26"/>
      <c r="AI109" s="423"/>
      <c r="AJ109" s="38"/>
      <c r="AK109" s="26"/>
      <c r="AL109" s="423"/>
      <c r="AM109" s="26"/>
      <c r="AN109" s="26"/>
      <c r="AO109" s="423"/>
      <c r="AP109" s="38"/>
      <c r="AQ109" s="26"/>
      <c r="AR109" s="423"/>
    </row>
    <row r="110" spans="23:44" x14ac:dyDescent="0.3">
      <c r="W110" s="6"/>
      <c r="X110" s="6"/>
      <c r="AC110" s="423"/>
      <c r="AD110" s="38"/>
      <c r="AE110" s="26"/>
      <c r="AF110" s="423"/>
      <c r="AG110" s="38"/>
      <c r="AH110" s="26"/>
      <c r="AI110" s="423"/>
      <c r="AJ110" s="38"/>
      <c r="AK110" s="26"/>
      <c r="AL110" s="423"/>
      <c r="AM110" s="26"/>
      <c r="AN110" s="26"/>
      <c r="AO110" s="423"/>
      <c r="AP110" s="38"/>
      <c r="AQ110" s="26"/>
      <c r="AR110" s="423"/>
    </row>
    <row r="111" spans="23:44" x14ac:dyDescent="0.3">
      <c r="W111" s="6"/>
      <c r="X111" s="6"/>
      <c r="AC111" s="423"/>
      <c r="AD111" s="38"/>
      <c r="AE111" s="26"/>
      <c r="AF111" s="423"/>
      <c r="AG111" s="38"/>
      <c r="AH111" s="26"/>
      <c r="AI111" s="423"/>
      <c r="AJ111" s="38"/>
      <c r="AK111" s="26"/>
      <c r="AL111" s="423"/>
      <c r="AM111" s="26"/>
      <c r="AN111" s="26"/>
      <c r="AO111" s="423"/>
      <c r="AP111" s="38"/>
      <c r="AQ111" s="26"/>
      <c r="AR111" s="423"/>
    </row>
    <row r="112" spans="23:44" x14ac:dyDescent="0.3">
      <c r="W112" s="6"/>
      <c r="X112" s="6"/>
      <c r="AC112" s="423"/>
      <c r="AD112" s="38"/>
      <c r="AE112" s="26"/>
      <c r="AF112" s="423"/>
      <c r="AG112" s="38"/>
      <c r="AH112" s="26"/>
      <c r="AI112" s="423"/>
      <c r="AJ112" s="38"/>
      <c r="AK112" s="26"/>
      <c r="AL112" s="423"/>
      <c r="AM112" s="26"/>
      <c r="AN112" s="26"/>
      <c r="AO112" s="423"/>
      <c r="AP112" s="38"/>
      <c r="AQ112" s="26"/>
      <c r="AR112" s="423"/>
    </row>
    <row r="113" spans="23:44" x14ac:dyDescent="0.3">
      <c r="W113" s="6"/>
      <c r="X113" s="6"/>
      <c r="AC113" s="423"/>
      <c r="AD113" s="38"/>
      <c r="AE113" s="26"/>
      <c r="AF113" s="423"/>
      <c r="AG113" s="38"/>
      <c r="AH113" s="26"/>
      <c r="AI113" s="423"/>
      <c r="AJ113" s="38"/>
      <c r="AK113" s="26"/>
      <c r="AL113" s="423"/>
      <c r="AM113" s="26"/>
      <c r="AN113" s="26"/>
      <c r="AO113" s="423"/>
      <c r="AP113" s="38"/>
      <c r="AQ113" s="26"/>
      <c r="AR113" s="423"/>
    </row>
    <row r="114" spans="23:44" x14ac:dyDescent="0.3">
      <c r="W114" s="6"/>
      <c r="X114" s="6"/>
      <c r="Y114" s="26"/>
      <c r="Z114" s="26"/>
      <c r="AA114" s="38"/>
      <c r="AB114" s="26"/>
      <c r="AC114" s="423"/>
      <c r="AD114" s="38"/>
      <c r="AE114" s="26"/>
      <c r="AF114" s="423"/>
      <c r="AG114" s="38"/>
      <c r="AH114" s="26"/>
      <c r="AI114" s="423"/>
      <c r="AJ114" s="38"/>
      <c r="AK114" s="26"/>
      <c r="AL114" s="423"/>
      <c r="AM114" s="26"/>
      <c r="AN114" s="26"/>
      <c r="AO114" s="423"/>
      <c r="AP114" s="38"/>
      <c r="AQ114" s="26"/>
      <c r="AR114" s="423"/>
    </row>
    <row r="115" spans="23:44" x14ac:dyDescent="0.3">
      <c r="W115" s="6"/>
      <c r="X115" s="6"/>
      <c r="Y115" s="26"/>
      <c r="Z115" s="26"/>
      <c r="AA115" s="38"/>
      <c r="AB115" s="26"/>
      <c r="AC115" s="423"/>
      <c r="AD115" s="38"/>
      <c r="AE115" s="26"/>
      <c r="AF115" s="423"/>
      <c r="AG115" s="38"/>
      <c r="AH115" s="26"/>
      <c r="AI115" s="423"/>
      <c r="AJ115" s="38"/>
      <c r="AK115" s="26"/>
      <c r="AL115" s="423"/>
      <c r="AM115" s="26"/>
      <c r="AN115" s="26"/>
      <c r="AO115" s="423"/>
      <c r="AP115" s="38"/>
      <c r="AQ115" s="26"/>
      <c r="AR115" s="423"/>
    </row>
    <row r="116" spans="23:44" x14ac:dyDescent="0.3">
      <c r="W116" s="6"/>
      <c r="X116" s="6"/>
      <c r="Y116" s="26"/>
      <c r="Z116" s="26"/>
      <c r="AA116" s="38"/>
      <c r="AB116" s="26"/>
      <c r="AC116" s="423"/>
      <c r="AD116" s="38"/>
      <c r="AE116" s="26"/>
      <c r="AF116" s="423"/>
      <c r="AG116" s="38"/>
      <c r="AH116" s="26"/>
      <c r="AI116" s="423"/>
      <c r="AJ116" s="38"/>
      <c r="AK116" s="26"/>
      <c r="AL116" s="423"/>
      <c r="AM116" s="26"/>
      <c r="AN116" s="26"/>
      <c r="AO116" s="423"/>
      <c r="AP116" s="38"/>
      <c r="AQ116" s="26"/>
      <c r="AR116" s="423"/>
    </row>
    <row r="117" spans="23:44" x14ac:dyDescent="0.3">
      <c r="W117" s="6"/>
      <c r="X117" s="6"/>
      <c r="Y117" s="26"/>
      <c r="Z117" s="26"/>
      <c r="AA117" s="38"/>
      <c r="AB117" s="26"/>
      <c r="AC117" s="423"/>
      <c r="AD117" s="38"/>
      <c r="AE117" s="26"/>
      <c r="AF117" s="423"/>
      <c r="AG117" s="38"/>
      <c r="AH117" s="26"/>
      <c r="AI117" s="423"/>
      <c r="AJ117" s="38"/>
      <c r="AK117" s="26"/>
      <c r="AL117" s="423"/>
      <c r="AM117" s="26"/>
      <c r="AN117" s="26"/>
      <c r="AO117" s="423"/>
      <c r="AP117" s="38"/>
      <c r="AQ117" s="26"/>
      <c r="AR117" s="423"/>
    </row>
    <row r="118" spans="23:44" x14ac:dyDescent="0.3">
      <c r="W118" s="6"/>
      <c r="X118" s="6"/>
      <c r="Y118" s="26"/>
      <c r="Z118" s="26"/>
      <c r="AA118" s="38"/>
      <c r="AB118" s="26"/>
      <c r="AC118" s="423"/>
      <c r="AD118" s="38"/>
      <c r="AE118" s="26"/>
      <c r="AF118" s="423"/>
      <c r="AG118" s="38"/>
      <c r="AH118" s="26"/>
      <c r="AI118" s="423"/>
      <c r="AJ118" s="38"/>
      <c r="AK118" s="26"/>
      <c r="AL118" s="423"/>
      <c r="AM118" s="26"/>
      <c r="AN118" s="26"/>
      <c r="AO118" s="423"/>
      <c r="AP118" s="38"/>
      <c r="AQ118" s="26"/>
      <c r="AR118" s="423"/>
    </row>
    <row r="119" spans="23:44" x14ac:dyDescent="0.3">
      <c r="W119" s="6"/>
      <c r="X119" s="6"/>
      <c r="Y119" s="26"/>
      <c r="Z119" s="26"/>
      <c r="AA119" s="38"/>
      <c r="AB119" s="26"/>
      <c r="AC119" s="423"/>
      <c r="AD119" s="38"/>
      <c r="AE119" s="26"/>
      <c r="AF119" s="423"/>
      <c r="AG119" s="38"/>
      <c r="AH119" s="26"/>
      <c r="AI119" s="423"/>
      <c r="AJ119" s="38"/>
      <c r="AK119" s="26"/>
      <c r="AL119" s="423"/>
      <c r="AM119" s="26"/>
      <c r="AN119" s="26"/>
      <c r="AO119" s="423"/>
      <c r="AP119" s="38"/>
      <c r="AQ119" s="26"/>
      <c r="AR119" s="423"/>
    </row>
    <row r="120" spans="23:44" x14ac:dyDescent="0.3">
      <c r="W120" s="6"/>
      <c r="X120" s="6"/>
      <c r="Y120" s="26"/>
      <c r="Z120" s="26"/>
      <c r="AA120" s="38"/>
      <c r="AB120" s="26"/>
      <c r="AC120" s="423"/>
      <c r="AD120" s="38"/>
      <c r="AE120" s="26"/>
      <c r="AF120" s="423"/>
      <c r="AG120" s="38"/>
      <c r="AH120" s="26"/>
      <c r="AI120" s="423"/>
      <c r="AJ120" s="38"/>
      <c r="AK120" s="26"/>
      <c r="AL120" s="423"/>
      <c r="AM120" s="26"/>
      <c r="AN120" s="26"/>
      <c r="AO120" s="423"/>
      <c r="AP120" s="38"/>
      <c r="AQ120" s="26"/>
      <c r="AR120" s="423"/>
    </row>
    <row r="121" spans="23:44" x14ac:dyDescent="0.3">
      <c r="W121" s="6"/>
      <c r="X121" s="6"/>
      <c r="Y121" s="26"/>
      <c r="Z121" s="26"/>
      <c r="AA121" s="38"/>
      <c r="AB121" s="26"/>
      <c r="AC121" s="423"/>
      <c r="AD121" s="38"/>
      <c r="AE121" s="26"/>
      <c r="AF121" s="423"/>
      <c r="AG121" s="38"/>
      <c r="AH121" s="26"/>
      <c r="AI121" s="423"/>
      <c r="AJ121" s="38"/>
      <c r="AK121" s="26"/>
      <c r="AL121" s="423"/>
      <c r="AM121" s="26"/>
      <c r="AN121" s="26"/>
      <c r="AO121" s="423"/>
      <c r="AP121" s="38"/>
      <c r="AQ121" s="26"/>
      <c r="AR121" s="423"/>
    </row>
    <row r="122" spans="23:44" x14ac:dyDescent="0.3">
      <c r="W122" s="6"/>
      <c r="X122" s="6"/>
      <c r="Y122" s="26"/>
      <c r="Z122" s="26"/>
      <c r="AA122" s="38"/>
      <c r="AB122" s="26"/>
      <c r="AC122" s="423"/>
      <c r="AD122" s="38"/>
      <c r="AE122" s="26"/>
      <c r="AF122" s="423"/>
      <c r="AG122" s="38"/>
      <c r="AH122" s="26"/>
      <c r="AI122" s="423"/>
      <c r="AJ122" s="38"/>
      <c r="AK122" s="26"/>
      <c r="AL122" s="423"/>
      <c r="AM122" s="26"/>
      <c r="AN122" s="26"/>
      <c r="AO122" s="423"/>
      <c r="AP122" s="38"/>
      <c r="AQ122" s="26"/>
      <c r="AR122" s="423"/>
    </row>
    <row r="123" spans="23:44" x14ac:dyDescent="0.3">
      <c r="W123" s="6"/>
      <c r="X123" s="6"/>
      <c r="Y123" s="26"/>
      <c r="Z123" s="26"/>
      <c r="AA123" s="38"/>
      <c r="AB123" s="26"/>
      <c r="AC123" s="423"/>
      <c r="AD123" s="38"/>
      <c r="AE123" s="26"/>
      <c r="AF123" s="423"/>
      <c r="AG123" s="38"/>
      <c r="AH123" s="26"/>
      <c r="AI123" s="423"/>
      <c r="AJ123" s="38"/>
      <c r="AK123" s="26"/>
      <c r="AL123" s="423"/>
      <c r="AM123" s="26"/>
      <c r="AN123" s="26"/>
      <c r="AO123" s="423"/>
      <c r="AP123" s="38"/>
      <c r="AQ123" s="26"/>
      <c r="AR123" s="423"/>
    </row>
    <row r="124" spans="23:44" x14ac:dyDescent="0.3">
      <c r="W124" s="6"/>
      <c r="X124" s="6"/>
      <c r="Y124" s="26"/>
      <c r="Z124" s="26"/>
      <c r="AA124" s="38"/>
      <c r="AB124" s="26"/>
      <c r="AC124" s="423"/>
      <c r="AD124" s="38"/>
      <c r="AE124" s="26"/>
      <c r="AF124" s="423"/>
      <c r="AG124" s="38"/>
      <c r="AH124" s="26"/>
      <c r="AI124" s="423"/>
      <c r="AJ124" s="38"/>
      <c r="AK124" s="26"/>
      <c r="AL124" s="423"/>
      <c r="AM124" s="26"/>
      <c r="AN124" s="26"/>
      <c r="AO124" s="423"/>
      <c r="AP124" s="38"/>
      <c r="AQ124" s="26"/>
      <c r="AR124" s="423"/>
    </row>
    <row r="125" spans="23:44" x14ac:dyDescent="0.3">
      <c r="W125" s="6"/>
      <c r="X125" s="6"/>
      <c r="Y125" s="26"/>
      <c r="Z125" s="26"/>
      <c r="AA125" s="38"/>
      <c r="AB125" s="26"/>
      <c r="AC125" s="423"/>
      <c r="AD125" s="38"/>
      <c r="AE125" s="26"/>
      <c r="AF125" s="423"/>
      <c r="AG125" s="38"/>
      <c r="AH125" s="26"/>
      <c r="AI125" s="423"/>
      <c r="AJ125" s="38"/>
      <c r="AK125" s="26"/>
      <c r="AL125" s="423"/>
      <c r="AM125" s="26"/>
      <c r="AN125" s="26"/>
      <c r="AO125" s="423"/>
      <c r="AP125" s="38"/>
      <c r="AQ125" s="26"/>
      <c r="AR125" s="423"/>
    </row>
    <row r="126" spans="23:44" x14ac:dyDescent="0.3">
      <c r="W126" s="6"/>
      <c r="X126" s="6"/>
      <c r="Y126" s="26"/>
      <c r="Z126" s="26"/>
      <c r="AA126" s="38"/>
      <c r="AB126" s="26"/>
      <c r="AC126" s="423"/>
      <c r="AD126" s="38"/>
      <c r="AE126" s="26"/>
      <c r="AF126" s="423"/>
      <c r="AG126" s="38"/>
      <c r="AH126" s="26"/>
      <c r="AI126" s="423"/>
      <c r="AJ126" s="38"/>
      <c r="AK126" s="26"/>
      <c r="AL126" s="423"/>
      <c r="AM126" s="26"/>
      <c r="AN126" s="26"/>
      <c r="AO126" s="423"/>
      <c r="AP126" s="38"/>
      <c r="AQ126" s="26"/>
      <c r="AR126" s="423"/>
    </row>
  </sheetData>
  <mergeCells count="45">
    <mergeCell ref="AI9:AJ9"/>
    <mergeCell ref="M11:M16"/>
    <mergeCell ref="W11:W20"/>
    <mergeCell ref="AP11:AP12"/>
    <mergeCell ref="AP13:AP14"/>
    <mergeCell ref="AP15:AP16"/>
    <mergeCell ref="AL16:AM16"/>
    <mergeCell ref="M17:M22"/>
    <mergeCell ref="AL17:AM29"/>
    <mergeCell ref="AP17:AP18"/>
    <mergeCell ref="W9:X10"/>
    <mergeCell ref="Y9:Z9"/>
    <mergeCell ref="AA9:AB9"/>
    <mergeCell ref="AC9:AD9"/>
    <mergeCell ref="AE9:AF9"/>
    <mergeCell ref="AG9:AH9"/>
    <mergeCell ref="W21:W30"/>
    <mergeCell ref="M23:M28"/>
    <mergeCell ref="M29:M34"/>
    <mergeCell ref="W31:W40"/>
    <mergeCell ref="AL34:AM37"/>
    <mergeCell ref="M35:M40"/>
    <mergeCell ref="M41:M46"/>
    <mergeCell ref="W41:W50"/>
    <mergeCell ref="AM76:AO76"/>
    <mergeCell ref="AA77:AC77"/>
    <mergeCell ref="AD77:AF77"/>
    <mergeCell ref="AG77:AI77"/>
    <mergeCell ref="AJ77:AL77"/>
    <mergeCell ref="AM77:AO77"/>
    <mergeCell ref="AA76:AL76"/>
    <mergeCell ref="AR82:AT82"/>
    <mergeCell ref="X79:X84"/>
    <mergeCell ref="X85:X90"/>
    <mergeCell ref="X91:X96"/>
    <mergeCell ref="X97:X102"/>
    <mergeCell ref="Y79:Y81"/>
    <mergeCell ref="AQ84:AQ88"/>
    <mergeCell ref="Y82:Y84"/>
    <mergeCell ref="Y85:Y87"/>
    <mergeCell ref="Y88:Y90"/>
    <mergeCell ref="Y91:Y93"/>
    <mergeCell ref="Y94:Y96"/>
    <mergeCell ref="Y97:Y99"/>
    <mergeCell ref="Y100:Y102"/>
  </mergeCells>
  <pageMargins left="0.7" right="0.7" top="0.75" bottom="0.75" header="0.3" footer="0.3"/>
  <pageSetup orientation="portrait" r:id="rId1"/>
  <drawing r:id="rId2"/>
  <legacyDrawing r:id="rId3"/>
  <oleObjects>
    <mc:AlternateContent xmlns:mc="http://schemas.openxmlformats.org/markup-compatibility/2006">
      <mc:Choice Requires="x14">
        <oleObject progId="ChemDraw.Document.6.0" shapeId="2049" r:id="rId4">
          <objectPr defaultSize="0" autoPict="0" r:id="rId5">
            <anchor moveWithCells="1">
              <from>
                <xdr:col>22</xdr:col>
                <xdr:colOff>99060</xdr:colOff>
                <xdr:row>55</xdr:row>
                <xdr:rowOff>99060</xdr:rowOff>
              </from>
              <to>
                <xdr:col>26</xdr:col>
                <xdr:colOff>0</xdr:colOff>
                <xdr:row>65</xdr:row>
                <xdr:rowOff>45720</xdr:rowOff>
              </to>
            </anchor>
          </objectPr>
        </oleObject>
      </mc:Choice>
      <mc:Fallback>
        <oleObject progId="ChemDraw.Document.6.0" shapeId="2049" r:id="rId4"/>
      </mc:Fallback>
    </mc:AlternateContent>
    <mc:AlternateContent xmlns:mc="http://schemas.openxmlformats.org/markup-compatibility/2006">
      <mc:Choice Requires="x14">
        <oleObject progId="ChemDraw.Document.6.0" shapeId="2050" r:id="rId6">
          <objectPr defaultSize="0" autoPict="0" r:id="rId7">
            <anchor moveWithCells="1">
              <from>
                <xdr:col>26</xdr:col>
                <xdr:colOff>30480</xdr:colOff>
                <xdr:row>55</xdr:row>
                <xdr:rowOff>91440</xdr:rowOff>
              </from>
              <to>
                <xdr:col>29</xdr:col>
                <xdr:colOff>160020</xdr:colOff>
                <xdr:row>65</xdr:row>
                <xdr:rowOff>99060</xdr:rowOff>
              </to>
            </anchor>
          </objectPr>
        </oleObject>
      </mc:Choice>
      <mc:Fallback>
        <oleObject progId="ChemDraw.Document.6.0" shapeId="2050" r:id="rId6"/>
      </mc:Fallback>
    </mc:AlternateContent>
    <mc:AlternateContent xmlns:mc="http://schemas.openxmlformats.org/markup-compatibility/2006">
      <mc:Choice Requires="x14">
        <oleObject progId="ChemDraw.Document.6.0" shapeId="2051" r:id="rId8">
          <objectPr defaultSize="0" autoPict="0" r:id="rId9">
            <anchor moveWithCells="1">
              <from>
                <xdr:col>29</xdr:col>
                <xdr:colOff>22860</xdr:colOff>
                <xdr:row>56</xdr:row>
                <xdr:rowOff>53340</xdr:rowOff>
              </from>
              <to>
                <xdr:col>32</xdr:col>
                <xdr:colOff>449580</xdr:colOff>
                <xdr:row>65</xdr:row>
                <xdr:rowOff>99060</xdr:rowOff>
              </to>
            </anchor>
          </objectPr>
        </oleObject>
      </mc:Choice>
      <mc:Fallback>
        <oleObject progId="ChemDraw.Document.6.0" shapeId="2051" r:id="rId8"/>
      </mc:Fallback>
    </mc:AlternateContent>
    <mc:AlternateContent xmlns:mc="http://schemas.openxmlformats.org/markup-compatibility/2006">
      <mc:Choice Requires="x14">
        <oleObject progId="ChemDraw.Document.6.0" shapeId="2052" r:id="rId10">
          <objectPr defaultSize="0" autoPict="0" r:id="rId11">
            <anchor moveWithCells="1">
              <from>
                <xdr:col>32</xdr:col>
                <xdr:colOff>106680</xdr:colOff>
                <xdr:row>56</xdr:row>
                <xdr:rowOff>60960</xdr:rowOff>
              </from>
              <to>
                <xdr:col>35</xdr:col>
                <xdr:colOff>579120</xdr:colOff>
                <xdr:row>65</xdr:row>
                <xdr:rowOff>144780</xdr:rowOff>
              </to>
            </anchor>
          </objectPr>
        </oleObject>
      </mc:Choice>
      <mc:Fallback>
        <oleObject progId="ChemDraw.Document.6.0" shapeId="2052" r:id="rId10"/>
      </mc:Fallback>
    </mc:AlternateContent>
    <mc:AlternateContent xmlns:mc="http://schemas.openxmlformats.org/markup-compatibility/2006">
      <mc:Choice Requires="x14">
        <oleObject progId="ChemDraw.Document.6.0" shapeId="2053" r:id="rId12">
          <objectPr defaultSize="0" autoPict="0" r:id="rId13">
            <anchor moveWithCells="1">
              <from>
                <xdr:col>35</xdr:col>
                <xdr:colOff>754380</xdr:colOff>
                <xdr:row>56</xdr:row>
                <xdr:rowOff>53340</xdr:rowOff>
              </from>
              <to>
                <xdr:col>38</xdr:col>
                <xdr:colOff>731520</xdr:colOff>
                <xdr:row>65</xdr:row>
                <xdr:rowOff>144780</xdr:rowOff>
              </to>
            </anchor>
          </objectPr>
        </oleObject>
      </mc:Choice>
      <mc:Fallback>
        <oleObject progId="ChemDraw.Document.6.0" shapeId="2053" r:id="rId12"/>
      </mc:Fallback>
    </mc:AlternateContent>
    <mc:AlternateContent xmlns:mc="http://schemas.openxmlformats.org/markup-compatibility/2006">
      <mc:Choice Requires="x14">
        <oleObject progId="ChemDraw.Document.6.0" shapeId="2054" r:id="rId14">
          <objectPr defaultSize="0" autoPict="0" r:id="rId15">
            <anchor moveWithCells="1">
              <from>
                <xdr:col>40</xdr:col>
                <xdr:colOff>99060</xdr:colOff>
                <xdr:row>56</xdr:row>
                <xdr:rowOff>91440</xdr:rowOff>
              </from>
              <to>
                <xdr:col>44</xdr:col>
                <xdr:colOff>45720</xdr:colOff>
                <xdr:row>65</xdr:row>
                <xdr:rowOff>144780</xdr:rowOff>
              </to>
            </anchor>
          </objectPr>
        </oleObject>
      </mc:Choice>
      <mc:Fallback>
        <oleObject progId="ChemDraw.Document.6.0" shapeId="2054" r:id="rId14"/>
      </mc:Fallback>
    </mc:AlternateContent>
    <mc:AlternateContent xmlns:mc="http://schemas.openxmlformats.org/markup-compatibility/2006">
      <mc:Choice Requires="x14">
        <oleObject progId="ChemDraw.Document.6.0" shapeId="2055" r:id="rId16">
          <objectPr defaultSize="0" autoPict="0" r:id="rId17">
            <anchor moveWithCells="1">
              <from>
                <xdr:col>43</xdr:col>
                <xdr:colOff>754380</xdr:colOff>
                <xdr:row>56</xdr:row>
                <xdr:rowOff>106680</xdr:rowOff>
              </from>
              <to>
                <xdr:col>48</xdr:col>
                <xdr:colOff>579120</xdr:colOff>
                <xdr:row>65</xdr:row>
                <xdr:rowOff>99060</xdr:rowOff>
              </to>
            </anchor>
          </objectPr>
        </oleObject>
      </mc:Choice>
      <mc:Fallback>
        <oleObject progId="ChemDraw.Document.6.0" shapeId="2055" r:id="rId16"/>
      </mc:Fallback>
    </mc:AlternateContent>
    <mc:AlternateContent xmlns:mc="http://schemas.openxmlformats.org/markup-compatibility/2006">
      <mc:Choice Requires="x14">
        <oleObject progId="ChemDraw.Document.6.0" shapeId="2056" r:id="rId18">
          <objectPr defaultSize="0" autoPict="0" r:id="rId19">
            <anchor moveWithCells="1">
              <from>
                <xdr:col>48</xdr:col>
                <xdr:colOff>152400</xdr:colOff>
                <xdr:row>56</xdr:row>
                <xdr:rowOff>76200</xdr:rowOff>
              </from>
              <to>
                <xdr:col>52</xdr:col>
                <xdr:colOff>99060</xdr:colOff>
                <xdr:row>65</xdr:row>
                <xdr:rowOff>68580</xdr:rowOff>
              </to>
            </anchor>
          </objectPr>
        </oleObject>
      </mc:Choice>
      <mc:Fallback>
        <oleObject progId="ChemDraw.Document.6.0" shapeId="2056" r:id="rId18"/>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F8B3-BE83-411C-9164-9840BDD4937F}">
  <dimension ref="A4:CK159"/>
  <sheetViews>
    <sheetView topLeftCell="A126" zoomScale="70" zoomScaleNormal="70" workbookViewId="0">
      <selection activeCell="BB90" sqref="BB90:BC93"/>
    </sheetView>
  </sheetViews>
  <sheetFormatPr defaultColWidth="11.5546875" defaultRowHeight="14.4" x14ac:dyDescent="0.3"/>
  <cols>
    <col min="1" max="1" width="16.5546875" style="22" customWidth="1"/>
    <col min="2" max="2" width="31.5546875" style="22" customWidth="1"/>
    <col min="3" max="3" width="19.5546875" style="22" customWidth="1"/>
    <col min="4" max="4" width="26.109375" style="22" customWidth="1"/>
    <col min="5" max="5" width="25.33203125" style="22" customWidth="1"/>
    <col min="6" max="6" width="27" style="22" customWidth="1"/>
    <col min="7" max="7" width="23.44140625" style="22" customWidth="1"/>
    <col min="8" max="8" width="18.77734375" style="22" customWidth="1"/>
    <col min="9" max="9" width="26.77734375" style="22" customWidth="1"/>
    <col min="10" max="10" width="34.77734375" style="22" customWidth="1"/>
    <col min="11" max="11" width="19.5546875" style="22" customWidth="1"/>
    <col min="12" max="12" width="27.33203125" style="22" customWidth="1"/>
    <col min="13" max="13" width="21.21875" style="22" customWidth="1"/>
    <col min="14" max="14" width="21.88671875" style="22" customWidth="1"/>
    <col min="15" max="16" width="22" style="22" customWidth="1"/>
    <col min="17" max="17" width="18.109375" style="22" customWidth="1"/>
    <col min="18" max="18" width="23.21875" style="22" customWidth="1"/>
    <col min="19" max="19" width="15.88671875" style="22" customWidth="1"/>
    <col min="20" max="26" width="20.44140625" style="22" customWidth="1"/>
    <col min="27" max="27" width="18.88671875" style="22" customWidth="1"/>
    <col min="28" max="49" width="11.5546875" style="22"/>
    <col min="50" max="50" width="14.6640625" style="22" customWidth="1"/>
    <col min="51" max="51" width="32.77734375" style="22" customWidth="1"/>
    <col min="52" max="52" width="34" style="22" customWidth="1"/>
    <col min="53" max="53" width="11.5546875" style="22"/>
    <col min="54" max="54" width="29.5546875" style="22" customWidth="1"/>
    <col min="55" max="55" width="12.21875" style="22" customWidth="1"/>
    <col min="56" max="16384" width="11.5546875" style="22"/>
  </cols>
  <sheetData>
    <row r="4" spans="1:89" x14ac:dyDescent="0.3">
      <c r="A4" s="22" t="s">
        <v>211</v>
      </c>
      <c r="B4" s="22" t="s">
        <v>21</v>
      </c>
      <c r="C4" s="22" t="s">
        <v>20</v>
      </c>
      <c r="K4" s="2"/>
    </row>
    <row r="5" spans="1:89" x14ac:dyDescent="0.3">
      <c r="A5" s="22">
        <v>1200</v>
      </c>
      <c r="B5" s="2">
        <f>H11+H14+H18+F26+H21</f>
        <v>551.04525326445696</v>
      </c>
      <c r="C5" s="22">
        <f>A5/B5</f>
        <v>2.1776795878216149</v>
      </c>
    </row>
    <row r="9" spans="1:89" ht="15" thickBot="1" x14ac:dyDescent="0.35">
      <c r="A9" s="316" t="s">
        <v>23</v>
      </c>
      <c r="AC9" s="37"/>
      <c r="AD9" s="37"/>
      <c r="AX9" s="786" t="s">
        <v>330</v>
      </c>
      <c r="AY9" s="787"/>
      <c r="AZ9" s="788"/>
      <c r="BB9" s="22" t="s">
        <v>168</v>
      </c>
    </row>
    <row r="10" spans="1:89" ht="15" thickBot="1" x14ac:dyDescent="0.35">
      <c r="C10" s="22" t="s">
        <v>14</v>
      </c>
      <c r="D10" s="22" t="s">
        <v>0</v>
      </c>
      <c r="E10" s="22" t="s">
        <v>213</v>
      </c>
      <c r="F10" s="22" t="s">
        <v>214</v>
      </c>
      <c r="G10" s="22" t="s">
        <v>215</v>
      </c>
      <c r="H10" s="22" t="s">
        <v>216</v>
      </c>
      <c r="T10" s="436">
        <v>1</v>
      </c>
      <c r="U10" s="437">
        <v>2</v>
      </c>
      <c r="V10" s="436">
        <v>3</v>
      </c>
      <c r="W10" s="437">
        <v>4</v>
      </c>
      <c r="X10" s="436">
        <v>5</v>
      </c>
      <c r="Y10" s="436">
        <v>6</v>
      </c>
      <c r="Z10" s="438">
        <v>7</v>
      </c>
      <c r="AA10" s="436">
        <v>8</v>
      </c>
      <c r="AC10" s="37"/>
      <c r="AD10" s="781" t="s">
        <v>212</v>
      </c>
      <c r="AE10" s="782"/>
      <c r="AF10" s="785">
        <v>1</v>
      </c>
      <c r="AG10" s="777"/>
      <c r="AH10" s="785">
        <v>2</v>
      </c>
      <c r="AI10" s="777"/>
      <c r="AJ10" s="776">
        <v>3</v>
      </c>
      <c r="AK10" s="776"/>
      <c r="AL10" s="785">
        <v>4</v>
      </c>
      <c r="AM10" s="777"/>
      <c r="AN10" s="785">
        <v>5</v>
      </c>
      <c r="AO10" s="777"/>
      <c r="AP10" s="776">
        <v>6</v>
      </c>
      <c r="AQ10" s="776"/>
      <c r="AR10" s="789">
        <v>7</v>
      </c>
      <c r="AS10" s="790"/>
      <c r="AT10" s="785">
        <v>8</v>
      </c>
      <c r="AU10" s="777"/>
      <c r="AX10" s="786" t="s">
        <v>331</v>
      </c>
      <c r="AY10" s="787"/>
      <c r="AZ10" s="439" t="s">
        <v>332</v>
      </c>
      <c r="BB10" s="778" t="s">
        <v>333</v>
      </c>
      <c r="BC10" s="791" t="s">
        <v>169</v>
      </c>
      <c r="BD10" s="791"/>
      <c r="BE10" s="791"/>
      <c r="BF10" s="791"/>
      <c r="BG10" s="791"/>
      <c r="BI10" s="791" t="s">
        <v>334</v>
      </c>
      <c r="BJ10" s="791"/>
      <c r="BK10" s="791"/>
      <c r="BL10" s="791"/>
      <c r="BM10" s="791"/>
      <c r="BO10" s="791" t="s">
        <v>335</v>
      </c>
      <c r="BP10" s="791"/>
      <c r="BQ10" s="791"/>
      <c r="BR10" s="791"/>
      <c r="BS10" s="791"/>
      <c r="BU10" s="791" t="s">
        <v>336</v>
      </c>
      <c r="BV10" s="791"/>
      <c r="BW10" s="791"/>
      <c r="BX10" s="791"/>
      <c r="BY10" s="791"/>
      <c r="CA10" s="791" t="s">
        <v>337</v>
      </c>
      <c r="CB10" s="791"/>
      <c r="CC10" s="791"/>
      <c r="CD10" s="791"/>
      <c r="CE10" s="791"/>
      <c r="CG10" s="791" t="s">
        <v>338</v>
      </c>
      <c r="CH10" s="791"/>
      <c r="CI10" s="791"/>
      <c r="CJ10" s="791"/>
      <c r="CK10" s="791"/>
    </row>
    <row r="11" spans="1:89" x14ac:dyDescent="0.3">
      <c r="A11" s="22" t="s">
        <v>19</v>
      </c>
      <c r="F11" s="22">
        <f>1+(H11*E26)</f>
        <v>16.72</v>
      </c>
      <c r="H11" s="2">
        <v>20</v>
      </c>
      <c r="I11" s="2"/>
      <c r="J11" s="2"/>
      <c r="K11" s="2"/>
      <c r="L11" s="2"/>
      <c r="M11" s="2"/>
      <c r="N11" s="2"/>
      <c r="O11" s="2"/>
      <c r="P11" s="2"/>
      <c r="Q11" s="2"/>
      <c r="S11" s="792" t="s">
        <v>48</v>
      </c>
      <c r="T11" s="440" t="s">
        <v>224</v>
      </c>
      <c r="U11" s="331" t="s">
        <v>224</v>
      </c>
      <c r="V11" s="441" t="s">
        <v>224</v>
      </c>
      <c r="W11" s="353" t="s">
        <v>224</v>
      </c>
      <c r="X11" s="442" t="s">
        <v>224</v>
      </c>
      <c r="Y11" s="443" t="s">
        <v>224</v>
      </c>
      <c r="Z11" s="444" t="s">
        <v>224</v>
      </c>
      <c r="AA11" s="445" t="s">
        <v>224</v>
      </c>
      <c r="AC11" s="37"/>
      <c r="AD11" s="783"/>
      <c r="AE11" s="784"/>
      <c r="AF11" s="307" t="s">
        <v>220</v>
      </c>
      <c r="AG11" s="325" t="s">
        <v>124</v>
      </c>
      <c r="AH11" s="307" t="s">
        <v>220</v>
      </c>
      <c r="AI11" s="325" t="s">
        <v>124</v>
      </c>
      <c r="AJ11" s="294" t="s">
        <v>220</v>
      </c>
      <c r="AK11" s="294" t="s">
        <v>124</v>
      </c>
      <c r="AL11" s="307" t="s">
        <v>220</v>
      </c>
      <c r="AM11" s="325" t="s">
        <v>124</v>
      </c>
      <c r="AN11" s="307" t="s">
        <v>220</v>
      </c>
      <c r="AO11" s="325" t="s">
        <v>124</v>
      </c>
      <c r="AP11" s="294" t="s">
        <v>220</v>
      </c>
      <c r="AQ11" s="294" t="s">
        <v>124</v>
      </c>
      <c r="AR11" s="446" t="s">
        <v>220</v>
      </c>
      <c r="AS11" s="447" t="s">
        <v>124</v>
      </c>
      <c r="AT11" s="307" t="s">
        <v>220</v>
      </c>
      <c r="AU11" s="325" t="s">
        <v>124</v>
      </c>
      <c r="AV11" s="37"/>
      <c r="AX11" s="307" t="s">
        <v>19</v>
      </c>
      <c r="AY11" s="294" t="s">
        <v>19</v>
      </c>
      <c r="AZ11" s="448">
        <f>M29/M30</f>
        <v>4.3553591756432301E-2</v>
      </c>
      <c r="BB11" s="778"/>
    </row>
    <row r="12" spans="1:89" x14ac:dyDescent="0.3">
      <c r="A12" s="22" t="s">
        <v>1</v>
      </c>
      <c r="B12" s="22" t="s">
        <v>10</v>
      </c>
      <c r="C12" s="22" t="s">
        <v>15</v>
      </c>
      <c r="D12" s="22">
        <v>96.08</v>
      </c>
      <c r="E12" s="22">
        <v>0.05</v>
      </c>
      <c r="F12" s="22">
        <f t="shared" ref="F12:F20" si="0">E12*D12</f>
        <v>4.8040000000000003</v>
      </c>
      <c r="G12" s="22">
        <v>1.1599999999999999</v>
      </c>
      <c r="H12" s="2">
        <f>F12/G12</f>
        <v>4.1413793103448278</v>
      </c>
      <c r="I12" s="2"/>
      <c r="J12" s="2"/>
      <c r="K12" s="2"/>
      <c r="L12" s="2"/>
      <c r="M12" s="2"/>
      <c r="N12" s="2"/>
      <c r="O12" s="2"/>
      <c r="P12" s="2"/>
      <c r="Q12" s="2"/>
      <c r="R12" s="338"/>
      <c r="S12" s="793"/>
      <c r="T12" s="449" t="s">
        <v>1</v>
      </c>
      <c r="U12" s="342" t="s">
        <v>2</v>
      </c>
      <c r="V12" s="450" t="s">
        <v>4</v>
      </c>
      <c r="W12" s="359" t="s">
        <v>37</v>
      </c>
      <c r="X12" s="451" t="s">
        <v>12</v>
      </c>
      <c r="Y12" s="452" t="s">
        <v>36</v>
      </c>
      <c r="Z12" s="453" t="s">
        <v>1</v>
      </c>
      <c r="AA12" s="454" t="s">
        <v>4</v>
      </c>
      <c r="AC12" s="37"/>
      <c r="AD12" s="774" t="s">
        <v>48</v>
      </c>
      <c r="AE12" s="334" t="s">
        <v>339</v>
      </c>
      <c r="AF12" s="455">
        <f>$C$5 + ($C$31*$E$26)</f>
        <v>41.477679587821619</v>
      </c>
      <c r="AG12" s="456">
        <v>32</v>
      </c>
      <c r="AH12" s="455">
        <f>$C$5 + ($C$31*$E$26)</f>
        <v>41.477679587821619</v>
      </c>
      <c r="AI12" s="456">
        <v>29</v>
      </c>
      <c r="AJ12" s="457">
        <f>$C$5 + ($C$31*$E$26)</f>
        <v>41.477679587821619</v>
      </c>
      <c r="AK12" s="458">
        <v>32</v>
      </c>
      <c r="AL12" s="459">
        <f>$C$5 + ($C$31*$E$26)</f>
        <v>41.477679587821619</v>
      </c>
      <c r="AM12" s="119">
        <v>31</v>
      </c>
      <c r="AN12" s="455">
        <f>$C$5 + ($C$31*$E$26)</f>
        <v>41.477679587821619</v>
      </c>
      <c r="AO12" s="456">
        <v>32</v>
      </c>
      <c r="AP12" s="455">
        <f>$C$5 + ($C$31*$E$26)</f>
        <v>41.477679587821619</v>
      </c>
      <c r="AQ12" s="460">
        <v>33</v>
      </c>
      <c r="AR12" s="455">
        <f>$C$5 + ($C$31*$E$26)</f>
        <v>41.477679587821619</v>
      </c>
      <c r="AS12" s="456">
        <v>32</v>
      </c>
      <c r="AT12" s="461">
        <f>$C$5 + ($C$31*$E$26)</f>
        <v>41.477679587821619</v>
      </c>
      <c r="AU12" s="461">
        <v>37</v>
      </c>
      <c r="AV12" s="37"/>
      <c r="AX12" s="307" t="s">
        <v>1</v>
      </c>
      <c r="AY12" s="294" t="s">
        <v>10</v>
      </c>
      <c r="AZ12" s="462">
        <f xml:space="preserve"> (L36 * G12) / (L36 + M36)</f>
        <v>0.23199999999999998</v>
      </c>
      <c r="BB12" s="778"/>
    </row>
    <row r="13" spans="1:89" x14ac:dyDescent="0.3">
      <c r="A13" s="22" t="s">
        <v>2</v>
      </c>
      <c r="B13" s="22" t="s">
        <v>73</v>
      </c>
      <c r="C13" s="22" t="s">
        <v>40</v>
      </c>
      <c r="D13" s="22">
        <v>136.15</v>
      </c>
      <c r="E13" s="22">
        <v>0.05</v>
      </c>
      <c r="F13" s="22">
        <f t="shared" si="0"/>
        <v>6.807500000000001</v>
      </c>
      <c r="G13" s="22">
        <v>1.1200000000000001</v>
      </c>
      <c r="H13" s="2">
        <f t="shared" ref="H13:H20" si="1">F13/G13</f>
        <v>6.078125</v>
      </c>
      <c r="I13" s="2"/>
      <c r="J13" s="2"/>
      <c r="K13" s="2"/>
      <c r="L13" s="2"/>
      <c r="M13" s="2"/>
      <c r="N13" s="2"/>
      <c r="O13" s="2"/>
      <c r="P13" s="2"/>
      <c r="Q13" s="2"/>
      <c r="R13" s="338"/>
      <c r="S13" s="793"/>
      <c r="T13" s="449" t="s">
        <v>34</v>
      </c>
      <c r="U13" s="342" t="s">
        <v>34</v>
      </c>
      <c r="V13" s="450" t="s">
        <v>34</v>
      </c>
      <c r="W13" s="359" t="s">
        <v>34</v>
      </c>
      <c r="X13" s="451" t="s">
        <v>34</v>
      </c>
      <c r="Y13" s="452" t="s">
        <v>34</v>
      </c>
      <c r="Z13" s="453" t="s">
        <v>75</v>
      </c>
      <c r="AA13" s="454" t="s">
        <v>75</v>
      </c>
      <c r="AC13" s="37"/>
      <c r="AD13" s="765"/>
      <c r="AE13" s="463" t="s">
        <v>1</v>
      </c>
      <c r="AF13" s="464">
        <f xml:space="preserve"> ($E$36 * $G$12) + ($F$36 * $E$26)</f>
        <v>52.230866524109558</v>
      </c>
      <c r="AG13" s="465">
        <v>46</v>
      </c>
      <c r="AH13" s="466" t="s">
        <v>9</v>
      </c>
      <c r="AI13" s="465" t="s">
        <v>9</v>
      </c>
      <c r="AJ13" s="467" t="s">
        <v>9</v>
      </c>
      <c r="AK13" s="467" t="s">
        <v>9</v>
      </c>
      <c r="AL13" s="463" t="s">
        <v>9</v>
      </c>
      <c r="AM13" s="468" t="s">
        <v>9</v>
      </c>
      <c r="AN13" s="466" t="s">
        <v>9</v>
      </c>
      <c r="AO13" s="465" t="s">
        <v>9</v>
      </c>
      <c r="AP13" s="469" t="s">
        <v>9</v>
      </c>
      <c r="AQ13" s="469" t="s">
        <v>9</v>
      </c>
      <c r="AR13" s="464">
        <f xml:space="preserve"> ($E$36 * $G$12) + ($F$36 * $E$26)</f>
        <v>52.230866524109558</v>
      </c>
      <c r="AS13" s="465">
        <v>53</v>
      </c>
      <c r="AT13" s="461" t="s">
        <v>9</v>
      </c>
      <c r="AU13" s="461" t="s">
        <v>9</v>
      </c>
      <c r="AV13" s="37"/>
      <c r="AX13" s="307" t="s">
        <v>2</v>
      </c>
      <c r="AY13" s="294" t="s">
        <v>73</v>
      </c>
      <c r="AZ13" s="462">
        <f t="shared" ref="AZ13:AZ17" si="2" xml:space="preserve"> (L37 * G13) / (L37 + M37)</f>
        <v>0.224</v>
      </c>
      <c r="BB13" s="778"/>
    </row>
    <row r="14" spans="1:89" s="1" customFormat="1" x14ac:dyDescent="0.3">
      <c r="A14" s="22" t="s">
        <v>4</v>
      </c>
      <c r="B14" s="22" t="s">
        <v>227</v>
      </c>
      <c r="C14" s="22" t="s">
        <v>39</v>
      </c>
      <c r="D14" s="22">
        <v>156.18</v>
      </c>
      <c r="E14" s="22">
        <v>0.05</v>
      </c>
      <c r="F14" s="22">
        <f t="shared" si="0"/>
        <v>7.8090000000000011</v>
      </c>
      <c r="G14" s="22">
        <v>1.1499999999999999</v>
      </c>
      <c r="H14" s="2">
        <f t="shared" si="1"/>
        <v>6.7904347826086973</v>
      </c>
      <c r="I14" s="2"/>
      <c r="J14" s="2"/>
      <c r="K14" s="2"/>
      <c r="L14" s="2"/>
      <c r="M14" s="2"/>
      <c r="N14" s="2"/>
      <c r="O14" s="2"/>
      <c r="P14" s="2"/>
      <c r="Q14" s="2"/>
      <c r="R14" s="22"/>
      <c r="S14" s="793"/>
      <c r="T14" s="470" t="s">
        <v>3</v>
      </c>
      <c r="U14" s="347" t="s">
        <v>3</v>
      </c>
      <c r="V14" s="471" t="s">
        <v>3</v>
      </c>
      <c r="W14" s="366" t="s">
        <v>3</v>
      </c>
      <c r="X14" s="472" t="s">
        <v>3</v>
      </c>
      <c r="Y14" s="473" t="s">
        <v>3</v>
      </c>
      <c r="Z14" s="474" t="s">
        <v>3</v>
      </c>
      <c r="AA14" s="475" t="s">
        <v>3</v>
      </c>
      <c r="AC14" s="37"/>
      <c r="AD14" s="765"/>
      <c r="AE14" s="307" t="s">
        <v>2</v>
      </c>
      <c r="AF14" s="476" t="s">
        <v>9</v>
      </c>
      <c r="AG14" s="477" t="s">
        <v>9</v>
      </c>
      <c r="AH14" s="478">
        <f xml:space="preserve"> ($E$37 * $G$13) + ($F$37 * $E$26)</f>
        <v>70.797325063386694</v>
      </c>
      <c r="AI14" s="477">
        <v>67</v>
      </c>
      <c r="AJ14" s="479" t="s">
        <v>9</v>
      </c>
      <c r="AK14" s="479" t="s">
        <v>9</v>
      </c>
      <c r="AL14" s="307" t="s">
        <v>9</v>
      </c>
      <c r="AM14" s="325" t="s">
        <v>9</v>
      </c>
      <c r="AN14" s="476" t="s">
        <v>9</v>
      </c>
      <c r="AO14" s="477" t="s">
        <v>9</v>
      </c>
      <c r="AP14" s="480" t="s">
        <v>9</v>
      </c>
      <c r="AQ14" s="480" t="s">
        <v>9</v>
      </c>
      <c r="AR14" s="476" t="s">
        <v>9</v>
      </c>
      <c r="AS14" s="477" t="s">
        <v>9</v>
      </c>
      <c r="AT14" s="461" t="s">
        <v>9</v>
      </c>
      <c r="AU14" s="461" t="s">
        <v>9</v>
      </c>
      <c r="AV14" s="37"/>
      <c r="AW14" s="22"/>
      <c r="AX14" s="307" t="s">
        <v>4</v>
      </c>
      <c r="AY14" s="294" t="s">
        <v>227</v>
      </c>
      <c r="AZ14" s="462">
        <f t="shared" si="2"/>
        <v>0.22999999999999995</v>
      </c>
      <c r="BB14" s="778"/>
    </row>
    <row r="15" spans="1:89" x14ac:dyDescent="0.3">
      <c r="A15" s="22" t="s">
        <v>12</v>
      </c>
      <c r="B15" s="22" t="s">
        <v>13</v>
      </c>
      <c r="C15" s="22" t="s">
        <v>16</v>
      </c>
      <c r="D15" s="22">
        <v>142.1</v>
      </c>
      <c r="E15" s="22">
        <v>0.05</v>
      </c>
      <c r="F15" s="22">
        <f t="shared" si="0"/>
        <v>7.1050000000000004</v>
      </c>
      <c r="G15" s="22">
        <v>1.296</v>
      </c>
      <c r="H15" s="2">
        <f t="shared" si="1"/>
        <v>5.4822530864197532</v>
      </c>
      <c r="I15" s="2"/>
      <c r="J15" s="2"/>
      <c r="K15" s="2"/>
      <c r="L15" s="2"/>
      <c r="M15" s="2"/>
      <c r="N15" s="2"/>
      <c r="O15" s="2"/>
      <c r="P15" s="2"/>
      <c r="Q15" s="2"/>
      <c r="S15" s="793"/>
      <c r="T15" s="470" t="s">
        <v>5</v>
      </c>
      <c r="U15" s="347" t="s">
        <v>5</v>
      </c>
      <c r="V15" s="471" t="s">
        <v>5</v>
      </c>
      <c r="W15" s="366" t="s">
        <v>5</v>
      </c>
      <c r="X15" s="472" t="s">
        <v>5</v>
      </c>
      <c r="Y15" s="473" t="s">
        <v>5</v>
      </c>
      <c r="Z15" s="474" t="s">
        <v>5</v>
      </c>
      <c r="AA15" s="475" t="s">
        <v>5</v>
      </c>
      <c r="AC15" s="37"/>
      <c r="AD15" s="765"/>
      <c r="AE15" s="307" t="s">
        <v>4</v>
      </c>
      <c r="AF15" s="476" t="s">
        <v>9</v>
      </c>
      <c r="AG15" s="477" t="s">
        <v>9</v>
      </c>
      <c r="AH15" s="476" t="s">
        <v>9</v>
      </c>
      <c r="AI15" s="477" t="s">
        <v>9</v>
      </c>
      <c r="AJ15" s="481">
        <f xml:space="preserve"> ($E$38 * $G$14) + ($F$38 * $E$26)</f>
        <v>83.974859062604551</v>
      </c>
      <c r="AK15" s="479">
        <v>82</v>
      </c>
      <c r="AL15" s="307" t="s">
        <v>9</v>
      </c>
      <c r="AM15" s="325" t="s">
        <v>9</v>
      </c>
      <c r="AN15" s="476" t="s">
        <v>9</v>
      </c>
      <c r="AO15" s="477" t="s">
        <v>9</v>
      </c>
      <c r="AP15" s="480" t="s">
        <v>9</v>
      </c>
      <c r="AQ15" s="480" t="s">
        <v>9</v>
      </c>
      <c r="AR15" s="476" t="s">
        <v>9</v>
      </c>
      <c r="AS15" s="477" t="s">
        <v>9</v>
      </c>
      <c r="AT15" s="461">
        <f xml:space="preserve"> ($E$38 * $G$14) + ($F$38 * $E$26)</f>
        <v>83.974859062604551</v>
      </c>
      <c r="AU15" s="461">
        <v>85</v>
      </c>
      <c r="AV15" s="37"/>
      <c r="AX15" s="307" t="s">
        <v>12</v>
      </c>
      <c r="AY15" s="294" t="s">
        <v>13</v>
      </c>
      <c r="AZ15" s="462">
        <f t="shared" si="2"/>
        <v>0.25919999999999999</v>
      </c>
      <c r="BB15" s="778"/>
    </row>
    <row r="16" spans="1:89" ht="15" thickBot="1" x14ac:dyDescent="0.35">
      <c r="A16" s="22" t="s">
        <v>36</v>
      </c>
      <c r="B16" s="22" t="s">
        <v>24</v>
      </c>
      <c r="C16" s="22" t="s">
        <v>28</v>
      </c>
      <c r="D16" s="22">
        <v>124.11</v>
      </c>
      <c r="E16" s="22">
        <v>0.05</v>
      </c>
      <c r="F16" s="22">
        <f t="shared" si="0"/>
        <v>6.2055000000000007</v>
      </c>
      <c r="G16" s="22">
        <v>1.17</v>
      </c>
      <c r="H16" s="2">
        <f t="shared" si="1"/>
        <v>5.3038461538461545</v>
      </c>
      <c r="I16" s="2"/>
      <c r="J16" s="2"/>
      <c r="K16" s="2"/>
      <c r="L16" s="2"/>
      <c r="M16" s="2"/>
      <c r="N16" s="2"/>
      <c r="O16" s="2"/>
      <c r="P16" s="2"/>
      <c r="Q16" s="2"/>
      <c r="S16" s="793"/>
      <c r="T16" s="470" t="s">
        <v>6</v>
      </c>
      <c r="U16" s="347" t="s">
        <v>6</v>
      </c>
      <c r="V16" s="471" t="s">
        <v>6</v>
      </c>
      <c r="W16" s="366" t="s">
        <v>6</v>
      </c>
      <c r="X16" s="472" t="s">
        <v>6</v>
      </c>
      <c r="Y16" s="473" t="s">
        <v>6</v>
      </c>
      <c r="Z16" s="474" t="s">
        <v>6</v>
      </c>
      <c r="AA16" s="475" t="s">
        <v>6</v>
      </c>
      <c r="AC16" s="37"/>
      <c r="AD16" s="765"/>
      <c r="AE16" s="307" t="s">
        <v>12</v>
      </c>
      <c r="AF16" s="476" t="s">
        <v>9</v>
      </c>
      <c r="AG16" s="477" t="s">
        <v>9</v>
      </c>
      <c r="AH16" s="476" t="s">
        <v>9</v>
      </c>
      <c r="AI16" s="477" t="s">
        <v>9</v>
      </c>
      <c r="AJ16" s="479" t="s">
        <v>9</v>
      </c>
      <c r="AK16" s="479" t="s">
        <v>9</v>
      </c>
      <c r="AL16" s="482" t="s">
        <v>9</v>
      </c>
      <c r="AM16" s="325" t="s">
        <v>9</v>
      </c>
      <c r="AN16" s="478">
        <f xml:space="preserve"> ($E$39 * $G$15) + ($F$39 * $E$26)</f>
        <v>89.031980494086355</v>
      </c>
      <c r="AO16" s="477">
        <v>86</v>
      </c>
      <c r="AP16" s="476" t="s">
        <v>9</v>
      </c>
      <c r="AQ16" s="477" t="s">
        <v>9</v>
      </c>
      <c r="AR16" s="476" t="s">
        <v>9</v>
      </c>
      <c r="AS16" s="477" t="s">
        <v>9</v>
      </c>
      <c r="AT16" s="461" t="s">
        <v>9</v>
      </c>
      <c r="AU16" s="461" t="s">
        <v>9</v>
      </c>
      <c r="AV16" s="37"/>
      <c r="AX16" s="307" t="s">
        <v>36</v>
      </c>
      <c r="AY16" s="294" t="s">
        <v>24</v>
      </c>
      <c r="AZ16" s="462">
        <f t="shared" si="2"/>
        <v>0.23399999999999999</v>
      </c>
      <c r="BB16" s="778"/>
    </row>
    <row r="17" spans="1:86" ht="14.4" customHeight="1" x14ac:dyDescent="0.3">
      <c r="A17" s="22" t="s">
        <v>37</v>
      </c>
      <c r="B17" s="22" t="s">
        <v>25</v>
      </c>
      <c r="C17" s="22" t="s">
        <v>29</v>
      </c>
      <c r="D17" s="22">
        <v>136.15</v>
      </c>
      <c r="E17" s="22">
        <v>0.05</v>
      </c>
      <c r="F17" s="22">
        <f t="shared" si="0"/>
        <v>6.807500000000001</v>
      </c>
      <c r="G17" s="22">
        <v>1.119</v>
      </c>
      <c r="H17" s="2">
        <f t="shared" si="1"/>
        <v>6.0835567470956224</v>
      </c>
      <c r="I17" s="2"/>
      <c r="J17" s="2"/>
      <c r="K17" s="2"/>
      <c r="L17" s="2"/>
      <c r="M17" s="2"/>
      <c r="N17" s="2"/>
      <c r="O17" s="2"/>
      <c r="P17" s="2"/>
      <c r="Q17" s="2"/>
      <c r="S17" s="792" t="s">
        <v>49</v>
      </c>
      <c r="T17" s="483" t="s">
        <v>224</v>
      </c>
      <c r="U17" s="484" t="s">
        <v>224</v>
      </c>
      <c r="V17" s="485" t="s">
        <v>224</v>
      </c>
      <c r="W17" s="486" t="s">
        <v>224</v>
      </c>
      <c r="X17" s="487" t="s">
        <v>224</v>
      </c>
      <c r="Y17" s="488" t="s">
        <v>224</v>
      </c>
      <c r="Z17" s="489" t="s">
        <v>224</v>
      </c>
      <c r="AA17" s="490" t="s">
        <v>224</v>
      </c>
      <c r="AC17" s="37"/>
      <c r="AD17" s="765"/>
      <c r="AE17" s="307" t="s">
        <v>36</v>
      </c>
      <c r="AF17" s="476" t="s">
        <v>9</v>
      </c>
      <c r="AG17" s="477" t="s">
        <v>9</v>
      </c>
      <c r="AH17" s="476" t="s">
        <v>9</v>
      </c>
      <c r="AI17" s="477" t="s">
        <v>9</v>
      </c>
      <c r="AJ17" s="479" t="s">
        <v>9</v>
      </c>
      <c r="AK17" s="479" t="s">
        <v>9</v>
      </c>
      <c r="AL17" s="307" t="s">
        <v>9</v>
      </c>
      <c r="AM17" s="325" t="s">
        <v>9</v>
      </c>
      <c r="AN17" s="476" t="s">
        <v>9</v>
      </c>
      <c r="AO17" s="477" t="s">
        <v>9</v>
      </c>
      <c r="AP17" s="478">
        <f xml:space="preserve"> ($E$40 * $G$16) + ($F$40 * $E$26)</f>
        <v>68.208227337659082</v>
      </c>
      <c r="AQ17" s="477">
        <v>66</v>
      </c>
      <c r="AR17" s="476" t="s">
        <v>9</v>
      </c>
      <c r="AS17" s="477" t="s">
        <v>9</v>
      </c>
      <c r="AT17" s="461" t="s">
        <v>9</v>
      </c>
      <c r="AU17" s="461" t="s">
        <v>9</v>
      </c>
      <c r="AV17" s="37"/>
      <c r="AX17" s="307" t="s">
        <v>37</v>
      </c>
      <c r="AY17" s="294" t="s">
        <v>25</v>
      </c>
      <c r="AZ17" s="462">
        <f t="shared" si="2"/>
        <v>0.2238</v>
      </c>
      <c r="BB17" s="778"/>
    </row>
    <row r="18" spans="1:86" x14ac:dyDescent="0.3">
      <c r="A18" s="22" t="s">
        <v>34</v>
      </c>
      <c r="B18" s="22" t="s">
        <v>35</v>
      </c>
      <c r="C18" s="22" t="s">
        <v>41</v>
      </c>
      <c r="D18" s="22">
        <v>138.59</v>
      </c>
      <c r="E18" s="22">
        <v>7.4999999999999997E-2</v>
      </c>
      <c r="F18" s="22">
        <f t="shared" si="0"/>
        <v>10.39425</v>
      </c>
      <c r="G18" s="22">
        <v>0.90900000000000003</v>
      </c>
      <c r="H18" s="2">
        <f t="shared" si="1"/>
        <v>11.434818481848184</v>
      </c>
      <c r="I18" s="2"/>
      <c r="J18" s="2"/>
      <c r="K18" s="2"/>
      <c r="L18" s="2"/>
      <c r="M18" s="2"/>
      <c r="N18" s="2"/>
      <c r="O18" s="2"/>
      <c r="P18" s="2"/>
      <c r="Q18" s="2"/>
      <c r="S18" s="793"/>
      <c r="T18" s="449" t="s">
        <v>1</v>
      </c>
      <c r="U18" s="342" t="s">
        <v>2</v>
      </c>
      <c r="V18" s="450" t="s">
        <v>4</v>
      </c>
      <c r="W18" s="359" t="s">
        <v>37</v>
      </c>
      <c r="X18" s="451" t="s">
        <v>12</v>
      </c>
      <c r="Y18" s="452" t="s">
        <v>36</v>
      </c>
      <c r="Z18" s="453" t="s">
        <v>1</v>
      </c>
      <c r="AA18" s="454" t="s">
        <v>4</v>
      </c>
      <c r="AC18" s="37"/>
      <c r="AD18" s="765"/>
      <c r="AE18" s="491" t="s">
        <v>37</v>
      </c>
      <c r="AF18" s="492" t="s">
        <v>9</v>
      </c>
      <c r="AG18" s="493" t="s">
        <v>9</v>
      </c>
      <c r="AH18" s="492" t="s">
        <v>9</v>
      </c>
      <c r="AI18" s="493" t="s">
        <v>9</v>
      </c>
      <c r="AJ18" s="494" t="s">
        <v>9</v>
      </c>
      <c r="AK18" s="494" t="s">
        <v>9</v>
      </c>
      <c r="AL18" s="495">
        <f xml:space="preserve"> ($E$41 * $G$17) + ($F$41 * $E$26)</f>
        <v>70.717524490313082</v>
      </c>
      <c r="AM18" s="496">
        <v>68</v>
      </c>
      <c r="AN18" s="492" t="s">
        <v>9</v>
      </c>
      <c r="AO18" s="493" t="s">
        <v>9</v>
      </c>
      <c r="AP18" s="497" t="s">
        <v>9</v>
      </c>
      <c r="AQ18" s="498" t="s">
        <v>9</v>
      </c>
      <c r="AR18" s="492" t="s">
        <v>9</v>
      </c>
      <c r="AS18" s="493" t="s">
        <v>9</v>
      </c>
      <c r="AT18" s="461" t="s">
        <v>9</v>
      </c>
      <c r="AU18" s="461"/>
      <c r="AV18" s="37"/>
      <c r="AX18" s="307" t="s">
        <v>34</v>
      </c>
      <c r="AY18" s="294" t="s">
        <v>35</v>
      </c>
      <c r="AZ18" s="462">
        <f xml:space="preserve"> (L47 * G18) / (L47 + M47)</f>
        <v>0.30300000000000005</v>
      </c>
      <c r="BB18" s="778"/>
    </row>
    <row r="19" spans="1:86" x14ac:dyDescent="0.3">
      <c r="A19" s="22" t="s">
        <v>7</v>
      </c>
      <c r="B19" s="22" t="s">
        <v>11</v>
      </c>
      <c r="C19" s="22" t="s">
        <v>17</v>
      </c>
      <c r="D19" s="22">
        <v>104.15</v>
      </c>
      <c r="E19" s="22">
        <v>7.4999999999999997E-2</v>
      </c>
      <c r="F19" s="22">
        <f t="shared" si="0"/>
        <v>7.8112500000000002</v>
      </c>
      <c r="G19" s="22">
        <v>1.0900000000000001</v>
      </c>
      <c r="H19" s="2">
        <f t="shared" si="1"/>
        <v>7.1662844036697244</v>
      </c>
      <c r="I19" s="2"/>
      <c r="J19" s="2"/>
      <c r="K19" s="2"/>
      <c r="L19" s="2"/>
      <c r="M19" s="2"/>
      <c r="N19" s="2"/>
      <c r="O19" s="2"/>
      <c r="P19" s="2"/>
      <c r="Q19" s="2"/>
      <c r="S19" s="793"/>
      <c r="T19" s="449" t="s">
        <v>34</v>
      </c>
      <c r="U19" s="342" t="s">
        <v>34</v>
      </c>
      <c r="V19" s="450" t="s">
        <v>34</v>
      </c>
      <c r="W19" s="359" t="s">
        <v>34</v>
      </c>
      <c r="X19" s="451" t="s">
        <v>34</v>
      </c>
      <c r="Y19" s="452" t="s">
        <v>34</v>
      </c>
      <c r="Z19" s="453" t="s">
        <v>75</v>
      </c>
      <c r="AA19" s="454" t="s">
        <v>75</v>
      </c>
      <c r="AC19" s="37"/>
      <c r="AD19" s="765"/>
      <c r="AE19" s="463" t="s">
        <v>34</v>
      </c>
      <c r="AF19" s="464">
        <f xml:space="preserve"> ($E$47 * $G$18) + ($F$47 * $E$26)</f>
        <v>61.780300950746387</v>
      </c>
      <c r="AG19" s="465">
        <v>50</v>
      </c>
      <c r="AH19" s="464">
        <f xml:space="preserve"> ($E$47 * $G$18) + ($F$47 * $E$26)</f>
        <v>61.780300950746387</v>
      </c>
      <c r="AI19" s="465">
        <v>60</v>
      </c>
      <c r="AJ19" s="499">
        <f xml:space="preserve"> ($E$47 * $G$18) + ($F$47 * $E$26)</f>
        <v>61.780300950746387</v>
      </c>
      <c r="AK19" s="467">
        <v>60</v>
      </c>
      <c r="AL19" s="500">
        <f xml:space="preserve"> ($E$47 * $G$18) + ($F$47 * $E$26)</f>
        <v>61.780300950746387</v>
      </c>
      <c r="AM19" s="468">
        <v>55</v>
      </c>
      <c r="AN19" s="464">
        <f xml:space="preserve"> ($E$47 * $G$18) + ($F$47 * $E$26)</f>
        <v>61.780300950746387</v>
      </c>
      <c r="AO19" s="465">
        <v>56</v>
      </c>
      <c r="AP19" s="464">
        <f xml:space="preserve"> ($E$47 * $G$18) + ($F$47 * $E$26)</f>
        <v>61.780300950746387</v>
      </c>
      <c r="AQ19" s="469">
        <v>60</v>
      </c>
      <c r="AR19" s="466" t="s">
        <v>9</v>
      </c>
      <c r="AS19" s="465" t="s">
        <v>9</v>
      </c>
      <c r="AT19" s="461" t="s">
        <v>9</v>
      </c>
      <c r="AU19" s="461" t="s">
        <v>9</v>
      </c>
      <c r="AX19" s="307" t="s">
        <v>7</v>
      </c>
      <c r="AY19" s="294" t="s">
        <v>11</v>
      </c>
      <c r="AZ19" s="462">
        <f t="shared" ref="AZ19:AZ20" si="3" xml:space="preserve"> (L48 * G19) / (L48 + M48)</f>
        <v>0.3633333333333334</v>
      </c>
      <c r="BB19" s="778"/>
    </row>
    <row r="20" spans="1:86" x14ac:dyDescent="0.3">
      <c r="A20" s="22" t="s">
        <v>75</v>
      </c>
      <c r="B20" s="22" t="s">
        <v>340</v>
      </c>
      <c r="C20" s="22" t="s">
        <v>341</v>
      </c>
      <c r="D20" s="22">
        <v>134.17500000000001</v>
      </c>
      <c r="E20" s="22">
        <v>7.4999999999999997E-2</v>
      </c>
      <c r="F20" s="22">
        <f t="shared" si="0"/>
        <v>10.063125000000001</v>
      </c>
      <c r="G20" s="22">
        <v>1</v>
      </c>
      <c r="H20" s="2">
        <f t="shared" si="1"/>
        <v>10.063125000000001</v>
      </c>
      <c r="I20" s="2"/>
      <c r="J20" s="2"/>
      <c r="K20" s="2"/>
      <c r="L20" s="2"/>
      <c r="M20" s="2"/>
      <c r="N20" s="2"/>
      <c r="O20" s="2"/>
      <c r="P20" s="2"/>
      <c r="Q20" s="2"/>
      <c r="S20" s="793"/>
      <c r="T20" s="470" t="s">
        <v>3</v>
      </c>
      <c r="U20" s="347" t="s">
        <v>3</v>
      </c>
      <c r="V20" s="471" t="s">
        <v>3</v>
      </c>
      <c r="W20" s="366" t="s">
        <v>3</v>
      </c>
      <c r="X20" s="472" t="s">
        <v>3</v>
      </c>
      <c r="Y20" s="473" t="s">
        <v>3</v>
      </c>
      <c r="Z20" s="474" t="s">
        <v>3</v>
      </c>
      <c r="AA20" s="475" t="s">
        <v>3</v>
      </c>
      <c r="AC20" s="37"/>
      <c r="AD20" s="765"/>
      <c r="AE20" s="307" t="s">
        <v>7</v>
      </c>
      <c r="AF20" s="476" t="s">
        <v>9</v>
      </c>
      <c r="AG20" s="477" t="s">
        <v>9</v>
      </c>
      <c r="AH20" s="476" t="s">
        <v>9</v>
      </c>
      <c r="AI20" s="477" t="s">
        <v>9</v>
      </c>
      <c r="AJ20" s="479" t="s">
        <v>9</v>
      </c>
      <c r="AK20" s="479" t="s">
        <v>9</v>
      </c>
      <c r="AL20" s="307" t="s">
        <v>9</v>
      </c>
      <c r="AM20" s="325" t="s">
        <v>9</v>
      </c>
      <c r="AN20" s="476" t="s">
        <v>9</v>
      </c>
      <c r="AO20" s="477" t="s">
        <v>9</v>
      </c>
      <c r="AP20" s="480" t="s">
        <v>9</v>
      </c>
      <c r="AQ20" s="480" t="s">
        <v>9</v>
      </c>
      <c r="AR20" s="476" t="s">
        <v>9</v>
      </c>
      <c r="AS20" s="477" t="s">
        <v>9</v>
      </c>
      <c r="AT20" s="461" t="s">
        <v>9</v>
      </c>
      <c r="AU20" s="461" t="s">
        <v>9</v>
      </c>
      <c r="AX20" s="307" t="s">
        <v>75</v>
      </c>
      <c r="AY20" s="294" t="s">
        <v>340</v>
      </c>
      <c r="AZ20" s="462">
        <f t="shared" si="3"/>
        <v>0.33333333333333337</v>
      </c>
      <c r="BB20" s="778"/>
    </row>
    <row r="21" spans="1:86" x14ac:dyDescent="0.3">
      <c r="A21" s="22" t="s">
        <v>238</v>
      </c>
      <c r="B21" s="22" t="s">
        <v>342</v>
      </c>
      <c r="E21" s="22" t="s">
        <v>9</v>
      </c>
      <c r="F21" s="22">
        <f>G21*H21</f>
        <v>16.742920000000002</v>
      </c>
      <c r="G21" s="22">
        <v>1.306</v>
      </c>
      <c r="H21" s="2">
        <v>12.82</v>
      </c>
      <c r="I21" s="2"/>
      <c r="J21" s="2"/>
      <c r="K21" s="2"/>
      <c r="L21" s="2"/>
      <c r="M21" s="2"/>
      <c r="P21" s="2"/>
      <c r="R21" s="338"/>
      <c r="S21" s="793"/>
      <c r="T21" s="470" t="s">
        <v>5</v>
      </c>
      <c r="U21" s="347" t="s">
        <v>5</v>
      </c>
      <c r="V21" s="471" t="s">
        <v>5</v>
      </c>
      <c r="W21" s="366" t="s">
        <v>5</v>
      </c>
      <c r="X21" s="472" t="s">
        <v>5</v>
      </c>
      <c r="Y21" s="473" t="s">
        <v>5</v>
      </c>
      <c r="Z21" s="474" t="s">
        <v>5</v>
      </c>
      <c r="AA21" s="475" t="s">
        <v>5</v>
      </c>
      <c r="AC21" s="37"/>
      <c r="AD21" s="765"/>
      <c r="AE21" s="491" t="s">
        <v>75</v>
      </c>
      <c r="AF21" s="492" t="s">
        <v>9</v>
      </c>
      <c r="AG21" s="493" t="s">
        <v>9</v>
      </c>
      <c r="AH21" s="492" t="s">
        <v>9</v>
      </c>
      <c r="AI21" s="493" t="s">
        <v>9</v>
      </c>
      <c r="AJ21" s="494" t="s">
        <v>9</v>
      </c>
      <c r="AK21" s="494" t="s">
        <v>9</v>
      </c>
      <c r="AL21" s="491" t="s">
        <v>9</v>
      </c>
      <c r="AM21" s="501" t="s">
        <v>9</v>
      </c>
      <c r="AN21" s="492" t="s">
        <v>9</v>
      </c>
      <c r="AO21" s="493" t="s">
        <v>9</v>
      </c>
      <c r="AP21" s="498" t="s">
        <v>9</v>
      </c>
      <c r="AQ21" s="498" t="s">
        <v>9</v>
      </c>
      <c r="AR21" s="497">
        <f xml:space="preserve"> ($E$49 * $G$20) + ($F$49 * $E$26)</f>
        <v>56.363481612451693</v>
      </c>
      <c r="AS21" s="493">
        <v>50</v>
      </c>
      <c r="AT21" s="461">
        <f xml:space="preserve"> ($E$49 * $G$20) + ($F$49 * $E$26)</f>
        <v>56.363481612451693</v>
      </c>
      <c r="AU21" s="461">
        <v>47</v>
      </c>
      <c r="AX21" s="308" t="s">
        <v>238</v>
      </c>
      <c r="AY21" s="309" t="s">
        <v>342</v>
      </c>
      <c r="AZ21" s="502">
        <f xml:space="preserve"> (O55 * G21) / (O55 + P55)</f>
        <v>0.65300000000000002</v>
      </c>
      <c r="BB21" s="778"/>
    </row>
    <row r="22" spans="1:86" ht="15" thickBot="1" x14ac:dyDescent="0.35">
      <c r="A22" s="22" t="s">
        <v>6</v>
      </c>
      <c r="B22" s="22" t="s">
        <v>8</v>
      </c>
      <c r="C22" s="22" t="s">
        <v>18</v>
      </c>
      <c r="D22" s="22">
        <v>325.81900000000002</v>
      </c>
      <c r="E22" s="22" t="s">
        <v>9</v>
      </c>
      <c r="F22" s="22">
        <v>25</v>
      </c>
      <c r="G22" s="22" t="s">
        <v>9</v>
      </c>
      <c r="H22" s="2" t="s">
        <v>9</v>
      </c>
      <c r="I22" s="503">
        <f>F22*C5</f>
        <v>54.441989695540371</v>
      </c>
      <c r="J22" s="2"/>
      <c r="K22" s="2"/>
      <c r="L22" s="2"/>
      <c r="M22" s="2"/>
      <c r="P22" s="2"/>
      <c r="R22" s="338"/>
      <c r="S22" s="794"/>
      <c r="T22" s="504" t="s">
        <v>6</v>
      </c>
      <c r="U22" s="505" t="s">
        <v>6</v>
      </c>
      <c r="V22" s="506" t="s">
        <v>6</v>
      </c>
      <c r="W22" s="507" t="s">
        <v>6</v>
      </c>
      <c r="X22" s="508" t="s">
        <v>6</v>
      </c>
      <c r="Y22" s="509" t="s">
        <v>6</v>
      </c>
      <c r="Z22" s="510" t="s">
        <v>6</v>
      </c>
      <c r="AA22" s="511" t="s">
        <v>6</v>
      </c>
      <c r="AC22" s="37"/>
      <c r="AD22" s="765"/>
      <c r="AE22" s="294" t="s">
        <v>3</v>
      </c>
      <c r="AF22" s="478">
        <f>$G$64 * $E$26</f>
        <v>717.28591695328009</v>
      </c>
      <c r="AG22" s="477">
        <v>652</v>
      </c>
      <c r="AH22" s="478">
        <f>$G$65 * $E$26</f>
        <v>703.23828641451371</v>
      </c>
      <c r="AI22" s="477">
        <v>671</v>
      </c>
      <c r="AJ22" s="481">
        <f>$G$66 * $E$26</f>
        <v>693.95460575545019</v>
      </c>
      <c r="AK22" s="479">
        <v>663</v>
      </c>
      <c r="AL22" s="482">
        <f>$G$67 * $E$26</f>
        <v>692.39542392980138</v>
      </c>
      <c r="AM22" s="325">
        <v>415</v>
      </c>
      <c r="AN22" s="478">
        <f>$G$68 * $E$26</f>
        <v>705.7302181458283</v>
      </c>
      <c r="AO22" s="477">
        <v>675</v>
      </c>
      <c r="AP22" s="478">
        <f>$G$69  * $E$26</f>
        <v>703.28489481164229</v>
      </c>
      <c r="AQ22" s="480">
        <v>631</v>
      </c>
      <c r="AR22" s="478">
        <f>$G$76 * $E$26</f>
        <v>721.98165213805726</v>
      </c>
      <c r="AS22" s="477">
        <v>692</v>
      </c>
      <c r="AT22" s="461">
        <f>$G$78 * $E$26</f>
        <v>698.65034094022747</v>
      </c>
      <c r="AU22" s="461">
        <v>668</v>
      </c>
      <c r="BB22" s="778"/>
    </row>
    <row r="23" spans="1:86" x14ac:dyDescent="0.3">
      <c r="N23" s="22" t="s">
        <v>242</v>
      </c>
      <c r="S23" s="793" t="s">
        <v>50</v>
      </c>
      <c r="T23" s="470" t="s">
        <v>224</v>
      </c>
      <c r="U23" s="347" t="s">
        <v>224</v>
      </c>
      <c r="V23" s="471" t="s">
        <v>224</v>
      </c>
      <c r="W23" s="366" t="s">
        <v>224</v>
      </c>
      <c r="X23" s="472" t="s">
        <v>224</v>
      </c>
      <c r="Y23" s="473" t="s">
        <v>224</v>
      </c>
      <c r="Z23" s="474" t="s">
        <v>224</v>
      </c>
      <c r="AA23" s="475" t="s">
        <v>224</v>
      </c>
      <c r="AC23" s="37"/>
      <c r="AD23" s="765"/>
      <c r="AE23" s="294" t="s">
        <v>238</v>
      </c>
      <c r="AF23" s="478">
        <f xml:space="preserve"> ( $E$55 * $G$21 ) + ( $F$55 * $E$26 )</f>
        <v>58.404147044806535</v>
      </c>
      <c r="AG23" s="477">
        <v>60</v>
      </c>
      <c r="AH23" s="478">
        <f xml:space="preserve"> ( $E$55 * $G$21 ) + ( $F$55 * $E$26 )</f>
        <v>58.404147044806535</v>
      </c>
      <c r="AI23" s="477">
        <v>63</v>
      </c>
      <c r="AJ23" s="481">
        <f xml:space="preserve"> ( $E$55 * $G$21 ) + ( $F$55 * $E$26 )</f>
        <v>58.404147044806535</v>
      </c>
      <c r="AK23" s="479">
        <v>63</v>
      </c>
      <c r="AL23" s="482">
        <f xml:space="preserve"> ( $E$55 * $G$21 ) + ( $F$55 * $E$26 )</f>
        <v>58.404147044806535</v>
      </c>
      <c r="AM23" s="325">
        <v>63</v>
      </c>
      <c r="AN23" s="478">
        <f xml:space="preserve"> ( $E$55 * $G$21 ) + ( $F$55 * $E$26 )</f>
        <v>58.404147044806535</v>
      </c>
      <c r="AO23" s="477">
        <v>63</v>
      </c>
      <c r="AP23" s="478">
        <f xml:space="preserve"> ( $E$55 * $G$21 ) + ( $F$55 * $E$26 )</f>
        <v>58.404147044806535</v>
      </c>
      <c r="AQ23" s="480">
        <v>65</v>
      </c>
      <c r="AR23" s="478">
        <f xml:space="preserve"> ( $E$55 * $G$21 ) + ( $F$55 * $E$26 )</f>
        <v>58.404147044806535</v>
      </c>
      <c r="AS23" s="477">
        <v>63</v>
      </c>
      <c r="AT23" s="461">
        <f xml:space="preserve"> ( $E$55 * $G$21 ) + ( $F$55 * $E$26 )</f>
        <v>58.404147044806535</v>
      </c>
      <c r="AU23" s="461">
        <v>62</v>
      </c>
      <c r="BB23" s="778"/>
    </row>
    <row r="24" spans="1:86" x14ac:dyDescent="0.3">
      <c r="F24" s="791" t="s">
        <v>343</v>
      </c>
      <c r="G24" s="791"/>
      <c r="H24" s="779"/>
      <c r="I24" s="779"/>
      <c r="S24" s="793"/>
      <c r="T24" s="449" t="s">
        <v>1</v>
      </c>
      <c r="U24" s="342" t="s">
        <v>2</v>
      </c>
      <c r="V24" s="450" t="s">
        <v>4</v>
      </c>
      <c r="W24" s="359" t="s">
        <v>37</v>
      </c>
      <c r="X24" s="451" t="s">
        <v>12</v>
      </c>
      <c r="Y24" s="452" t="s">
        <v>36</v>
      </c>
      <c r="Z24" s="453" t="s">
        <v>37</v>
      </c>
      <c r="AA24" s="454" t="s">
        <v>4</v>
      </c>
      <c r="AC24" s="37"/>
      <c r="AD24" s="766"/>
      <c r="AE24" s="309" t="s">
        <v>6</v>
      </c>
      <c r="AF24" s="512">
        <f>$I$22</f>
        <v>54.441989695540371</v>
      </c>
      <c r="AG24" s="513">
        <v>54.2</v>
      </c>
      <c r="AH24" s="512">
        <f>$I$22</f>
        <v>54.441989695540371</v>
      </c>
      <c r="AI24" s="513">
        <v>53.6</v>
      </c>
      <c r="AJ24" s="514">
        <f>$I$22</f>
        <v>54.441989695540371</v>
      </c>
      <c r="AK24" s="515">
        <v>53.5</v>
      </c>
      <c r="AL24" s="516">
        <f>$I$22</f>
        <v>54.441989695540371</v>
      </c>
      <c r="AM24" s="368">
        <v>53.9</v>
      </c>
      <c r="AN24" s="512">
        <f>$I$22</f>
        <v>54.441989695540371</v>
      </c>
      <c r="AO24" s="513">
        <v>53.6</v>
      </c>
      <c r="AP24" s="512">
        <f>$I$22</f>
        <v>54.441989695540371</v>
      </c>
      <c r="AQ24" s="517">
        <v>53.8</v>
      </c>
      <c r="AR24" s="512">
        <f>$I$22</f>
        <v>54.441989695540371</v>
      </c>
      <c r="AS24" s="513">
        <v>54.1</v>
      </c>
      <c r="AT24" s="461">
        <f>$I$22</f>
        <v>54.441989695540371</v>
      </c>
      <c r="AU24" s="461">
        <v>53.5</v>
      </c>
      <c r="BB24" s="778"/>
    </row>
    <row r="25" spans="1:86" x14ac:dyDescent="0.3">
      <c r="C25" s="22" t="s">
        <v>14</v>
      </c>
      <c r="D25" s="22" t="s">
        <v>0</v>
      </c>
      <c r="E25" s="22" t="s">
        <v>215</v>
      </c>
      <c r="F25" s="22" t="s">
        <v>26</v>
      </c>
      <c r="G25" s="22" t="s">
        <v>27</v>
      </c>
      <c r="S25" s="793"/>
      <c r="T25" s="449" t="s">
        <v>34</v>
      </c>
      <c r="U25" s="342" t="s">
        <v>34</v>
      </c>
      <c r="V25" s="450" t="s">
        <v>34</v>
      </c>
      <c r="W25" s="359" t="s">
        <v>34</v>
      </c>
      <c r="X25" s="451" t="s">
        <v>34</v>
      </c>
      <c r="Y25" s="452" t="s">
        <v>34</v>
      </c>
      <c r="Z25" s="453" t="s">
        <v>34</v>
      </c>
      <c r="AA25" s="454" t="s">
        <v>75</v>
      </c>
      <c r="AC25" s="37"/>
      <c r="AD25" s="774" t="s">
        <v>49</v>
      </c>
      <c r="AE25" s="334" t="s">
        <v>339</v>
      </c>
      <c r="AF25" s="455">
        <f>$C$5 + ($C$31*$E$26)</f>
        <v>41.477679587821619</v>
      </c>
      <c r="AG25" s="456">
        <v>42</v>
      </c>
      <c r="AH25" s="455">
        <f>$C$5 + ($C$31*$E$26)</f>
        <v>41.477679587821619</v>
      </c>
      <c r="AI25" s="456">
        <v>42</v>
      </c>
      <c r="AJ25" s="457">
        <f>$C$5 + ($C$31*$E$26)</f>
        <v>41.477679587821619</v>
      </c>
      <c r="AK25" s="458">
        <v>45</v>
      </c>
      <c r="AL25" s="459">
        <f>$C$5 + ($C$31*$E$26)</f>
        <v>41.477679587821619</v>
      </c>
      <c r="AM25" s="119">
        <v>42</v>
      </c>
      <c r="AN25" s="455">
        <f>$C$5 + ($C$31*$E$26)</f>
        <v>41.477679587821619</v>
      </c>
      <c r="AO25" s="456">
        <v>42</v>
      </c>
      <c r="AP25" s="455">
        <f>$C$5 + ($C$31*$E$26)</f>
        <v>41.477679587821619</v>
      </c>
      <c r="AQ25" s="460">
        <v>44</v>
      </c>
      <c r="AR25" s="455">
        <f>$C$5 + ($C$31*$E$26)</f>
        <v>41.477679587821619</v>
      </c>
      <c r="AS25" s="456">
        <v>31</v>
      </c>
      <c r="AT25" s="461">
        <f>$C$5 + ($C$31*$E$26)</f>
        <v>41.477679587821619</v>
      </c>
      <c r="AU25" s="461">
        <v>35</v>
      </c>
      <c r="BB25" s="778"/>
      <c r="CB25" s="22">
        <v>350.113</v>
      </c>
    </row>
    <row r="26" spans="1:86" x14ac:dyDescent="0.3">
      <c r="A26" s="22" t="s">
        <v>3</v>
      </c>
      <c r="B26" s="22" t="s">
        <v>160</v>
      </c>
      <c r="E26" s="22">
        <v>0.78600000000000003</v>
      </c>
      <c r="F26" s="22">
        <v>500</v>
      </c>
      <c r="G26" s="22">
        <f t="shared" ref="G26" si="4">E26*F26</f>
        <v>393</v>
      </c>
      <c r="H26" s="2"/>
      <c r="J26" s="2"/>
      <c r="K26" s="2"/>
      <c r="L26" s="2"/>
      <c r="M26" s="2"/>
      <c r="N26" s="2"/>
      <c r="O26" s="2"/>
      <c r="P26" s="2">
        <v>48</v>
      </c>
      <c r="Q26" s="2"/>
      <c r="S26" s="793"/>
      <c r="T26" s="470" t="s">
        <v>3</v>
      </c>
      <c r="U26" s="347" t="s">
        <v>3</v>
      </c>
      <c r="V26" s="471" t="s">
        <v>3</v>
      </c>
      <c r="W26" s="366" t="s">
        <v>3</v>
      </c>
      <c r="X26" s="472" t="s">
        <v>3</v>
      </c>
      <c r="Y26" s="473" t="s">
        <v>3</v>
      </c>
      <c r="Z26" s="474" t="s">
        <v>3</v>
      </c>
      <c r="AA26" s="475" t="s">
        <v>3</v>
      </c>
      <c r="AC26" s="37"/>
      <c r="AD26" s="765"/>
      <c r="AE26" s="463" t="s">
        <v>1</v>
      </c>
      <c r="AF26" s="464">
        <f xml:space="preserve"> ($E$36 * $G$12) + ($F$36 * $E$26)</f>
        <v>52.230866524109558</v>
      </c>
      <c r="AG26" s="465">
        <v>52</v>
      </c>
      <c r="AH26" s="466" t="s">
        <v>9</v>
      </c>
      <c r="AI26" s="465" t="s">
        <v>9</v>
      </c>
      <c r="AJ26" s="467" t="s">
        <v>9</v>
      </c>
      <c r="AK26" s="467" t="s">
        <v>9</v>
      </c>
      <c r="AL26" s="463" t="s">
        <v>9</v>
      </c>
      <c r="AM26" s="468" t="s">
        <v>9</v>
      </c>
      <c r="AN26" s="466" t="s">
        <v>9</v>
      </c>
      <c r="AO26" s="465" t="s">
        <v>9</v>
      </c>
      <c r="AP26" s="469" t="s">
        <v>9</v>
      </c>
      <c r="AQ26" s="469" t="s">
        <v>9</v>
      </c>
      <c r="AR26" s="464">
        <f xml:space="preserve"> ($E$36 * $G$12) + ($F$36 * $E$26)</f>
        <v>52.230866524109558</v>
      </c>
      <c r="AS26" s="465">
        <v>54</v>
      </c>
      <c r="AT26" s="461" t="s">
        <v>9</v>
      </c>
      <c r="AU26" s="461" t="s">
        <v>9</v>
      </c>
      <c r="BB26" s="778"/>
      <c r="CB26" s="21" t="s">
        <v>344</v>
      </c>
    </row>
    <row r="27" spans="1:86" x14ac:dyDescent="0.3">
      <c r="S27" s="793"/>
      <c r="T27" s="470" t="s">
        <v>5</v>
      </c>
      <c r="U27" s="347" t="s">
        <v>5</v>
      </c>
      <c r="V27" s="471" t="s">
        <v>5</v>
      </c>
      <c r="W27" s="366" t="s">
        <v>5</v>
      </c>
      <c r="X27" s="472" t="s">
        <v>5</v>
      </c>
      <c r="Y27" s="473" t="s">
        <v>5</v>
      </c>
      <c r="Z27" s="474" t="s">
        <v>5</v>
      </c>
      <c r="AA27" s="475" t="s">
        <v>5</v>
      </c>
      <c r="AC27" s="37"/>
      <c r="AD27" s="765"/>
      <c r="AE27" s="307" t="s">
        <v>2</v>
      </c>
      <c r="AF27" s="476" t="s">
        <v>9</v>
      </c>
      <c r="AG27" s="477" t="s">
        <v>9</v>
      </c>
      <c r="AH27" s="478">
        <f xml:space="preserve"> ($E$37 * $G$13) + ($F$37 * $E$26)</f>
        <v>70.797325063386694</v>
      </c>
      <c r="AI27" s="477">
        <v>66</v>
      </c>
      <c r="AJ27" s="479" t="s">
        <v>9</v>
      </c>
      <c r="AK27" s="479" t="s">
        <v>9</v>
      </c>
      <c r="AL27" s="307" t="s">
        <v>9</v>
      </c>
      <c r="AM27" s="325" t="s">
        <v>9</v>
      </c>
      <c r="AN27" s="476" t="s">
        <v>9</v>
      </c>
      <c r="AO27" s="477" t="s">
        <v>9</v>
      </c>
      <c r="AP27" s="480" t="s">
        <v>9</v>
      </c>
      <c r="AQ27" s="480" t="s">
        <v>9</v>
      </c>
      <c r="AR27" s="476" t="s">
        <v>9</v>
      </c>
      <c r="AS27" s="477" t="s">
        <v>9</v>
      </c>
      <c r="AT27" s="461" t="s">
        <v>9</v>
      </c>
      <c r="AU27" s="461" t="s">
        <v>9</v>
      </c>
      <c r="BB27" s="778"/>
      <c r="BE27" s="21" t="s">
        <v>345</v>
      </c>
      <c r="BK27" s="21" t="s">
        <v>346</v>
      </c>
      <c r="BO27" s="21" t="s">
        <v>347</v>
      </c>
      <c r="BU27" s="21" t="s">
        <v>348</v>
      </c>
    </row>
    <row r="28" spans="1:86" ht="15" thickBot="1" x14ac:dyDescent="0.35">
      <c r="S28" s="794"/>
      <c r="T28" s="518" t="s">
        <v>6</v>
      </c>
      <c r="U28" s="519" t="s">
        <v>6</v>
      </c>
      <c r="V28" s="520" t="s">
        <v>6</v>
      </c>
      <c r="W28" s="372" t="s">
        <v>6</v>
      </c>
      <c r="X28" s="521" t="s">
        <v>6</v>
      </c>
      <c r="Y28" s="522" t="s">
        <v>6</v>
      </c>
      <c r="Z28" s="523" t="s">
        <v>6</v>
      </c>
      <c r="AA28" s="524" t="s">
        <v>6</v>
      </c>
      <c r="AC28" s="37"/>
      <c r="AD28" s="765"/>
      <c r="AE28" s="307" t="s">
        <v>4</v>
      </c>
      <c r="AF28" s="476" t="s">
        <v>9</v>
      </c>
      <c r="AG28" s="477" t="s">
        <v>9</v>
      </c>
      <c r="AH28" s="476" t="s">
        <v>9</v>
      </c>
      <c r="AI28" s="477" t="s">
        <v>9</v>
      </c>
      <c r="AJ28" s="481">
        <f xml:space="preserve"> ($E$38 * $G$14) + ($F$38 * $E$26)</f>
        <v>83.974859062604551</v>
      </c>
      <c r="AK28" s="479">
        <v>78</v>
      </c>
      <c r="AL28" s="307" t="s">
        <v>9</v>
      </c>
      <c r="AM28" s="325" t="s">
        <v>9</v>
      </c>
      <c r="AN28" s="476" t="s">
        <v>9</v>
      </c>
      <c r="AO28" s="477" t="s">
        <v>9</v>
      </c>
      <c r="AP28" s="480" t="s">
        <v>9</v>
      </c>
      <c r="AQ28" s="480" t="s">
        <v>9</v>
      </c>
      <c r="AR28" s="476" t="s">
        <v>9</v>
      </c>
      <c r="AS28" s="477" t="s">
        <v>9</v>
      </c>
      <c r="AT28" s="461">
        <f xml:space="preserve"> ($E$38 * $G$14) + ($F$38 * $E$26)</f>
        <v>83.974859062604551</v>
      </c>
      <c r="AU28" s="461">
        <v>81</v>
      </c>
      <c r="BB28" s="778"/>
      <c r="BE28" s="22">
        <v>322.10169999999999</v>
      </c>
      <c r="BK28" s="22" t="s">
        <v>171</v>
      </c>
      <c r="BO28" s="22" t="s">
        <v>291</v>
      </c>
      <c r="BU28" s="22" t="s">
        <v>293</v>
      </c>
      <c r="CH28" s="22">
        <v>362.37279999999998</v>
      </c>
    </row>
    <row r="29" spans="1:86" x14ac:dyDescent="0.3">
      <c r="K29" s="22">
        <v>110</v>
      </c>
      <c r="L29" s="22">
        <f>K29*K30</f>
        <v>2525.6240774620942</v>
      </c>
      <c r="M29" s="22">
        <v>104.6</v>
      </c>
      <c r="S29" s="792" t="s">
        <v>51</v>
      </c>
      <c r="T29" s="525" t="s">
        <v>224</v>
      </c>
      <c r="U29" s="526" t="s">
        <v>224</v>
      </c>
      <c r="V29" s="527" t="s">
        <v>224</v>
      </c>
      <c r="W29" s="528" t="s">
        <v>224</v>
      </c>
      <c r="X29" s="529" t="s">
        <v>224</v>
      </c>
      <c r="Y29" s="530" t="s">
        <v>224</v>
      </c>
      <c r="Z29" s="531" t="s">
        <v>224</v>
      </c>
      <c r="AA29" s="532" t="s">
        <v>224</v>
      </c>
      <c r="AC29" s="37"/>
      <c r="AD29" s="765"/>
      <c r="AE29" s="307" t="s">
        <v>12</v>
      </c>
      <c r="AF29" s="476" t="s">
        <v>9</v>
      </c>
      <c r="AG29" s="477" t="s">
        <v>9</v>
      </c>
      <c r="AH29" s="476" t="s">
        <v>9</v>
      </c>
      <c r="AI29" s="477" t="s">
        <v>9</v>
      </c>
      <c r="AJ29" s="479" t="s">
        <v>9</v>
      </c>
      <c r="AK29" s="479" t="s">
        <v>9</v>
      </c>
      <c r="AL29" s="482" t="s">
        <v>9</v>
      </c>
      <c r="AM29" s="325" t="s">
        <v>9</v>
      </c>
      <c r="AN29" s="478">
        <f xml:space="preserve"> ($E$39 * $G$15) + ($F$39 * $E$26)</f>
        <v>89.031980494086355</v>
      </c>
      <c r="AO29" s="477">
        <v>80</v>
      </c>
      <c r="AP29" s="476" t="s">
        <v>9</v>
      </c>
      <c r="AQ29" s="477" t="s">
        <v>9</v>
      </c>
      <c r="AR29" s="476" t="s">
        <v>9</v>
      </c>
      <c r="AS29" s="477" t="s">
        <v>9</v>
      </c>
      <c r="AT29" s="461" t="s">
        <v>9</v>
      </c>
      <c r="AU29" s="461" t="s">
        <v>9</v>
      </c>
      <c r="BB29" s="778"/>
      <c r="BE29" s="22">
        <f>323.11*0.05</f>
        <v>16.1555</v>
      </c>
      <c r="BK29" s="22">
        <f>362.11*0.05</f>
        <v>18.105500000000003</v>
      </c>
      <c r="BO29" s="22" t="s">
        <v>296</v>
      </c>
      <c r="BU29" s="22" t="s">
        <v>298</v>
      </c>
      <c r="CH29" s="21" t="s">
        <v>349</v>
      </c>
    </row>
    <row r="30" spans="1:86" x14ac:dyDescent="0.3">
      <c r="A30" s="22" t="s">
        <v>350</v>
      </c>
      <c r="C30" s="22" t="s">
        <v>351</v>
      </c>
      <c r="E30" s="22" t="s">
        <v>352</v>
      </c>
      <c r="G30" s="22" t="s">
        <v>353</v>
      </c>
      <c r="I30" s="22" t="s">
        <v>354</v>
      </c>
      <c r="K30" s="22">
        <f>I31/G31</f>
        <v>22.960218886019039</v>
      </c>
      <c r="M30" s="22">
        <f>M29*K30</f>
        <v>2401.6388954775912</v>
      </c>
      <c r="S30" s="793"/>
      <c r="T30" s="533" t="s">
        <v>1</v>
      </c>
      <c r="U30" s="534" t="s">
        <v>2</v>
      </c>
      <c r="V30" s="535" t="s">
        <v>4</v>
      </c>
      <c r="W30" s="536" t="s">
        <v>37</v>
      </c>
      <c r="X30" s="537" t="s">
        <v>12</v>
      </c>
      <c r="Y30" s="538" t="s">
        <v>36</v>
      </c>
      <c r="Z30" s="539" t="s">
        <v>2</v>
      </c>
      <c r="AA30" s="540" t="s">
        <v>12</v>
      </c>
      <c r="AC30" s="37"/>
      <c r="AD30" s="765"/>
      <c r="AE30" s="307" t="s">
        <v>36</v>
      </c>
      <c r="AF30" s="476" t="s">
        <v>9</v>
      </c>
      <c r="AG30" s="477" t="s">
        <v>9</v>
      </c>
      <c r="AH30" s="476" t="s">
        <v>9</v>
      </c>
      <c r="AI30" s="477" t="s">
        <v>9</v>
      </c>
      <c r="AJ30" s="479" t="s">
        <v>9</v>
      </c>
      <c r="AK30" s="479" t="s">
        <v>9</v>
      </c>
      <c r="AL30" s="307" t="s">
        <v>9</v>
      </c>
      <c r="AM30" s="325" t="s">
        <v>9</v>
      </c>
      <c r="AN30" s="476" t="s">
        <v>9</v>
      </c>
      <c r="AO30" s="477" t="s">
        <v>9</v>
      </c>
      <c r="AP30" s="478">
        <f xml:space="preserve"> ($E$40 * $G$16) + ($F$40 * $E$26)</f>
        <v>68.208227337659082</v>
      </c>
      <c r="AQ30" s="477">
        <v>59</v>
      </c>
      <c r="AR30" s="476" t="s">
        <v>9</v>
      </c>
      <c r="AS30" s="477" t="s">
        <v>9</v>
      </c>
      <c r="AT30" s="461" t="s">
        <v>9</v>
      </c>
      <c r="AU30" s="461" t="s">
        <v>9</v>
      </c>
      <c r="BO30" s="22" t="s">
        <v>300</v>
      </c>
      <c r="BU30" s="22" t="s">
        <v>302</v>
      </c>
    </row>
    <row r="31" spans="1:86" x14ac:dyDescent="0.3">
      <c r="A31" s="22">
        <f>1*C5</f>
        <v>2.1776795878216149</v>
      </c>
      <c r="B31" s="22" t="s">
        <v>27</v>
      </c>
      <c r="C31" s="541">
        <v>50</v>
      </c>
      <c r="D31" s="22" t="s">
        <v>26</v>
      </c>
      <c r="E31" s="22">
        <f>A31/C31</f>
        <v>4.3553591756432294E-2</v>
      </c>
      <c r="F31" s="22" t="s">
        <v>355</v>
      </c>
      <c r="G31" s="22">
        <f>A31*48</f>
        <v>104.52862021543751</v>
      </c>
      <c r="H31" s="22" t="s">
        <v>27</v>
      </c>
      <c r="I31" s="22">
        <f>C31*48</f>
        <v>2400</v>
      </c>
      <c r="J31" s="22" t="s">
        <v>26</v>
      </c>
      <c r="S31" s="793"/>
      <c r="T31" s="533" t="s">
        <v>7</v>
      </c>
      <c r="U31" s="534" t="s">
        <v>7</v>
      </c>
      <c r="V31" s="535" t="s">
        <v>7</v>
      </c>
      <c r="W31" s="536" t="s">
        <v>7</v>
      </c>
      <c r="X31" s="537" t="s">
        <v>7</v>
      </c>
      <c r="Y31" s="538" t="s">
        <v>7</v>
      </c>
      <c r="Z31" s="539" t="s">
        <v>75</v>
      </c>
      <c r="AA31" s="540" t="s">
        <v>75</v>
      </c>
      <c r="AC31" s="37"/>
      <c r="AD31" s="765"/>
      <c r="AE31" s="491" t="s">
        <v>37</v>
      </c>
      <c r="AF31" s="492" t="s">
        <v>9</v>
      </c>
      <c r="AG31" s="493" t="s">
        <v>9</v>
      </c>
      <c r="AH31" s="492" t="s">
        <v>9</v>
      </c>
      <c r="AI31" s="493" t="s">
        <v>9</v>
      </c>
      <c r="AJ31" s="494" t="s">
        <v>9</v>
      </c>
      <c r="AK31" s="494" t="s">
        <v>9</v>
      </c>
      <c r="AL31" s="495">
        <f xml:space="preserve"> ($E$41 * $G$17) + ($F$41 * $E$26)</f>
        <v>70.717524490313082</v>
      </c>
      <c r="AM31" s="496">
        <v>68</v>
      </c>
      <c r="AN31" s="492" t="s">
        <v>9</v>
      </c>
      <c r="AO31" s="493" t="s">
        <v>9</v>
      </c>
      <c r="AP31" s="497" t="s">
        <v>9</v>
      </c>
      <c r="AQ31" s="498" t="s">
        <v>9</v>
      </c>
      <c r="AR31" s="492" t="s">
        <v>9</v>
      </c>
      <c r="AS31" s="493" t="s">
        <v>9</v>
      </c>
      <c r="AT31" s="461" t="s">
        <v>9</v>
      </c>
      <c r="AU31" s="461" t="s">
        <v>9</v>
      </c>
      <c r="BO31" s="22" t="s">
        <v>304</v>
      </c>
      <c r="BU31" s="22" t="s">
        <v>306</v>
      </c>
    </row>
    <row r="32" spans="1:86" x14ac:dyDescent="0.3">
      <c r="I32" s="22">
        <f>I31/1000</f>
        <v>2.4</v>
      </c>
      <c r="J32" s="22" t="s">
        <v>356</v>
      </c>
      <c r="S32" s="793"/>
      <c r="T32" s="542" t="s">
        <v>3</v>
      </c>
      <c r="U32" s="543" t="s">
        <v>3</v>
      </c>
      <c r="V32" s="544" t="s">
        <v>3</v>
      </c>
      <c r="W32" s="545" t="s">
        <v>3</v>
      </c>
      <c r="X32" s="546" t="s">
        <v>3</v>
      </c>
      <c r="Y32" s="547" t="s">
        <v>3</v>
      </c>
      <c r="Z32" s="548" t="s">
        <v>3</v>
      </c>
      <c r="AA32" s="549" t="s">
        <v>3</v>
      </c>
      <c r="AC32" s="37"/>
      <c r="AD32" s="765"/>
      <c r="AE32" s="294" t="s">
        <v>34</v>
      </c>
      <c r="AF32" s="478">
        <f xml:space="preserve"> ($E$47 * $G$18) + ($F$47 * $E$26)</f>
        <v>61.780300950746387</v>
      </c>
      <c r="AG32" s="477">
        <v>51</v>
      </c>
      <c r="AH32" s="478">
        <f xml:space="preserve"> ($E$47 * $G$18) + ($F$47 * $E$26)</f>
        <v>61.780300950746387</v>
      </c>
      <c r="AI32" s="477">
        <v>58</v>
      </c>
      <c r="AJ32" s="481">
        <f xml:space="preserve"> ($E$47 * $G$18) + ($F$47 * $E$26)</f>
        <v>61.780300950746387</v>
      </c>
      <c r="AK32" s="479">
        <v>61</v>
      </c>
      <c r="AL32" s="482">
        <f xml:space="preserve"> ($E$47 * $G$18) + ($F$47 * $E$26)</f>
        <v>61.780300950746387</v>
      </c>
      <c r="AM32" s="325">
        <v>63</v>
      </c>
      <c r="AN32" s="478">
        <f xml:space="preserve"> ($E$47 * $G$18) + ($F$47 * $E$26)</f>
        <v>61.780300950746387</v>
      </c>
      <c r="AO32" s="477">
        <v>46</v>
      </c>
      <c r="AP32" s="478">
        <f xml:space="preserve"> ($E$47 * $G$18) + ($F$47 * $E$26)</f>
        <v>61.780300950746387</v>
      </c>
      <c r="AQ32" s="480">
        <v>48</v>
      </c>
      <c r="AR32" s="476" t="s">
        <v>9</v>
      </c>
      <c r="AS32" s="477" t="s">
        <v>9</v>
      </c>
      <c r="AT32" s="461" t="s">
        <v>9</v>
      </c>
      <c r="AU32" s="461" t="s">
        <v>9</v>
      </c>
    </row>
    <row r="33" spans="1:89" x14ac:dyDescent="0.3">
      <c r="S33" s="793"/>
      <c r="T33" s="542" t="s">
        <v>5</v>
      </c>
      <c r="U33" s="543" t="s">
        <v>5</v>
      </c>
      <c r="V33" s="544" t="s">
        <v>5</v>
      </c>
      <c r="W33" s="545" t="s">
        <v>5</v>
      </c>
      <c r="X33" s="546" t="s">
        <v>5</v>
      </c>
      <c r="Y33" s="547" t="s">
        <v>5</v>
      </c>
      <c r="Z33" s="548" t="s">
        <v>5</v>
      </c>
      <c r="AA33" s="549" t="s">
        <v>5</v>
      </c>
      <c r="AC33" s="37"/>
      <c r="AD33" s="765"/>
      <c r="AE33" s="294" t="s">
        <v>7</v>
      </c>
      <c r="AF33" s="476" t="s">
        <v>9</v>
      </c>
      <c r="AG33" s="477" t="s">
        <v>9</v>
      </c>
      <c r="AH33" s="476" t="s">
        <v>9</v>
      </c>
      <c r="AI33" s="477" t="s">
        <v>9</v>
      </c>
      <c r="AJ33" s="479" t="s">
        <v>9</v>
      </c>
      <c r="AK33" s="479" t="s">
        <v>9</v>
      </c>
      <c r="AL33" s="307" t="s">
        <v>9</v>
      </c>
      <c r="AM33" s="325" t="s">
        <v>9</v>
      </c>
      <c r="AN33" s="476" t="s">
        <v>9</v>
      </c>
      <c r="AO33" s="477" t="s">
        <v>9</v>
      </c>
      <c r="AP33" s="480" t="s">
        <v>9</v>
      </c>
      <c r="AQ33" s="480" t="s">
        <v>9</v>
      </c>
      <c r="AR33" s="476" t="s">
        <v>9</v>
      </c>
      <c r="AS33" s="477" t="s">
        <v>9</v>
      </c>
      <c r="AT33" s="461" t="s">
        <v>9</v>
      </c>
      <c r="AU33" s="461" t="s">
        <v>9</v>
      </c>
    </row>
    <row r="34" spans="1:89" ht="15" customHeight="1" thickBot="1" x14ac:dyDescent="0.35">
      <c r="A34" s="22" t="s">
        <v>357</v>
      </c>
      <c r="I34" s="22" t="s">
        <v>22</v>
      </c>
      <c r="L34" s="550" t="s">
        <v>358</v>
      </c>
      <c r="M34" s="434"/>
      <c r="N34" s="551"/>
      <c r="S34" s="794"/>
      <c r="T34" s="542" t="s">
        <v>6</v>
      </c>
      <c r="U34" s="543" t="s">
        <v>6</v>
      </c>
      <c r="V34" s="544" t="s">
        <v>6</v>
      </c>
      <c r="W34" s="545" t="s">
        <v>6</v>
      </c>
      <c r="X34" s="546" t="s">
        <v>6</v>
      </c>
      <c r="Y34" s="547" t="s">
        <v>6</v>
      </c>
      <c r="Z34" s="548" t="s">
        <v>6</v>
      </c>
      <c r="AA34" s="549" t="s">
        <v>6</v>
      </c>
      <c r="AC34" s="37"/>
      <c r="AD34" s="765"/>
      <c r="AE34" s="294" t="s">
        <v>75</v>
      </c>
      <c r="AF34" s="476" t="s">
        <v>9</v>
      </c>
      <c r="AG34" s="477" t="s">
        <v>9</v>
      </c>
      <c r="AH34" s="476" t="s">
        <v>9</v>
      </c>
      <c r="AI34" s="477" t="s">
        <v>9</v>
      </c>
      <c r="AJ34" s="479" t="s">
        <v>9</v>
      </c>
      <c r="AK34" s="479" t="s">
        <v>9</v>
      </c>
      <c r="AL34" s="307" t="s">
        <v>9</v>
      </c>
      <c r="AM34" s="325" t="s">
        <v>9</v>
      </c>
      <c r="AN34" s="476" t="s">
        <v>9</v>
      </c>
      <c r="AO34" s="477" t="s">
        <v>9</v>
      </c>
      <c r="AP34" s="480" t="s">
        <v>9</v>
      </c>
      <c r="AQ34" s="480" t="s">
        <v>9</v>
      </c>
      <c r="AR34" s="478">
        <f xml:space="preserve"> ($E$49 * $G$20) + ($F$49 * $E$26)</f>
        <v>56.363481612451693</v>
      </c>
      <c r="AS34" s="477">
        <v>58</v>
      </c>
      <c r="AT34" s="461">
        <f xml:space="preserve"> ($E$49 * $G$20) + ($F$49 * $E$26)</f>
        <v>56.363481612451693</v>
      </c>
      <c r="AU34" s="461">
        <v>55</v>
      </c>
    </row>
    <row r="35" spans="1:89" x14ac:dyDescent="0.3">
      <c r="C35" s="22" t="s">
        <v>214</v>
      </c>
      <c r="D35" s="22" t="s">
        <v>359</v>
      </c>
      <c r="E35" s="22" t="s">
        <v>360</v>
      </c>
      <c r="F35" s="22" t="s">
        <v>361</v>
      </c>
      <c r="G35" s="22" t="s">
        <v>362</v>
      </c>
      <c r="H35" s="22" t="s">
        <v>363</v>
      </c>
      <c r="I35" s="22" t="s">
        <v>364</v>
      </c>
      <c r="J35" s="22" t="s">
        <v>365</v>
      </c>
      <c r="K35" s="22" t="s">
        <v>366</v>
      </c>
      <c r="L35" s="552" t="s">
        <v>367</v>
      </c>
      <c r="M35" s="22" t="s">
        <v>365</v>
      </c>
      <c r="N35" s="553" t="s">
        <v>366</v>
      </c>
      <c r="S35" s="793" t="s">
        <v>52</v>
      </c>
      <c r="T35" s="554" t="s">
        <v>224</v>
      </c>
      <c r="U35" s="555" t="s">
        <v>224</v>
      </c>
      <c r="V35" s="556" t="s">
        <v>224</v>
      </c>
      <c r="W35" s="557" t="s">
        <v>224</v>
      </c>
      <c r="X35" s="558" t="s">
        <v>224</v>
      </c>
      <c r="Y35" s="559" t="s">
        <v>224</v>
      </c>
      <c r="Z35" s="560" t="s">
        <v>224</v>
      </c>
      <c r="AA35" s="561" t="s">
        <v>224</v>
      </c>
      <c r="AC35" s="37"/>
      <c r="AD35" s="765"/>
      <c r="AE35" s="562" t="s">
        <v>3</v>
      </c>
      <c r="AF35" s="563">
        <f>$G$64 * $E$26</f>
        <v>717.28591695328009</v>
      </c>
      <c r="AG35" s="564">
        <v>708</v>
      </c>
      <c r="AH35" s="563">
        <f>$G$65 * $E$26</f>
        <v>703.23828641451371</v>
      </c>
      <c r="AI35" s="564">
        <v>694</v>
      </c>
      <c r="AJ35" s="565">
        <f>$G$66 * $E$26</f>
        <v>693.95460575545019</v>
      </c>
      <c r="AK35" s="566">
        <v>685</v>
      </c>
      <c r="AL35" s="567">
        <f>$G$67 * $E$26</f>
        <v>692.39542392980138</v>
      </c>
      <c r="AM35" s="568">
        <v>682</v>
      </c>
      <c r="AN35" s="563">
        <f>$G$68 * $E$26</f>
        <v>705.7302181458283</v>
      </c>
      <c r="AO35" s="564">
        <v>696</v>
      </c>
      <c r="AP35" s="563">
        <f>$G$69  * $E$26</f>
        <v>703.28489481164229</v>
      </c>
      <c r="AQ35" s="569">
        <v>694</v>
      </c>
      <c r="AR35" s="563">
        <f>$G$76 * $E$26</f>
        <v>721.98165213805726</v>
      </c>
      <c r="AS35" s="564">
        <v>711</v>
      </c>
      <c r="AT35" s="461">
        <f>$G$78 * $E$26</f>
        <v>698.65034094022747</v>
      </c>
      <c r="AU35" s="461">
        <v>688</v>
      </c>
    </row>
    <row r="36" spans="1:89" x14ac:dyDescent="0.3">
      <c r="A36" s="22" t="s">
        <v>1</v>
      </c>
      <c r="B36" s="22" t="s">
        <v>10</v>
      </c>
      <c r="C36" s="22">
        <f>D12*E12</f>
        <v>4.8040000000000003</v>
      </c>
      <c r="D36" s="22">
        <f t="shared" ref="D36:D41" si="5">C36*C$5</f>
        <v>10.461572739895038</v>
      </c>
      <c r="E36" s="22">
        <f>D36*G12</f>
        <v>12.135424378278243</v>
      </c>
      <c r="F36" s="22">
        <f>E36*(C$43-1)</f>
        <v>48.541697513112972</v>
      </c>
      <c r="G36" s="503">
        <f>E36+F36</f>
        <v>60.677121891391216</v>
      </c>
      <c r="H36" s="22">
        <v>9</v>
      </c>
      <c r="I36" s="22">
        <f>E36*H36</f>
        <v>109.21881940450419</v>
      </c>
      <c r="J36" s="22">
        <f>F36*H36</f>
        <v>436.87527761801675</v>
      </c>
      <c r="K36" s="22">
        <f>I36+J36</f>
        <v>546.09409702252094</v>
      </c>
      <c r="L36" s="570">
        <f>I36*2</f>
        <v>218.43763880900838</v>
      </c>
      <c r="M36" s="338">
        <f t="shared" ref="M36:N41" si="6">J36*2</f>
        <v>873.75055523603351</v>
      </c>
      <c r="N36" s="571">
        <f t="shared" si="6"/>
        <v>1092.1881940450419</v>
      </c>
      <c r="S36" s="793"/>
      <c r="T36" s="533" t="s">
        <v>1</v>
      </c>
      <c r="U36" s="534" t="s">
        <v>2</v>
      </c>
      <c r="V36" s="535" t="s">
        <v>4</v>
      </c>
      <c r="W36" s="536" t="s">
        <v>37</v>
      </c>
      <c r="X36" s="537" t="s">
        <v>12</v>
      </c>
      <c r="Y36" s="538" t="s">
        <v>36</v>
      </c>
      <c r="Z36" s="539" t="s">
        <v>2</v>
      </c>
      <c r="AA36" s="540" t="s">
        <v>12</v>
      </c>
      <c r="AC36" s="37"/>
      <c r="AD36" s="765"/>
      <c r="AE36" s="294" t="s">
        <v>238</v>
      </c>
      <c r="AF36" s="478">
        <f xml:space="preserve"> ( $E$55 * $G$21 ) + ( $F$55 * $E$26 )</f>
        <v>58.404147044806535</v>
      </c>
      <c r="AG36" s="477">
        <v>69</v>
      </c>
      <c r="AH36" s="478">
        <f xml:space="preserve"> ( $E$55 * $G$21 ) + ( $F$55 * $E$26 )</f>
        <v>58.404147044806535</v>
      </c>
      <c r="AI36" s="477">
        <v>64</v>
      </c>
      <c r="AJ36" s="481">
        <f xml:space="preserve"> ( $E$55 * $G$21 ) + ( $F$55 * $E$26 )</f>
        <v>58.404147044806535</v>
      </c>
      <c r="AK36" s="479">
        <v>64</v>
      </c>
      <c r="AL36" s="482">
        <f xml:space="preserve"> ( $E$55 * $G$21 ) + ( $F$55 * $E$26 )</f>
        <v>58.404147044806535</v>
      </c>
      <c r="AM36" s="325">
        <v>62</v>
      </c>
      <c r="AN36" s="478">
        <f xml:space="preserve"> ( $E$55 * $G$21 ) + ( $F$55 * $E$26 )</f>
        <v>58.404147044806535</v>
      </c>
      <c r="AO36" s="477">
        <v>65</v>
      </c>
      <c r="AP36" s="478">
        <f xml:space="preserve"> ( $E$55 * $G$21 ) + ( $F$55 * $E$26 )</f>
        <v>58.404147044806535</v>
      </c>
      <c r="AQ36" s="480">
        <v>63</v>
      </c>
      <c r="AR36" s="478">
        <f xml:space="preserve"> ( $E$55 * $G$21 ) + ( $F$55 * $E$26 )</f>
        <v>58.404147044806535</v>
      </c>
      <c r="AS36" s="477">
        <v>64</v>
      </c>
      <c r="AT36" s="461">
        <f xml:space="preserve"> ( $E$55 * $G$21 ) + ( $F$55 * $E$26 )</f>
        <v>58.404147044806535</v>
      </c>
      <c r="AU36" s="461">
        <v>65</v>
      </c>
    </row>
    <row r="37" spans="1:89" x14ac:dyDescent="0.3">
      <c r="A37" s="22" t="s">
        <v>2</v>
      </c>
      <c r="B37" s="22" t="s">
        <v>73</v>
      </c>
      <c r="C37" s="22">
        <f t="shared" ref="C37:C41" si="7">D13*E13</f>
        <v>6.807500000000001</v>
      </c>
      <c r="D37" s="22">
        <f t="shared" si="5"/>
        <v>14.824553794095646</v>
      </c>
      <c r="E37" s="22">
        <f t="shared" ref="E37:E41" si="8">D37*G13</f>
        <v>16.603500249387125</v>
      </c>
      <c r="F37" s="22">
        <f t="shared" ref="F37:F41" si="9">E37*(C$43-1)</f>
        <v>66.414000997548499</v>
      </c>
      <c r="G37" s="503">
        <f t="shared" ref="G37:G41" si="10">E37+F37</f>
        <v>83.017501246935623</v>
      </c>
      <c r="H37" s="22">
        <v>9</v>
      </c>
      <c r="I37" s="22">
        <f t="shared" ref="I37:I41" si="11">E37*H37</f>
        <v>149.43150224448414</v>
      </c>
      <c r="J37" s="22">
        <f t="shared" ref="J37:J41" si="12">F37*H37</f>
        <v>597.72600897793654</v>
      </c>
      <c r="K37" s="22">
        <f t="shared" ref="K37:K41" si="13">I37+J37</f>
        <v>747.15751122242068</v>
      </c>
      <c r="L37" s="570">
        <f t="shared" ref="L37:L39" si="14">I37*2</f>
        <v>298.86300448896827</v>
      </c>
      <c r="M37" s="338">
        <f t="shared" si="6"/>
        <v>1195.4520179558731</v>
      </c>
      <c r="N37" s="571">
        <f t="shared" si="6"/>
        <v>1494.3150224448414</v>
      </c>
      <c r="S37" s="793"/>
      <c r="T37" s="533" t="s">
        <v>7</v>
      </c>
      <c r="U37" s="534" t="s">
        <v>7</v>
      </c>
      <c r="V37" s="535" t="s">
        <v>7</v>
      </c>
      <c r="W37" s="536" t="s">
        <v>7</v>
      </c>
      <c r="X37" s="537" t="s">
        <v>7</v>
      </c>
      <c r="Y37" s="538" t="s">
        <v>7</v>
      </c>
      <c r="Z37" s="539" t="s">
        <v>75</v>
      </c>
      <c r="AA37" s="540" t="s">
        <v>75</v>
      </c>
      <c r="AC37" s="37"/>
      <c r="AD37" s="766"/>
      <c r="AE37" s="309" t="s">
        <v>6</v>
      </c>
      <c r="AF37" s="512">
        <f>$I$22</f>
        <v>54.441989695540371</v>
      </c>
      <c r="AG37" s="513">
        <v>54.7</v>
      </c>
      <c r="AH37" s="512">
        <f>$I$22</f>
        <v>54.441989695540371</v>
      </c>
      <c r="AI37" s="513">
        <v>53.8</v>
      </c>
      <c r="AJ37" s="514">
        <f>$I$22</f>
        <v>54.441989695540371</v>
      </c>
      <c r="AK37" s="515">
        <v>53.5</v>
      </c>
      <c r="AL37" s="516">
        <f>$I$22</f>
        <v>54.441989695540371</v>
      </c>
      <c r="AM37" s="368">
        <v>53.7</v>
      </c>
      <c r="AN37" s="512">
        <f>$I$22</f>
        <v>54.441989695540371</v>
      </c>
      <c r="AO37" s="513">
        <v>53.5</v>
      </c>
      <c r="AP37" s="512">
        <f>$I$22</f>
        <v>54.441989695540371</v>
      </c>
      <c r="AQ37" s="517">
        <v>53.5</v>
      </c>
      <c r="AR37" s="512">
        <f>$I$22</f>
        <v>54.441989695540371</v>
      </c>
      <c r="AS37" s="513">
        <v>53.8</v>
      </c>
      <c r="AT37" s="461">
        <f>$I$22</f>
        <v>54.441989695540371</v>
      </c>
      <c r="AU37" s="461">
        <v>53.8</v>
      </c>
    </row>
    <row r="38" spans="1:89" x14ac:dyDescent="0.3">
      <c r="A38" s="22" t="s">
        <v>4</v>
      </c>
      <c r="B38" s="22" t="s">
        <v>227</v>
      </c>
      <c r="C38" s="22">
        <f t="shared" si="7"/>
        <v>7.8090000000000011</v>
      </c>
      <c r="D38" s="22">
        <f t="shared" si="5"/>
        <v>17.005499901298993</v>
      </c>
      <c r="E38" s="22">
        <f t="shared" si="8"/>
        <v>19.55632488649384</v>
      </c>
      <c r="F38" s="22">
        <f>E38*(C$43-1)</f>
        <v>78.225299545975361</v>
      </c>
      <c r="G38" s="503">
        <f t="shared" si="10"/>
        <v>97.781624432469201</v>
      </c>
      <c r="H38" s="22">
        <v>9</v>
      </c>
      <c r="I38" s="22">
        <f t="shared" si="11"/>
        <v>176.00692397844455</v>
      </c>
      <c r="J38" s="22">
        <f t="shared" si="12"/>
        <v>704.02769591377819</v>
      </c>
      <c r="K38" s="22">
        <f t="shared" si="13"/>
        <v>880.03461989222274</v>
      </c>
      <c r="L38" s="570">
        <f t="shared" si="14"/>
        <v>352.01384795688909</v>
      </c>
      <c r="M38" s="338">
        <f t="shared" si="6"/>
        <v>1408.0553918275564</v>
      </c>
      <c r="N38" s="571">
        <f t="shared" si="6"/>
        <v>1760.0692397844455</v>
      </c>
      <c r="S38" s="793"/>
      <c r="T38" s="542" t="s">
        <v>3</v>
      </c>
      <c r="U38" s="543" t="s">
        <v>3</v>
      </c>
      <c r="V38" s="544" t="s">
        <v>3</v>
      </c>
      <c r="W38" s="545" t="s">
        <v>3</v>
      </c>
      <c r="X38" s="546" t="s">
        <v>3</v>
      </c>
      <c r="Y38" s="547" t="s">
        <v>3</v>
      </c>
      <c r="Z38" s="548" t="s">
        <v>3</v>
      </c>
      <c r="AA38" s="549" t="s">
        <v>3</v>
      </c>
      <c r="AC38" s="37"/>
      <c r="AD38" s="774" t="s">
        <v>50</v>
      </c>
      <c r="AE38" s="334" t="s">
        <v>339</v>
      </c>
      <c r="AF38" s="455">
        <f>$C$5 + ($C$31*$E$26)</f>
        <v>41.477679587821619</v>
      </c>
      <c r="AG38" s="456">
        <v>30</v>
      </c>
      <c r="AH38" s="455">
        <f>$C$5 + ($C$31*$E$26)</f>
        <v>41.477679587821619</v>
      </c>
      <c r="AI38" s="456">
        <v>29</v>
      </c>
      <c r="AJ38" s="457">
        <f>$C$5 + ($C$31*$E$26)</f>
        <v>41.477679587821619</v>
      </c>
      <c r="AK38" s="458">
        <v>31</v>
      </c>
      <c r="AL38" s="459">
        <f>$C$5 + ($C$31*$E$26)</f>
        <v>41.477679587821619</v>
      </c>
      <c r="AM38" s="119">
        <v>31</v>
      </c>
      <c r="AN38" s="455">
        <f>$C$5 + ($C$31*$E$26)</f>
        <v>41.477679587821619</v>
      </c>
      <c r="AO38" s="456">
        <v>32</v>
      </c>
      <c r="AP38" s="455">
        <f>$C$5 + ($C$31*$E$26)</f>
        <v>41.477679587821619</v>
      </c>
      <c r="AQ38" s="460">
        <v>33</v>
      </c>
      <c r="AR38" s="455">
        <f>$C$5 + ($C$31*$E$26)</f>
        <v>41.477679587821619</v>
      </c>
      <c r="AS38" s="456">
        <v>32</v>
      </c>
      <c r="AT38" s="338">
        <f>$C$5 + ($C$31*$E$26)</f>
        <v>41.477679587821619</v>
      </c>
      <c r="AU38" s="338">
        <v>35</v>
      </c>
      <c r="AX38" s="624"/>
      <c r="AY38" s="624"/>
      <c r="AZ38" s="626"/>
      <c r="BA38" s="163"/>
    </row>
    <row r="39" spans="1:89" x14ac:dyDescent="0.3">
      <c r="A39" s="22" t="s">
        <v>12</v>
      </c>
      <c r="B39" s="22" t="s">
        <v>13</v>
      </c>
      <c r="C39" s="22">
        <f t="shared" si="7"/>
        <v>7.1050000000000004</v>
      </c>
      <c r="D39" s="22">
        <f t="shared" si="5"/>
        <v>15.472413471472574</v>
      </c>
      <c r="E39" s="22">
        <f t="shared" si="8"/>
        <v>20.052247859028459</v>
      </c>
      <c r="F39" s="22">
        <f t="shared" si="9"/>
        <v>80.208991436113834</v>
      </c>
      <c r="G39" s="503">
        <f t="shared" si="10"/>
        <v>100.26123929514229</v>
      </c>
      <c r="H39" s="22">
        <v>9</v>
      </c>
      <c r="I39" s="22">
        <f t="shared" si="11"/>
        <v>180.47023073125612</v>
      </c>
      <c r="J39" s="22">
        <f t="shared" si="12"/>
        <v>721.88092292502449</v>
      </c>
      <c r="K39" s="22">
        <f t="shared" si="13"/>
        <v>902.35115365628064</v>
      </c>
      <c r="L39" s="570">
        <f t="shared" si="14"/>
        <v>360.94046146251225</v>
      </c>
      <c r="M39" s="338">
        <f>J39*2</f>
        <v>1443.761845850049</v>
      </c>
      <c r="N39" s="571">
        <f t="shared" si="6"/>
        <v>1804.7023073125613</v>
      </c>
      <c r="S39" s="793"/>
      <c r="T39" s="542" t="s">
        <v>5</v>
      </c>
      <c r="U39" s="543" t="s">
        <v>5</v>
      </c>
      <c r="V39" s="544" t="s">
        <v>5</v>
      </c>
      <c r="W39" s="545" t="s">
        <v>5</v>
      </c>
      <c r="X39" s="546" t="s">
        <v>5</v>
      </c>
      <c r="Y39" s="547" t="s">
        <v>5</v>
      </c>
      <c r="Z39" s="548" t="s">
        <v>5</v>
      </c>
      <c r="AA39" s="549" t="s">
        <v>5</v>
      </c>
      <c r="AC39" s="37"/>
      <c r="AD39" s="765"/>
      <c r="AE39" s="463" t="s">
        <v>1</v>
      </c>
      <c r="AF39" s="464">
        <f xml:space="preserve"> ($E$36 * $G$12) + ($F$36 * $E$26)</f>
        <v>52.230866524109558</v>
      </c>
      <c r="AG39" s="465">
        <v>54</v>
      </c>
      <c r="AH39" s="466" t="s">
        <v>9</v>
      </c>
      <c r="AI39" s="465" t="s">
        <v>9</v>
      </c>
      <c r="AJ39" s="467" t="s">
        <v>9</v>
      </c>
      <c r="AK39" s="467" t="s">
        <v>9</v>
      </c>
      <c r="AL39" s="463" t="s">
        <v>9</v>
      </c>
      <c r="AM39" s="468" t="s">
        <v>9</v>
      </c>
      <c r="AN39" s="466" t="s">
        <v>9</v>
      </c>
      <c r="AO39" s="465" t="s">
        <v>9</v>
      </c>
      <c r="AP39" s="469" t="s">
        <v>9</v>
      </c>
      <c r="AQ39" s="469" t="s">
        <v>9</v>
      </c>
      <c r="AR39" s="464">
        <f xml:space="preserve"> ($E$36 * $G$12) + ($F$36 * $E$26)</f>
        <v>52.230866524109558</v>
      </c>
      <c r="AS39" s="465">
        <v>48</v>
      </c>
      <c r="AT39" s="338" t="s">
        <v>9</v>
      </c>
      <c r="AU39" s="338" t="s">
        <v>9</v>
      </c>
      <c r="AX39" s="624"/>
      <c r="AY39" s="624"/>
      <c r="AZ39" s="626"/>
      <c r="BA39" s="163"/>
      <c r="BB39" s="797" t="s">
        <v>368</v>
      </c>
      <c r="BC39" s="791" t="s">
        <v>169</v>
      </c>
      <c r="BD39" s="791"/>
      <c r="BE39" s="791"/>
      <c r="BF39" s="791"/>
      <c r="BG39" s="791"/>
      <c r="BI39" s="791" t="s">
        <v>334</v>
      </c>
      <c r="BJ39" s="791"/>
      <c r="BK39" s="791"/>
      <c r="BL39" s="791"/>
      <c r="BM39" s="791"/>
      <c r="BO39" s="791" t="s">
        <v>335</v>
      </c>
      <c r="BP39" s="791"/>
      <c r="BQ39" s="791"/>
      <c r="BR39" s="791"/>
      <c r="BS39" s="791"/>
      <c r="BU39" s="791" t="s">
        <v>336</v>
      </c>
      <c r="BV39" s="791"/>
      <c r="BW39" s="791"/>
      <c r="BX39" s="791"/>
      <c r="BY39" s="791"/>
      <c r="CA39" s="791" t="s">
        <v>337</v>
      </c>
      <c r="CB39" s="791"/>
      <c r="CC39" s="791"/>
      <c r="CD39" s="791"/>
      <c r="CE39" s="791"/>
      <c r="CG39" s="791" t="s">
        <v>338</v>
      </c>
      <c r="CH39" s="791"/>
      <c r="CI39" s="791"/>
      <c r="CJ39" s="791"/>
      <c r="CK39" s="791"/>
    </row>
    <row r="40" spans="1:89" ht="15" thickBot="1" x14ac:dyDescent="0.35">
      <c r="A40" s="22" t="s">
        <v>36</v>
      </c>
      <c r="B40" s="22" t="s">
        <v>24</v>
      </c>
      <c r="C40" s="22">
        <f t="shared" si="7"/>
        <v>6.2055000000000007</v>
      </c>
      <c r="D40" s="22">
        <f t="shared" si="5"/>
        <v>13.513590682227033</v>
      </c>
      <c r="E40" s="22">
        <f t="shared" si="8"/>
        <v>15.810901098205628</v>
      </c>
      <c r="F40" s="22">
        <f t="shared" si="9"/>
        <v>63.243604392822512</v>
      </c>
      <c r="G40" s="503">
        <f t="shared" si="10"/>
        <v>79.054505491028138</v>
      </c>
      <c r="H40" s="22">
        <v>6</v>
      </c>
      <c r="I40" s="22">
        <f t="shared" si="11"/>
        <v>94.865406589233771</v>
      </c>
      <c r="J40" s="22">
        <f t="shared" si="12"/>
        <v>379.46162635693508</v>
      </c>
      <c r="K40" s="22">
        <f t="shared" si="13"/>
        <v>474.32703294616886</v>
      </c>
      <c r="L40" s="570">
        <f>I40*2</f>
        <v>189.73081317846754</v>
      </c>
      <c r="M40" s="338">
        <f t="shared" si="6"/>
        <v>758.92325271387017</v>
      </c>
      <c r="N40" s="571">
        <f t="shared" si="6"/>
        <v>948.65406589233771</v>
      </c>
      <c r="S40" s="793"/>
      <c r="T40" s="572" t="s">
        <v>6</v>
      </c>
      <c r="U40" s="573" t="s">
        <v>6</v>
      </c>
      <c r="V40" s="574" t="s">
        <v>6</v>
      </c>
      <c r="W40" s="575" t="s">
        <v>6</v>
      </c>
      <c r="X40" s="576" t="s">
        <v>6</v>
      </c>
      <c r="Y40" s="577" t="s">
        <v>6</v>
      </c>
      <c r="Z40" s="578" t="s">
        <v>6</v>
      </c>
      <c r="AA40" s="579" t="s">
        <v>6</v>
      </c>
      <c r="AC40" s="37"/>
      <c r="AD40" s="765"/>
      <c r="AE40" s="307" t="s">
        <v>2</v>
      </c>
      <c r="AF40" s="476" t="s">
        <v>9</v>
      </c>
      <c r="AG40" s="477" t="s">
        <v>9</v>
      </c>
      <c r="AH40" s="478">
        <f xml:space="preserve"> ($E$37 * $G$13) + ($F$37 * $E$26)</f>
        <v>70.797325063386694</v>
      </c>
      <c r="AI40" s="477">
        <v>66</v>
      </c>
      <c r="AJ40" s="479" t="s">
        <v>9</v>
      </c>
      <c r="AK40" s="479" t="s">
        <v>9</v>
      </c>
      <c r="AL40" s="307" t="s">
        <v>9</v>
      </c>
      <c r="AM40" s="325" t="s">
        <v>9</v>
      </c>
      <c r="AN40" s="476" t="s">
        <v>9</v>
      </c>
      <c r="AO40" s="477" t="s">
        <v>9</v>
      </c>
      <c r="AP40" s="480" t="s">
        <v>9</v>
      </c>
      <c r="AQ40" s="480" t="s">
        <v>9</v>
      </c>
      <c r="AR40" s="476" t="s">
        <v>9</v>
      </c>
      <c r="AS40" s="477" t="s">
        <v>9</v>
      </c>
      <c r="AT40" s="338" t="s">
        <v>9</v>
      </c>
      <c r="AU40" s="338" t="s">
        <v>9</v>
      </c>
      <c r="AX40" s="624"/>
      <c r="AY40" s="624"/>
      <c r="AZ40" s="626"/>
      <c r="BA40" s="163"/>
      <c r="BB40" s="797"/>
    </row>
    <row r="41" spans="1:89" x14ac:dyDescent="0.3">
      <c r="A41" s="22" t="s">
        <v>37</v>
      </c>
      <c r="B41" s="22" t="s">
        <v>25</v>
      </c>
      <c r="C41" s="22">
        <f t="shared" si="7"/>
        <v>6.807500000000001</v>
      </c>
      <c r="D41" s="22">
        <f t="shared" si="5"/>
        <v>14.824553794095646</v>
      </c>
      <c r="E41" s="22">
        <f t="shared" si="8"/>
        <v>16.588675695593029</v>
      </c>
      <c r="F41" s="22">
        <f t="shared" si="9"/>
        <v>66.354702782372115</v>
      </c>
      <c r="G41" s="503">
        <f t="shared" si="10"/>
        <v>82.94337847796514</v>
      </c>
      <c r="H41" s="22">
        <v>6</v>
      </c>
      <c r="I41" s="22">
        <f t="shared" si="11"/>
        <v>99.53205417355818</v>
      </c>
      <c r="J41" s="22">
        <f t="shared" si="12"/>
        <v>398.12821669423272</v>
      </c>
      <c r="K41" s="22">
        <f t="shared" si="13"/>
        <v>497.66027086779093</v>
      </c>
      <c r="L41" s="580">
        <f>I41*2</f>
        <v>199.06410834711636</v>
      </c>
      <c r="M41" s="581">
        <f t="shared" si="6"/>
        <v>796.25643338846544</v>
      </c>
      <c r="N41" s="582">
        <f t="shared" si="6"/>
        <v>995.32054173558186</v>
      </c>
      <c r="S41" s="792" t="s">
        <v>53</v>
      </c>
      <c r="T41" s="542" t="s">
        <v>224</v>
      </c>
      <c r="U41" s="543" t="s">
        <v>224</v>
      </c>
      <c r="V41" s="544" t="s">
        <v>224</v>
      </c>
      <c r="W41" s="545" t="s">
        <v>224</v>
      </c>
      <c r="X41" s="546" t="s">
        <v>224</v>
      </c>
      <c r="Y41" s="547" t="s">
        <v>224</v>
      </c>
      <c r="Z41" s="548" t="s">
        <v>224</v>
      </c>
      <c r="AA41" s="549" t="s">
        <v>224</v>
      </c>
      <c r="AC41" s="37"/>
      <c r="AD41" s="765"/>
      <c r="AE41" s="307" t="s">
        <v>4</v>
      </c>
      <c r="AF41" s="476" t="s">
        <v>9</v>
      </c>
      <c r="AG41" s="477" t="s">
        <v>9</v>
      </c>
      <c r="AH41" s="476" t="s">
        <v>9</v>
      </c>
      <c r="AI41" s="477" t="s">
        <v>9</v>
      </c>
      <c r="AJ41" s="481">
        <f xml:space="preserve"> ($E$38 * $G$14) + ($F$38 * $E$26)</f>
        <v>83.974859062604551</v>
      </c>
      <c r="AK41" s="479">
        <v>78</v>
      </c>
      <c r="AL41" s="307" t="s">
        <v>9</v>
      </c>
      <c r="AM41" s="325" t="s">
        <v>9</v>
      </c>
      <c r="AN41" s="476" t="s">
        <v>9</v>
      </c>
      <c r="AO41" s="477" t="s">
        <v>9</v>
      </c>
      <c r="AP41" s="480" t="s">
        <v>9</v>
      </c>
      <c r="AQ41" s="480" t="s">
        <v>9</v>
      </c>
      <c r="AR41" s="476" t="s">
        <v>9</v>
      </c>
      <c r="AS41" s="477" t="s">
        <v>9</v>
      </c>
      <c r="AT41" s="338">
        <f xml:space="preserve"> ($E$38 * $G$14) + ($F$38 * $E$26)</f>
        <v>83.974859062604551</v>
      </c>
      <c r="AU41" s="338">
        <v>78</v>
      </c>
      <c r="AX41" s="624"/>
      <c r="AY41" s="625"/>
      <c r="AZ41" s="626"/>
      <c r="BA41" s="630"/>
      <c r="BB41" s="797"/>
    </row>
    <row r="42" spans="1:89" x14ac:dyDescent="0.3">
      <c r="S42" s="793"/>
      <c r="T42" s="533" t="s">
        <v>1</v>
      </c>
      <c r="U42" s="534" t="s">
        <v>2</v>
      </c>
      <c r="V42" s="535" t="s">
        <v>4</v>
      </c>
      <c r="W42" s="536" t="s">
        <v>37</v>
      </c>
      <c r="X42" s="537" t="s">
        <v>12</v>
      </c>
      <c r="Y42" s="538" t="s">
        <v>36</v>
      </c>
      <c r="Z42" s="539" t="s">
        <v>2</v>
      </c>
      <c r="AA42" s="540" t="s">
        <v>12</v>
      </c>
      <c r="AC42" s="37"/>
      <c r="AD42" s="765"/>
      <c r="AE42" s="307" t="s">
        <v>12</v>
      </c>
      <c r="AF42" s="476" t="s">
        <v>9</v>
      </c>
      <c r="AG42" s="477" t="s">
        <v>9</v>
      </c>
      <c r="AH42" s="476" t="s">
        <v>9</v>
      </c>
      <c r="AI42" s="477" t="s">
        <v>9</v>
      </c>
      <c r="AJ42" s="479" t="s">
        <v>9</v>
      </c>
      <c r="AK42" s="479" t="s">
        <v>9</v>
      </c>
      <c r="AL42" s="482" t="s">
        <v>9</v>
      </c>
      <c r="AM42" s="325" t="s">
        <v>9</v>
      </c>
      <c r="AN42" s="478">
        <f xml:space="preserve"> ($E$39 * $G$15) + ($F$39 * $E$26)</f>
        <v>89.031980494086355</v>
      </c>
      <c r="AO42" s="477">
        <v>79</v>
      </c>
      <c r="AP42" s="476" t="s">
        <v>9</v>
      </c>
      <c r="AQ42" s="477" t="s">
        <v>9</v>
      </c>
      <c r="AR42" s="476" t="s">
        <v>9</v>
      </c>
      <c r="AS42" s="477" t="s">
        <v>9</v>
      </c>
      <c r="AT42" s="338" t="s">
        <v>9</v>
      </c>
      <c r="AU42" s="338" t="s">
        <v>9</v>
      </c>
      <c r="AX42" s="624"/>
      <c r="AY42" s="625"/>
      <c r="AZ42" s="626"/>
      <c r="BA42" s="630"/>
      <c r="BB42" s="797"/>
    </row>
    <row r="43" spans="1:89" x14ac:dyDescent="0.3">
      <c r="B43" s="583" t="s">
        <v>369</v>
      </c>
      <c r="C43" s="401">
        <v>5</v>
      </c>
      <c r="S43" s="793"/>
      <c r="T43" s="533" t="s">
        <v>7</v>
      </c>
      <c r="U43" s="534" t="s">
        <v>7</v>
      </c>
      <c r="V43" s="535" t="s">
        <v>7</v>
      </c>
      <c r="W43" s="536" t="s">
        <v>7</v>
      </c>
      <c r="X43" s="537" t="s">
        <v>7</v>
      </c>
      <c r="Y43" s="538" t="s">
        <v>7</v>
      </c>
      <c r="Z43" s="539" t="s">
        <v>75</v>
      </c>
      <c r="AA43" s="540" t="s">
        <v>75</v>
      </c>
      <c r="AC43" s="37"/>
      <c r="AD43" s="765"/>
      <c r="AE43" s="307" t="s">
        <v>36</v>
      </c>
      <c r="AF43" s="476" t="s">
        <v>9</v>
      </c>
      <c r="AG43" s="477" t="s">
        <v>9</v>
      </c>
      <c r="AH43" s="476" t="s">
        <v>9</v>
      </c>
      <c r="AI43" s="477" t="s">
        <v>9</v>
      </c>
      <c r="AJ43" s="479" t="s">
        <v>9</v>
      </c>
      <c r="AK43" s="479" t="s">
        <v>9</v>
      </c>
      <c r="AL43" s="307" t="s">
        <v>9</v>
      </c>
      <c r="AM43" s="325" t="s">
        <v>9</v>
      </c>
      <c r="AN43" s="476" t="s">
        <v>9</v>
      </c>
      <c r="AO43" s="477" t="s">
        <v>9</v>
      </c>
      <c r="AP43" s="478">
        <f xml:space="preserve"> ($E$40 * $G$16) + ($F$40 * $E$26)</f>
        <v>68.208227337659082</v>
      </c>
      <c r="AQ43" s="477">
        <v>64</v>
      </c>
      <c r="AR43" s="476" t="s">
        <v>9</v>
      </c>
      <c r="AS43" s="477" t="s">
        <v>9</v>
      </c>
      <c r="AT43" s="338" t="s">
        <v>9</v>
      </c>
      <c r="AU43" s="338" t="s">
        <v>9</v>
      </c>
      <c r="AX43" s="624"/>
      <c r="AY43" s="625"/>
      <c r="AZ43" s="626"/>
      <c r="BA43" s="630"/>
      <c r="BB43" s="797"/>
    </row>
    <row r="44" spans="1:89" x14ac:dyDescent="0.3">
      <c r="S44" s="793"/>
      <c r="T44" s="542" t="s">
        <v>3</v>
      </c>
      <c r="U44" s="543" t="s">
        <v>3</v>
      </c>
      <c r="V44" s="544" t="s">
        <v>3</v>
      </c>
      <c r="W44" s="545" t="s">
        <v>3</v>
      </c>
      <c r="X44" s="546" t="s">
        <v>3</v>
      </c>
      <c r="Y44" s="547" t="s">
        <v>3</v>
      </c>
      <c r="Z44" s="548" t="s">
        <v>3</v>
      </c>
      <c r="AA44" s="549" t="s">
        <v>3</v>
      </c>
      <c r="AC44" s="37"/>
      <c r="AD44" s="765"/>
      <c r="AE44" s="491" t="s">
        <v>37</v>
      </c>
      <c r="AF44" s="492" t="s">
        <v>9</v>
      </c>
      <c r="AG44" s="493" t="s">
        <v>9</v>
      </c>
      <c r="AH44" s="492" t="s">
        <v>9</v>
      </c>
      <c r="AI44" s="493" t="s">
        <v>9</v>
      </c>
      <c r="AJ44" s="494" t="s">
        <v>9</v>
      </c>
      <c r="AK44" s="494" t="s">
        <v>9</v>
      </c>
      <c r="AL44" s="495">
        <f xml:space="preserve"> ($E$41 * $G$17) + ($F$41 * $E$26)</f>
        <v>70.717524490313082</v>
      </c>
      <c r="AM44" s="496">
        <v>35</v>
      </c>
      <c r="AN44" s="492" t="s">
        <v>9</v>
      </c>
      <c r="AO44" s="493" t="s">
        <v>9</v>
      </c>
      <c r="AP44" s="497" t="s">
        <v>9</v>
      </c>
      <c r="AQ44" s="498" t="s">
        <v>9</v>
      </c>
      <c r="AR44" s="492" t="s">
        <v>9</v>
      </c>
      <c r="AS44" s="493" t="s">
        <v>9</v>
      </c>
      <c r="AT44" s="338" t="s">
        <v>9</v>
      </c>
      <c r="AU44" s="338" t="s">
        <v>9</v>
      </c>
      <c r="BB44" s="797"/>
    </row>
    <row r="45" spans="1:89" x14ac:dyDescent="0.3">
      <c r="A45" s="22" t="s">
        <v>370</v>
      </c>
      <c r="I45" s="22" t="s">
        <v>22</v>
      </c>
      <c r="L45" s="550" t="s">
        <v>371</v>
      </c>
      <c r="M45" s="434"/>
      <c r="N45" s="551"/>
      <c r="S45" s="793"/>
      <c r="T45" s="542" t="s">
        <v>5</v>
      </c>
      <c r="U45" s="543" t="s">
        <v>5</v>
      </c>
      <c r="V45" s="544" t="s">
        <v>5</v>
      </c>
      <c r="W45" s="545" t="s">
        <v>5</v>
      </c>
      <c r="X45" s="546" t="s">
        <v>5</v>
      </c>
      <c r="Y45" s="547" t="s">
        <v>5</v>
      </c>
      <c r="Z45" s="548" t="s">
        <v>5</v>
      </c>
      <c r="AA45" s="549" t="s">
        <v>5</v>
      </c>
      <c r="AC45" s="37"/>
      <c r="AD45" s="765"/>
      <c r="AE45" s="294" t="s">
        <v>34</v>
      </c>
      <c r="AF45" s="478">
        <f xml:space="preserve"> ($E$47 * $G$18) + ($F$47 * $E$26)</f>
        <v>61.780300950746387</v>
      </c>
      <c r="AG45" s="477">
        <v>59</v>
      </c>
      <c r="AH45" s="478">
        <f xml:space="preserve"> ($E$47 * $G$18) + ($F$47 * $E$26)</f>
        <v>61.780300950746387</v>
      </c>
      <c r="AI45" s="477">
        <v>48</v>
      </c>
      <c r="AJ45" s="481">
        <f xml:space="preserve"> ($E$47 * $G$18) + ($F$47 * $E$26)</f>
        <v>61.780300950746387</v>
      </c>
      <c r="AK45" s="479">
        <v>50</v>
      </c>
      <c r="AL45" s="482">
        <f xml:space="preserve"> ($E$47 * $G$18) + ($F$47 * $E$26)</f>
        <v>61.780300950746387</v>
      </c>
      <c r="AM45" s="325">
        <v>49</v>
      </c>
      <c r="AN45" s="478">
        <f xml:space="preserve"> ($E$47 * $G$18) + ($F$47 * $E$26)</f>
        <v>61.780300950746387</v>
      </c>
      <c r="AO45" s="477">
        <v>63</v>
      </c>
      <c r="AP45" s="478">
        <f xml:space="preserve"> ($E$47 * $G$18) + ($F$47 * $E$26)</f>
        <v>61.780300950746387</v>
      </c>
      <c r="AQ45" s="480">
        <v>63</v>
      </c>
      <c r="AR45" s="476" t="s">
        <v>9</v>
      </c>
      <c r="AS45" s="477" t="s">
        <v>9</v>
      </c>
      <c r="AT45" s="338" t="s">
        <v>9</v>
      </c>
      <c r="AU45" s="338" t="s">
        <v>9</v>
      </c>
      <c r="BB45" s="797"/>
    </row>
    <row r="46" spans="1:89" ht="15" thickBot="1" x14ac:dyDescent="0.35">
      <c r="C46" s="22" t="s">
        <v>214</v>
      </c>
      <c r="D46" s="22" t="s">
        <v>359</v>
      </c>
      <c r="E46" s="22" t="s">
        <v>360</v>
      </c>
      <c r="F46" s="22" t="s">
        <v>361</v>
      </c>
      <c r="G46" s="22" t="s">
        <v>362</v>
      </c>
      <c r="H46" s="22" t="s">
        <v>363</v>
      </c>
      <c r="I46" s="22" t="s">
        <v>372</v>
      </c>
      <c r="J46" s="22" t="s">
        <v>365</v>
      </c>
      <c r="K46" s="22" t="s">
        <v>366</v>
      </c>
      <c r="L46" s="552" t="s">
        <v>372</v>
      </c>
      <c r="M46" s="22" t="s">
        <v>365</v>
      </c>
      <c r="N46" s="553" t="s">
        <v>366</v>
      </c>
      <c r="S46" s="794"/>
      <c r="T46" s="584" t="s">
        <v>6</v>
      </c>
      <c r="U46" s="585" t="s">
        <v>6</v>
      </c>
      <c r="V46" s="586" t="s">
        <v>6</v>
      </c>
      <c r="W46" s="587" t="s">
        <v>6</v>
      </c>
      <c r="X46" s="588" t="s">
        <v>6</v>
      </c>
      <c r="Y46" s="589" t="s">
        <v>6</v>
      </c>
      <c r="Z46" s="590" t="s">
        <v>6</v>
      </c>
      <c r="AA46" s="591" t="s">
        <v>6</v>
      </c>
      <c r="AC46" s="37"/>
      <c r="AD46" s="765"/>
      <c r="AE46" s="294" t="s">
        <v>7</v>
      </c>
      <c r="AF46" s="476" t="s">
        <v>9</v>
      </c>
      <c r="AG46" s="477" t="s">
        <v>9</v>
      </c>
      <c r="AH46" s="476" t="s">
        <v>9</v>
      </c>
      <c r="AI46" s="477" t="s">
        <v>9</v>
      </c>
      <c r="AJ46" s="479" t="s">
        <v>9</v>
      </c>
      <c r="AK46" s="479" t="s">
        <v>9</v>
      </c>
      <c r="AL46" s="307" t="s">
        <v>9</v>
      </c>
      <c r="AM46" s="325" t="s">
        <v>9</v>
      </c>
      <c r="AN46" s="476" t="s">
        <v>9</v>
      </c>
      <c r="AO46" s="477" t="s">
        <v>9</v>
      </c>
      <c r="AP46" s="480" t="s">
        <v>9</v>
      </c>
      <c r="AQ46" s="480" t="s">
        <v>9</v>
      </c>
      <c r="AR46" s="476" t="s">
        <v>9</v>
      </c>
      <c r="AS46" s="477" t="s">
        <v>9</v>
      </c>
      <c r="AT46" s="338" t="s">
        <v>9</v>
      </c>
      <c r="AU46" s="338" t="s">
        <v>9</v>
      </c>
      <c r="BB46" s="797"/>
    </row>
    <row r="47" spans="1:89" x14ac:dyDescent="0.3">
      <c r="A47" s="22" t="s">
        <v>34</v>
      </c>
      <c r="B47" s="22" t="s">
        <v>35</v>
      </c>
      <c r="C47" s="22">
        <f>E18*D18</f>
        <v>10.39425</v>
      </c>
      <c r="D47" s="22">
        <f>C47*C$5</f>
        <v>22.63534605571482</v>
      </c>
      <c r="E47" s="22">
        <f>D47/G18</f>
        <v>24.901370798366138</v>
      </c>
      <c r="F47" s="22">
        <f>E47*(C$51-1)</f>
        <v>49.802741596732275</v>
      </c>
      <c r="G47" s="503">
        <f>E47+F47</f>
        <v>74.704112395098406</v>
      </c>
      <c r="H47" s="22">
        <v>18</v>
      </c>
      <c r="I47" s="22">
        <f>E47*H47</f>
        <v>448.22467437059049</v>
      </c>
      <c r="J47" s="22">
        <f>F47*H47</f>
        <v>896.44934874118098</v>
      </c>
      <c r="K47" s="22">
        <f>I47+J47</f>
        <v>1344.6740231117715</v>
      </c>
      <c r="L47" s="570">
        <f>I47*1.5</f>
        <v>672.33701155588574</v>
      </c>
      <c r="M47" s="338">
        <f t="shared" ref="M47:N49" si="15">J47*1.5</f>
        <v>1344.6740231117715</v>
      </c>
      <c r="N47" s="571">
        <f t="shared" si="15"/>
        <v>2017.0110346676572</v>
      </c>
      <c r="AC47" s="37"/>
      <c r="AD47" s="765"/>
      <c r="AE47" s="294" t="s">
        <v>75</v>
      </c>
      <c r="AF47" s="476" t="s">
        <v>9</v>
      </c>
      <c r="AG47" s="477" t="s">
        <v>9</v>
      </c>
      <c r="AH47" s="476" t="s">
        <v>9</v>
      </c>
      <c r="AI47" s="477" t="s">
        <v>9</v>
      </c>
      <c r="AJ47" s="479" t="s">
        <v>9</v>
      </c>
      <c r="AK47" s="479" t="s">
        <v>9</v>
      </c>
      <c r="AL47" s="307" t="s">
        <v>9</v>
      </c>
      <c r="AM47" s="325" t="s">
        <v>9</v>
      </c>
      <c r="AN47" s="476" t="s">
        <v>9</v>
      </c>
      <c r="AO47" s="477" t="s">
        <v>9</v>
      </c>
      <c r="AP47" s="480" t="s">
        <v>9</v>
      </c>
      <c r="AQ47" s="480" t="s">
        <v>9</v>
      </c>
      <c r="AR47" s="478">
        <f xml:space="preserve"> ($E$49 * $G$20) + ($F$49 * $E$26)</f>
        <v>56.363481612451693</v>
      </c>
      <c r="AS47" s="477">
        <v>51</v>
      </c>
      <c r="AT47" s="338">
        <f xml:space="preserve"> ($E$49 * $G$20) + ($F$49 * $E$26)</f>
        <v>56.363481612451693</v>
      </c>
      <c r="AU47" s="338">
        <v>64</v>
      </c>
      <c r="BB47" s="797"/>
    </row>
    <row r="48" spans="1:89" x14ac:dyDescent="0.3">
      <c r="A48" s="22" t="s">
        <v>7</v>
      </c>
      <c r="B48" s="22" t="s">
        <v>11</v>
      </c>
      <c r="C48" s="22">
        <f t="shared" ref="C48:C49" si="16">E19*D19</f>
        <v>7.8112500000000002</v>
      </c>
      <c r="D48" s="22">
        <f>C48*C$5</f>
        <v>17.010399680371588</v>
      </c>
      <c r="E48" s="22">
        <f t="shared" ref="E48:E49" si="17">D48/G19</f>
        <v>15.605871266395951</v>
      </c>
      <c r="F48" s="22">
        <f t="shared" ref="F48" si="18">E48*(C$51-1)</f>
        <v>31.211742532791902</v>
      </c>
      <c r="G48" s="503">
        <f t="shared" ref="G48:G49" si="19">E48+F48</f>
        <v>46.817613799187853</v>
      </c>
      <c r="H48" s="22">
        <v>18</v>
      </c>
      <c r="I48" s="22">
        <f t="shared" ref="I48:I49" si="20">E48*H48</f>
        <v>280.90568279512712</v>
      </c>
      <c r="J48" s="22">
        <f t="shared" ref="J48:J49" si="21">F48*H48</f>
        <v>561.81136559025424</v>
      </c>
      <c r="K48" s="22">
        <f>I48+J48</f>
        <v>842.7170483853813</v>
      </c>
      <c r="L48" s="570">
        <f t="shared" ref="L48:L49" si="22">I48*1.5</f>
        <v>421.35852419269065</v>
      </c>
      <c r="M48" s="338">
        <f t="shared" si="15"/>
        <v>842.7170483853813</v>
      </c>
      <c r="N48" s="571">
        <f t="shared" si="15"/>
        <v>1264.0755725780718</v>
      </c>
      <c r="T48" s="791" t="s">
        <v>373</v>
      </c>
      <c r="U48" s="791"/>
      <c r="V48" s="791"/>
      <c r="W48" s="791"/>
      <c r="X48" s="791"/>
      <c r="Y48" s="791"/>
      <c r="Z48" s="791"/>
      <c r="AA48" s="791"/>
      <c r="AC48" s="37"/>
      <c r="AD48" s="765"/>
      <c r="AE48" s="562" t="s">
        <v>3</v>
      </c>
      <c r="AF48" s="563">
        <f>$G$64 * $E$26</f>
        <v>717.28591695328009</v>
      </c>
      <c r="AG48" s="564">
        <v>708</v>
      </c>
      <c r="AH48" s="563">
        <f>$G$65 * $E$26</f>
        <v>703.23828641451371</v>
      </c>
      <c r="AI48" s="564">
        <v>694</v>
      </c>
      <c r="AJ48" s="565">
        <f>$G$66 * $E$26</f>
        <v>693.95460575545019</v>
      </c>
      <c r="AK48" s="566">
        <v>684</v>
      </c>
      <c r="AL48" s="567">
        <f>$G$67 * $E$26</f>
        <v>692.39542392980138</v>
      </c>
      <c r="AM48" s="568">
        <v>683</v>
      </c>
      <c r="AN48" s="563">
        <f>$G$68 * $E$26</f>
        <v>705.7302181458283</v>
      </c>
      <c r="AO48" s="564">
        <v>696</v>
      </c>
      <c r="AP48" s="563">
        <f>$G$69  * $E$26</f>
        <v>703.28489481164229</v>
      </c>
      <c r="AQ48" s="569">
        <v>693</v>
      </c>
      <c r="AR48" s="563">
        <f>$G$76 * $E$26</f>
        <v>721.98165213805726</v>
      </c>
      <c r="AS48" s="564">
        <v>713</v>
      </c>
      <c r="AT48" s="338">
        <f>$G$78 * $E$26</f>
        <v>698.65034094022747</v>
      </c>
      <c r="AU48" s="338">
        <v>689</v>
      </c>
      <c r="BB48" s="797"/>
    </row>
    <row r="49" spans="1:86" x14ac:dyDescent="0.3">
      <c r="A49" s="22" t="s">
        <v>75</v>
      </c>
      <c r="B49" s="22" t="s">
        <v>340</v>
      </c>
      <c r="C49" s="22">
        <f t="shared" si="16"/>
        <v>10.063125000000001</v>
      </c>
      <c r="D49" s="22">
        <f>C49*C$5</f>
        <v>21.914261902197392</v>
      </c>
      <c r="E49" s="22">
        <f t="shared" si="17"/>
        <v>21.914261902197392</v>
      </c>
      <c r="F49" s="22">
        <f>E49*(C$51-1)</f>
        <v>43.828523804394784</v>
      </c>
      <c r="G49" s="503">
        <f t="shared" si="19"/>
        <v>65.742785706592173</v>
      </c>
      <c r="H49" s="22">
        <v>12</v>
      </c>
      <c r="I49" s="22">
        <f t="shared" si="20"/>
        <v>262.97114282636869</v>
      </c>
      <c r="J49" s="22">
        <f t="shared" si="21"/>
        <v>525.94228565273738</v>
      </c>
      <c r="K49" s="22">
        <f t="shared" ref="K49" si="23">I49+J49</f>
        <v>788.91342847910607</v>
      </c>
      <c r="L49" s="580">
        <f t="shared" si="22"/>
        <v>394.45671423955304</v>
      </c>
      <c r="M49" s="581">
        <f t="shared" si="15"/>
        <v>788.91342847910607</v>
      </c>
      <c r="N49" s="582">
        <f t="shared" si="15"/>
        <v>1183.3701427186591</v>
      </c>
      <c r="AC49" s="37"/>
      <c r="AD49" s="765"/>
      <c r="AE49" s="294" t="s">
        <v>238</v>
      </c>
      <c r="AF49" s="478">
        <f xml:space="preserve"> ( $E$55 * $G$21 ) + ( $F$55 * $E$26 )</f>
        <v>58.404147044806535</v>
      </c>
      <c r="AG49" s="477">
        <v>63</v>
      </c>
      <c r="AH49" s="478">
        <f xml:space="preserve"> ( $E$55 * $G$21 ) + ( $F$55 * $E$26 )</f>
        <v>58.404147044806535</v>
      </c>
      <c r="AI49" s="477">
        <v>63</v>
      </c>
      <c r="AJ49" s="481">
        <f xml:space="preserve"> ( $E$55 * $G$21 ) + ( $F$55 * $E$26 )</f>
        <v>58.404147044806535</v>
      </c>
      <c r="AK49" s="479">
        <v>64</v>
      </c>
      <c r="AL49" s="482">
        <f xml:space="preserve"> ( $E$55 * $G$21 ) + ( $F$55 * $E$26 )</f>
        <v>58.404147044806535</v>
      </c>
      <c r="AM49" s="325">
        <v>63</v>
      </c>
      <c r="AN49" s="478">
        <f xml:space="preserve"> ( $E$55 * $G$21 ) + ( $F$55 * $E$26 )</f>
        <v>58.404147044806535</v>
      </c>
      <c r="AO49" s="477">
        <v>64</v>
      </c>
      <c r="AP49" s="478">
        <f xml:space="preserve"> ( $E$55 * $G$21 ) + ( $F$55 * $E$26 )</f>
        <v>58.404147044806535</v>
      </c>
      <c r="AQ49" s="480">
        <v>63</v>
      </c>
      <c r="AR49" s="478">
        <f xml:space="preserve"> ( $E$55 * $G$21 ) + ( $F$55 * $E$26 )</f>
        <v>58.404147044806535</v>
      </c>
      <c r="AS49" s="477">
        <v>62</v>
      </c>
      <c r="AT49" s="338">
        <f xml:space="preserve"> ( $E$55 * $G$21 ) + ( $F$55 * $E$26 )</f>
        <v>58.404147044806535</v>
      </c>
      <c r="AU49" s="338">
        <v>63</v>
      </c>
      <c r="BB49" s="797"/>
    </row>
    <row r="50" spans="1:86" x14ac:dyDescent="0.3">
      <c r="AC50" s="37"/>
      <c r="AD50" s="766"/>
      <c r="AE50" s="309" t="s">
        <v>6</v>
      </c>
      <c r="AF50" s="512">
        <f>$I$22</f>
        <v>54.441989695540371</v>
      </c>
      <c r="AG50" s="513">
        <v>53.8</v>
      </c>
      <c r="AH50" s="512">
        <f>$I$22</f>
        <v>54.441989695540371</v>
      </c>
      <c r="AI50" s="513">
        <v>53.8</v>
      </c>
      <c r="AJ50" s="514">
        <f>$I$22</f>
        <v>54.441989695540371</v>
      </c>
      <c r="AK50" s="515">
        <v>53.6</v>
      </c>
      <c r="AL50" s="516">
        <f>$I$22</f>
        <v>54.441989695540371</v>
      </c>
      <c r="AM50" s="368">
        <v>53.5</v>
      </c>
      <c r="AN50" s="512">
        <f>$I$22</f>
        <v>54.441989695540371</v>
      </c>
      <c r="AO50" s="513">
        <v>53.6</v>
      </c>
      <c r="AP50" s="512">
        <f>$I$22</f>
        <v>54.441989695540371</v>
      </c>
      <c r="AQ50" s="517">
        <v>53.7</v>
      </c>
      <c r="AR50" s="512">
        <f>$I$22</f>
        <v>54.441989695540371</v>
      </c>
      <c r="AS50" s="513">
        <v>53.5</v>
      </c>
      <c r="AT50" s="338">
        <f>$I$22</f>
        <v>54.441989695540371</v>
      </c>
      <c r="AU50" s="338">
        <v>53.9</v>
      </c>
      <c r="BB50" s="797"/>
    </row>
    <row r="51" spans="1:86" x14ac:dyDescent="0.3">
      <c r="B51" s="583" t="s">
        <v>374</v>
      </c>
      <c r="C51" s="401">
        <v>3</v>
      </c>
      <c r="AD51" s="774" t="s">
        <v>51</v>
      </c>
      <c r="AE51" s="334" t="s">
        <v>339</v>
      </c>
      <c r="AF51" s="455">
        <f>$C$5 + ($C$31*$E$26)</f>
        <v>41.477679587821619</v>
      </c>
      <c r="AG51" s="456">
        <v>46</v>
      </c>
      <c r="AH51" s="457">
        <f>$C$5 + ($C$31*$E$26)</f>
        <v>41.477679587821619</v>
      </c>
      <c r="AI51" s="592">
        <v>44</v>
      </c>
      <c r="AJ51" s="457">
        <f>$C$5 + ($C$31*$E$26)</f>
        <v>41.477679587821619</v>
      </c>
      <c r="AK51" s="458">
        <v>45</v>
      </c>
      <c r="AL51" s="2">
        <f>$C$5 + ($C$31*$E$26)</f>
        <v>41.477679587821619</v>
      </c>
      <c r="AM51" s="2">
        <v>44</v>
      </c>
      <c r="AN51" s="457">
        <f>$C$5 + ($C$31*$E$26)</f>
        <v>41.477679587821619</v>
      </c>
      <c r="AO51" s="592">
        <v>42</v>
      </c>
      <c r="AP51" s="455">
        <f>$C$5 + ($C$31*$E$26)</f>
        <v>41.477679587821619</v>
      </c>
      <c r="AQ51" s="460">
        <v>30</v>
      </c>
      <c r="AR51" s="455">
        <f>$C$5 + ($C$31*$E$26)</f>
        <v>41.477679587821619</v>
      </c>
      <c r="AS51" s="456">
        <v>31</v>
      </c>
      <c r="AT51" s="455">
        <f>$C$5 + ($C$31*$E$26)</f>
        <v>41.477679587821619</v>
      </c>
      <c r="AU51" s="456">
        <v>43</v>
      </c>
      <c r="BB51" s="797"/>
    </row>
    <row r="52" spans="1:86" x14ac:dyDescent="0.3">
      <c r="AD52" s="765"/>
      <c r="AE52" s="463" t="s">
        <v>1</v>
      </c>
      <c r="AF52" s="464">
        <f xml:space="preserve"> ($E$36 * $G$12) + ($F$36 * $E$26)</f>
        <v>52.230866524109558</v>
      </c>
      <c r="AG52" s="465">
        <v>45</v>
      </c>
      <c r="AH52" s="593" t="s">
        <v>9</v>
      </c>
      <c r="AI52" s="594" t="s">
        <v>9</v>
      </c>
      <c r="AJ52" s="467" t="s">
        <v>9</v>
      </c>
      <c r="AK52" s="467" t="s">
        <v>9</v>
      </c>
      <c r="AL52" s="2" t="s">
        <v>9</v>
      </c>
      <c r="AM52" s="2" t="s">
        <v>9</v>
      </c>
      <c r="AN52" s="593" t="s">
        <v>9</v>
      </c>
      <c r="AO52" s="594" t="s">
        <v>9</v>
      </c>
      <c r="AP52" s="469" t="s">
        <v>9</v>
      </c>
      <c r="AQ52" s="469" t="s">
        <v>9</v>
      </c>
      <c r="AR52" s="466" t="s">
        <v>9</v>
      </c>
      <c r="AS52" s="465" t="s">
        <v>9</v>
      </c>
      <c r="AT52" s="466" t="s">
        <v>9</v>
      </c>
      <c r="AU52" s="465" t="s">
        <v>9</v>
      </c>
      <c r="BB52" s="797"/>
    </row>
    <row r="53" spans="1:86" x14ac:dyDescent="0.3">
      <c r="A53" s="22" t="s">
        <v>375</v>
      </c>
      <c r="I53" s="22" t="s">
        <v>22</v>
      </c>
      <c r="L53" s="550" t="s">
        <v>371</v>
      </c>
      <c r="M53" s="434"/>
      <c r="N53" s="434"/>
      <c r="O53" s="550" t="s">
        <v>376</v>
      </c>
      <c r="P53" s="434"/>
      <c r="Q53" s="551"/>
      <c r="AD53" s="765"/>
      <c r="AE53" s="307" t="s">
        <v>2</v>
      </c>
      <c r="AF53" s="476" t="s">
        <v>9</v>
      </c>
      <c r="AG53" s="477" t="s">
        <v>9</v>
      </c>
      <c r="AH53" s="481">
        <f xml:space="preserve"> ($E$37 * $G$13) + ($F$37 * $E$26)</f>
        <v>70.797325063386694</v>
      </c>
      <c r="AI53" s="595">
        <v>58</v>
      </c>
      <c r="AJ53" s="479" t="s">
        <v>9</v>
      </c>
      <c r="AK53" s="479" t="s">
        <v>9</v>
      </c>
      <c r="AL53" s="2" t="s">
        <v>9</v>
      </c>
      <c r="AM53" s="2" t="s">
        <v>9</v>
      </c>
      <c r="AN53" s="596" t="s">
        <v>9</v>
      </c>
      <c r="AO53" s="595" t="s">
        <v>9</v>
      </c>
      <c r="AP53" s="480" t="s">
        <v>9</v>
      </c>
      <c r="AQ53" s="480" t="s">
        <v>9</v>
      </c>
      <c r="AR53" s="478">
        <f xml:space="preserve"> ($E$37 * $G$13) + ($F$37 * $E$26)</f>
        <v>70.797325063386694</v>
      </c>
      <c r="AS53" s="480">
        <v>63</v>
      </c>
      <c r="AT53" s="476" t="s">
        <v>9</v>
      </c>
      <c r="AU53" s="477" t="s">
        <v>9</v>
      </c>
      <c r="BB53" s="797"/>
    </row>
    <row r="54" spans="1:86" x14ac:dyDescent="0.3">
      <c r="C54" s="22" t="s">
        <v>214</v>
      </c>
      <c r="D54" s="22" t="s">
        <v>359</v>
      </c>
      <c r="E54" s="22" t="s">
        <v>360</v>
      </c>
      <c r="F54" s="22" t="s">
        <v>361</v>
      </c>
      <c r="G54" s="22" t="s">
        <v>362</v>
      </c>
      <c r="H54" s="22" t="s">
        <v>363</v>
      </c>
      <c r="I54" s="22" t="s">
        <v>377</v>
      </c>
      <c r="J54" s="22" t="s">
        <v>365</v>
      </c>
      <c r="K54" s="22" t="s">
        <v>366</v>
      </c>
      <c r="L54" s="552" t="s">
        <v>377</v>
      </c>
      <c r="M54" s="22" t="s">
        <v>365</v>
      </c>
      <c r="N54" s="22" t="s">
        <v>366</v>
      </c>
      <c r="O54" s="552" t="s">
        <v>377</v>
      </c>
      <c r="P54" s="22" t="s">
        <v>365</v>
      </c>
      <c r="Q54" s="553" t="s">
        <v>366</v>
      </c>
      <c r="AD54" s="765"/>
      <c r="AE54" s="307" t="s">
        <v>4</v>
      </c>
      <c r="AF54" s="476" t="s">
        <v>9</v>
      </c>
      <c r="AG54" s="477" t="s">
        <v>9</v>
      </c>
      <c r="AH54" s="596" t="s">
        <v>9</v>
      </c>
      <c r="AI54" s="595" t="s">
        <v>9</v>
      </c>
      <c r="AJ54" s="481">
        <f xml:space="preserve"> ($E$38 * $G$14) + ($F$38 * $E$26)</f>
        <v>83.974859062604551</v>
      </c>
      <c r="AK54" s="479">
        <v>66</v>
      </c>
      <c r="AL54" s="2" t="s">
        <v>9</v>
      </c>
      <c r="AM54" s="2" t="s">
        <v>9</v>
      </c>
      <c r="AN54" s="596" t="s">
        <v>9</v>
      </c>
      <c r="AO54" s="595" t="s">
        <v>9</v>
      </c>
      <c r="AP54" s="480" t="s">
        <v>9</v>
      </c>
      <c r="AQ54" s="480" t="s">
        <v>9</v>
      </c>
      <c r="AR54" s="476" t="s">
        <v>9</v>
      </c>
      <c r="AS54" s="477" t="s">
        <v>9</v>
      </c>
      <c r="AT54" s="476" t="s">
        <v>9</v>
      </c>
      <c r="AU54" s="477" t="s">
        <v>9</v>
      </c>
      <c r="BB54" s="797"/>
    </row>
    <row r="55" spans="1:86" x14ac:dyDescent="0.3">
      <c r="A55" s="22" t="s">
        <v>238</v>
      </c>
      <c r="B55" s="22" t="s">
        <v>342</v>
      </c>
      <c r="C55" s="294" t="s">
        <v>9</v>
      </c>
      <c r="D55" s="294" t="s">
        <v>9</v>
      </c>
      <c r="E55" s="22">
        <f>12.82*C5</f>
        <v>27.917852315873102</v>
      </c>
      <c r="F55" s="22">
        <f>E55*(C$57-1)</f>
        <v>27.917852315873102</v>
      </c>
      <c r="G55" s="503">
        <f>E55+F55</f>
        <v>55.835704631746204</v>
      </c>
      <c r="H55" s="22">
        <v>48</v>
      </c>
      <c r="I55" s="22">
        <f>E55*H55</f>
        <v>1340.0569111619088</v>
      </c>
      <c r="J55" s="22">
        <f>F55*H55</f>
        <v>1340.0569111619088</v>
      </c>
      <c r="K55" s="22">
        <f>I55+J55</f>
        <v>2680.1138223238177</v>
      </c>
      <c r="L55" s="580">
        <f>I55*1.5</f>
        <v>2010.0853667428632</v>
      </c>
      <c r="M55" s="581">
        <f t="shared" ref="M55:N55" si="24">J55*1.5</f>
        <v>2010.0853667428632</v>
      </c>
      <c r="N55" s="581">
        <f t="shared" si="24"/>
        <v>4020.1707334857265</v>
      </c>
      <c r="O55" s="580">
        <f>L55/2</f>
        <v>1005.0426833714316</v>
      </c>
      <c r="P55" s="581">
        <f t="shared" ref="P55:Q55" si="25">M55/2</f>
        <v>1005.0426833714316</v>
      </c>
      <c r="Q55" s="582">
        <f t="shared" si="25"/>
        <v>2010.0853667428632</v>
      </c>
      <c r="AD55" s="765"/>
      <c r="AE55" s="307" t="s">
        <v>12</v>
      </c>
      <c r="AF55" s="476" t="s">
        <v>9</v>
      </c>
      <c r="AG55" s="477" t="s">
        <v>9</v>
      </c>
      <c r="AH55" s="596" t="s">
        <v>9</v>
      </c>
      <c r="AI55" s="595" t="s">
        <v>9</v>
      </c>
      <c r="AJ55" s="479" t="s">
        <v>9</v>
      </c>
      <c r="AK55" s="479" t="s">
        <v>9</v>
      </c>
      <c r="AL55" s="2" t="s">
        <v>9</v>
      </c>
      <c r="AM55" s="2" t="s">
        <v>9</v>
      </c>
      <c r="AN55" s="481">
        <f xml:space="preserve"> ($E$39 * $G$15) + ($F$39 * $E$26)</f>
        <v>89.031980494086355</v>
      </c>
      <c r="AO55" s="595">
        <v>79</v>
      </c>
      <c r="AP55" s="476" t="s">
        <v>9</v>
      </c>
      <c r="AQ55" s="477" t="s">
        <v>9</v>
      </c>
      <c r="AR55" s="476" t="s">
        <v>9</v>
      </c>
      <c r="AS55" s="477" t="s">
        <v>9</v>
      </c>
      <c r="AT55" s="478">
        <f xml:space="preserve"> ($E$39 * $G$15) + ($F$39 * $E$26)</f>
        <v>89.031980494086355</v>
      </c>
      <c r="AU55" s="477">
        <v>83</v>
      </c>
      <c r="BB55" s="797"/>
      <c r="CB55" s="21" t="s">
        <v>378</v>
      </c>
      <c r="CH55" s="21" t="s">
        <v>379</v>
      </c>
    </row>
    <row r="56" spans="1:86" x14ac:dyDescent="0.3">
      <c r="L56" s="22" t="s">
        <v>380</v>
      </c>
      <c r="AD56" s="765"/>
      <c r="AE56" s="307" t="s">
        <v>36</v>
      </c>
      <c r="AF56" s="476" t="s">
        <v>9</v>
      </c>
      <c r="AG56" s="477" t="s">
        <v>9</v>
      </c>
      <c r="AH56" s="596" t="s">
        <v>9</v>
      </c>
      <c r="AI56" s="595" t="s">
        <v>9</v>
      </c>
      <c r="AJ56" s="479" t="s">
        <v>9</v>
      </c>
      <c r="AK56" s="479" t="s">
        <v>9</v>
      </c>
      <c r="AL56" s="2" t="s">
        <v>9</v>
      </c>
      <c r="AM56" s="2" t="s">
        <v>9</v>
      </c>
      <c r="AN56" s="596" t="s">
        <v>9</v>
      </c>
      <c r="AO56" s="595" t="s">
        <v>9</v>
      </c>
      <c r="AP56" s="478">
        <f xml:space="preserve"> ($E$40 * $G$16) + ($F$40 * $E$26)</f>
        <v>68.208227337659082</v>
      </c>
      <c r="AQ56" s="477">
        <v>60</v>
      </c>
      <c r="AR56" s="476" t="s">
        <v>9</v>
      </c>
      <c r="AS56" s="477" t="s">
        <v>9</v>
      </c>
      <c r="AT56" s="476" t="s">
        <v>9</v>
      </c>
      <c r="AU56" s="477" t="s">
        <v>9</v>
      </c>
      <c r="BB56" s="797"/>
      <c r="BE56" s="21" t="s">
        <v>381</v>
      </c>
      <c r="BK56" s="21" t="s">
        <v>382</v>
      </c>
      <c r="BO56" s="21" t="s">
        <v>383</v>
      </c>
      <c r="BU56" s="21" t="s">
        <v>384</v>
      </c>
      <c r="CB56" s="22">
        <v>384.07799999999997</v>
      </c>
      <c r="CH56" s="22" t="s">
        <v>385</v>
      </c>
    </row>
    <row r="57" spans="1:86" x14ac:dyDescent="0.3">
      <c r="B57" s="583" t="s">
        <v>386</v>
      </c>
      <c r="C57" s="401">
        <v>2</v>
      </c>
      <c r="AD57" s="765"/>
      <c r="AE57" s="491" t="s">
        <v>37</v>
      </c>
      <c r="AF57" s="492" t="s">
        <v>9</v>
      </c>
      <c r="AG57" s="493" t="s">
        <v>9</v>
      </c>
      <c r="AH57" s="597" t="s">
        <v>9</v>
      </c>
      <c r="AI57" s="598" t="s">
        <v>9</v>
      </c>
      <c r="AJ57" s="494" t="s">
        <v>9</v>
      </c>
      <c r="AK57" s="494" t="s">
        <v>9</v>
      </c>
      <c r="AL57" s="2">
        <f xml:space="preserve"> ($E$41 * $G$17) + ($F$41 * $E$26)</f>
        <v>70.717524490313082</v>
      </c>
      <c r="AM57" s="2">
        <v>0</v>
      </c>
      <c r="AN57" s="597" t="s">
        <v>9</v>
      </c>
      <c r="AO57" s="598" t="s">
        <v>9</v>
      </c>
      <c r="AP57" s="497" t="s">
        <v>9</v>
      </c>
      <c r="AQ57" s="498" t="s">
        <v>9</v>
      </c>
      <c r="AR57" s="492" t="s">
        <v>9</v>
      </c>
      <c r="AS57" s="493" t="s">
        <v>9</v>
      </c>
      <c r="AT57" s="492" t="s">
        <v>9</v>
      </c>
      <c r="AU57" s="493" t="s">
        <v>9</v>
      </c>
      <c r="BB57" s="797"/>
      <c r="BE57" s="22">
        <v>356.06270000000001</v>
      </c>
      <c r="BK57" s="22" t="s">
        <v>173</v>
      </c>
      <c r="BO57" s="22" t="s">
        <v>292</v>
      </c>
      <c r="BU57" s="22" t="s">
        <v>294</v>
      </c>
      <c r="CH57" s="22">
        <v>396.09399999999999</v>
      </c>
    </row>
    <row r="58" spans="1:86" x14ac:dyDescent="0.3">
      <c r="AD58" s="765"/>
      <c r="AE58" s="294" t="s">
        <v>34</v>
      </c>
      <c r="AF58" s="476" t="s">
        <v>9</v>
      </c>
      <c r="AG58" s="477" t="s">
        <v>9</v>
      </c>
      <c r="AH58" s="596" t="s">
        <v>9</v>
      </c>
      <c r="AI58" s="595" t="s">
        <v>9</v>
      </c>
      <c r="AJ58" s="596" t="s">
        <v>9</v>
      </c>
      <c r="AK58" s="595" t="s">
        <v>9</v>
      </c>
      <c r="AL58" s="2" t="s">
        <v>9</v>
      </c>
      <c r="AM58" s="2" t="s">
        <v>9</v>
      </c>
      <c r="AN58" s="596" t="s">
        <v>9</v>
      </c>
      <c r="AO58" s="595" t="s">
        <v>9</v>
      </c>
      <c r="AP58" s="476" t="s">
        <v>9</v>
      </c>
      <c r="AQ58" s="480" t="s">
        <v>9</v>
      </c>
      <c r="AR58" s="476" t="s">
        <v>9</v>
      </c>
      <c r="AS58" s="477" t="s">
        <v>9</v>
      </c>
      <c r="AT58" s="476" t="s">
        <v>9</v>
      </c>
      <c r="AU58" s="477" t="s">
        <v>9</v>
      </c>
      <c r="BB58" s="797"/>
      <c r="BE58" s="22">
        <f xml:space="preserve"> 357.7*0.05</f>
        <v>17.885000000000002</v>
      </c>
      <c r="BK58" s="22">
        <f>396.09*0.05</f>
        <v>19.804500000000001</v>
      </c>
      <c r="BO58" s="22" t="s">
        <v>297</v>
      </c>
      <c r="BU58" s="22" t="s">
        <v>299</v>
      </c>
    </row>
    <row r="59" spans="1:86" x14ac:dyDescent="0.3">
      <c r="AD59" s="765"/>
      <c r="AE59" s="294" t="s">
        <v>7</v>
      </c>
      <c r="AF59" s="478">
        <f xml:space="preserve"> ($E$48 * $G$19) + ($F$48 * $E$26)</f>
        <v>41.542829311146022</v>
      </c>
      <c r="AG59" s="477">
        <v>35</v>
      </c>
      <c r="AH59" s="481">
        <f xml:space="preserve"> ($E$48 * $G$19) + ($F$48 * $E$26)</f>
        <v>41.542829311146022</v>
      </c>
      <c r="AI59" s="595">
        <v>40</v>
      </c>
      <c r="AJ59" s="481">
        <f xml:space="preserve"> ($E$48 * $G$19) + ($F$48 * $E$26)</f>
        <v>41.542829311146022</v>
      </c>
      <c r="AK59" s="595">
        <v>44</v>
      </c>
      <c r="AL59" s="2">
        <f xml:space="preserve"> ($E$48 * $G$19) + ($F$48 * $E$26)</f>
        <v>41.542829311146022</v>
      </c>
      <c r="AM59" s="2">
        <v>40</v>
      </c>
      <c r="AN59" s="481">
        <f xml:space="preserve"> ($E$48 * $G$19) + ($F$48 * $E$26)</f>
        <v>41.542829311146022</v>
      </c>
      <c r="AO59" s="595">
        <v>40</v>
      </c>
      <c r="AP59" s="478">
        <f xml:space="preserve"> ($E$48 * $G$19) + ($F$48 * $E$26)</f>
        <v>41.542829311146022</v>
      </c>
      <c r="AQ59" s="480">
        <v>35</v>
      </c>
      <c r="AR59" s="476" t="s">
        <v>9</v>
      </c>
      <c r="AS59" s="477" t="s">
        <v>9</v>
      </c>
      <c r="AT59" s="476" t="s">
        <v>9</v>
      </c>
      <c r="AU59" s="477" t="s">
        <v>9</v>
      </c>
      <c r="BO59" s="22" t="s">
        <v>301</v>
      </c>
      <c r="BU59" s="22" t="s">
        <v>303</v>
      </c>
    </row>
    <row r="60" spans="1:86" x14ac:dyDescent="0.3">
      <c r="AD60" s="765"/>
      <c r="AE60" s="294" t="s">
        <v>75</v>
      </c>
      <c r="AF60" s="476" t="s">
        <v>9</v>
      </c>
      <c r="AG60" s="477" t="s">
        <v>9</v>
      </c>
      <c r="AH60" s="596" t="s">
        <v>9</v>
      </c>
      <c r="AI60" s="595" t="s">
        <v>9</v>
      </c>
      <c r="AJ60" s="479" t="s">
        <v>9</v>
      </c>
      <c r="AK60" s="479" t="s">
        <v>9</v>
      </c>
      <c r="AL60" s="2" t="s">
        <v>9</v>
      </c>
      <c r="AM60" s="2" t="s">
        <v>9</v>
      </c>
      <c r="AN60" s="596" t="s">
        <v>9</v>
      </c>
      <c r="AO60" s="595" t="s">
        <v>9</v>
      </c>
      <c r="AP60" s="480" t="s">
        <v>9</v>
      </c>
      <c r="AQ60" s="480" t="s">
        <v>9</v>
      </c>
      <c r="AR60" s="478">
        <f xml:space="preserve"> ($E$49 * $G$20) + ($F$49 * $E$26)</f>
        <v>56.363481612451693</v>
      </c>
      <c r="AS60" s="477">
        <v>55</v>
      </c>
      <c r="AT60" s="478">
        <f xml:space="preserve"> ($E$49 * $G$20) + ($F$49 * $E$26)</f>
        <v>56.363481612451693</v>
      </c>
      <c r="AU60" s="477">
        <v>45</v>
      </c>
      <c r="BO60" s="22" t="s">
        <v>305</v>
      </c>
      <c r="BU60" s="22" t="s">
        <v>307</v>
      </c>
    </row>
    <row r="61" spans="1:86" x14ac:dyDescent="0.3">
      <c r="AD61" s="765"/>
      <c r="AE61" s="562" t="s">
        <v>3</v>
      </c>
      <c r="AF61" s="563">
        <f>$G$70 * $E$26</f>
        <v>731.89844221753719</v>
      </c>
      <c r="AG61" s="564">
        <v>700</v>
      </c>
      <c r="AH61" s="565">
        <f>$G$71 * E$26</f>
        <v>717.85081167877081</v>
      </c>
      <c r="AI61" s="599">
        <v>687</v>
      </c>
      <c r="AJ61" s="565">
        <f>$G$72 * $E$26</f>
        <v>708.56713101970729</v>
      </c>
      <c r="AK61" s="566">
        <v>677</v>
      </c>
      <c r="AL61" s="2">
        <f>$G$73 * $E$26</f>
        <v>707.0079491940586</v>
      </c>
      <c r="AM61" s="2">
        <v>677</v>
      </c>
      <c r="AN61" s="565">
        <f>$G$74 * $E$26</f>
        <v>720.3427434100854</v>
      </c>
      <c r="AO61" s="599">
        <v>690</v>
      </c>
      <c r="AP61" s="563">
        <f>$G$75 * $E$26</f>
        <v>717.8974200758995</v>
      </c>
      <c r="AQ61" s="569">
        <v>686</v>
      </c>
      <c r="AR61" s="563">
        <f>$G$77 * $E$26</f>
        <v>707.93402159929099</v>
      </c>
      <c r="AS61" s="564">
        <v>677</v>
      </c>
      <c r="AT61" s="563">
        <f>$G$79 * $E$26</f>
        <v>697.09115911457866</v>
      </c>
      <c r="AU61" s="564">
        <v>665</v>
      </c>
    </row>
    <row r="62" spans="1:86" x14ac:dyDescent="0.3">
      <c r="A62" s="22" t="s">
        <v>387</v>
      </c>
      <c r="AD62" s="765"/>
      <c r="AE62" s="294" t="s">
        <v>238</v>
      </c>
      <c r="AF62" s="478">
        <f xml:space="preserve"> ( $E$55 * $G$21 ) + ( $F$55 * $E$26 )</f>
        <v>58.404147044806535</v>
      </c>
      <c r="AG62" s="477">
        <v>62</v>
      </c>
      <c r="AH62" s="481">
        <f xml:space="preserve"> ( $E$55 * $G$21 ) + ( $F$55 * $E$26 )</f>
        <v>58.404147044806535</v>
      </c>
      <c r="AI62" s="595">
        <v>63</v>
      </c>
      <c r="AJ62" s="481">
        <f xml:space="preserve"> ( $E$55 * $G$21 ) + ( $F$55 * $E$26 )</f>
        <v>58.404147044806535</v>
      </c>
      <c r="AK62" s="479">
        <v>63</v>
      </c>
      <c r="AL62" s="2">
        <f xml:space="preserve"> ( $E$55 * $G$21 ) + ( $F$55 * $E$26 )</f>
        <v>58.404147044806535</v>
      </c>
      <c r="AM62" s="2">
        <v>64</v>
      </c>
      <c r="AN62" s="481">
        <f xml:space="preserve"> ( $E$55 * $G$21 ) + ( $F$55 * $E$26 )</f>
        <v>58.404147044806535</v>
      </c>
      <c r="AO62" s="595">
        <v>62</v>
      </c>
      <c r="AP62" s="478">
        <f xml:space="preserve"> ( $E$55 * $G$21 ) + ( $F$55 * $E$26 )</f>
        <v>58.404147044806535</v>
      </c>
      <c r="AQ62" s="480">
        <v>64</v>
      </c>
      <c r="AR62" s="478">
        <f xml:space="preserve"> ( $E$55 * $G$21 ) + ( $F$55 * $E$26 )</f>
        <v>58.404147044806535</v>
      </c>
      <c r="AS62" s="477">
        <v>63</v>
      </c>
      <c r="AT62" s="478">
        <f xml:space="preserve"> ( $E$55 * $G$21 ) + ( $F$55 * $E$26 )</f>
        <v>58.404147044806535</v>
      </c>
      <c r="AU62" s="477">
        <v>62</v>
      </c>
    </row>
    <row r="63" spans="1:86" x14ac:dyDescent="0.3">
      <c r="C63" s="22" t="s">
        <v>214</v>
      </c>
      <c r="D63" s="22" t="s">
        <v>388</v>
      </c>
      <c r="E63" s="22" t="s">
        <v>389</v>
      </c>
      <c r="F63" s="22" t="s">
        <v>390</v>
      </c>
      <c r="G63" s="22" t="s">
        <v>216</v>
      </c>
      <c r="H63" s="22" t="s">
        <v>391</v>
      </c>
      <c r="I63" s="22" t="s">
        <v>392</v>
      </c>
      <c r="L63" s="795" t="s">
        <v>393</v>
      </c>
      <c r="M63" s="796"/>
      <c r="AD63" s="766"/>
      <c r="AE63" s="309" t="s">
        <v>6</v>
      </c>
      <c r="AF63" s="512">
        <f>$I$22</f>
        <v>54.441989695540371</v>
      </c>
      <c r="AG63" s="513">
        <v>53.7</v>
      </c>
      <c r="AH63" s="514">
        <f>$I$22</f>
        <v>54.441989695540371</v>
      </c>
      <c r="AI63" s="600">
        <v>53.6</v>
      </c>
      <c r="AJ63" s="514">
        <f>$I$22</f>
        <v>54.441989695540371</v>
      </c>
      <c r="AK63" s="515">
        <v>53.9</v>
      </c>
      <c r="AL63" s="2">
        <f>$I$22</f>
        <v>54.441989695540371</v>
      </c>
      <c r="AM63" s="2">
        <v>53.8</v>
      </c>
      <c r="AN63" s="514">
        <f>$I$22</f>
        <v>54.441989695540371</v>
      </c>
      <c r="AO63" s="600">
        <v>53.8</v>
      </c>
      <c r="AP63" s="512">
        <f>$I$22</f>
        <v>54.441989695540371</v>
      </c>
      <c r="AQ63" s="517">
        <v>53.7</v>
      </c>
      <c r="AR63" s="512">
        <f>$I$22</f>
        <v>54.441989695540371</v>
      </c>
      <c r="AS63" s="513">
        <v>53.9</v>
      </c>
      <c r="AT63" s="512">
        <f>$I$22</f>
        <v>54.441989695540371</v>
      </c>
      <c r="AU63" s="513">
        <v>53.6</v>
      </c>
    </row>
    <row r="64" spans="1:86" x14ac:dyDescent="0.3">
      <c r="A64" s="22" t="s">
        <v>394</v>
      </c>
      <c r="B64" s="22" t="s">
        <v>160</v>
      </c>
      <c r="C64" s="294" t="s">
        <v>9</v>
      </c>
      <c r="D64" s="294" t="s">
        <v>9</v>
      </c>
      <c r="E64" s="22">
        <f t="shared" ref="E64:E79" si="26">500*C$5</f>
        <v>1088.8397939108074</v>
      </c>
      <c r="F64" s="22">
        <f t="shared" ref="F64:F69" si="27">C$31+F36+F$47+F$55</f>
        <v>176.26229142571836</v>
      </c>
      <c r="G64" s="503">
        <f>E64-F64</f>
        <v>912.5775024850891</v>
      </c>
      <c r="H64" s="22">
        <v>3</v>
      </c>
      <c r="I64" s="22">
        <f>G64*H64</f>
        <v>2737.7325074552673</v>
      </c>
      <c r="L64" s="307" t="s">
        <v>26</v>
      </c>
      <c r="M64" s="325" t="s">
        <v>356</v>
      </c>
      <c r="AD64" s="774" t="s">
        <v>52</v>
      </c>
      <c r="AE64" s="334" t="s">
        <v>339</v>
      </c>
      <c r="AF64" s="455">
        <f>$C$5 + ($C$31*$E$26)</f>
        <v>41.477679587821619</v>
      </c>
      <c r="AG64" s="456">
        <v>31</v>
      </c>
      <c r="AH64" s="457">
        <f>$C$5 + ($C$31*$E$26)</f>
        <v>41.477679587821619</v>
      </c>
      <c r="AI64" s="592">
        <v>30</v>
      </c>
      <c r="AJ64" s="457">
        <f>$C$5 + ($C$31*$E$26)</f>
        <v>41.477679587821619</v>
      </c>
      <c r="AK64" s="458">
        <v>31</v>
      </c>
      <c r="AL64" s="2">
        <f>$C$5 + ($C$31*$E$26)</f>
        <v>41.477679587821619</v>
      </c>
      <c r="AM64" s="2">
        <v>33</v>
      </c>
      <c r="AN64" s="457">
        <f>$C$5 + ($C$31*$E$26)</f>
        <v>41.477679587821619</v>
      </c>
      <c r="AO64" s="592">
        <v>32</v>
      </c>
      <c r="AP64" s="455">
        <f>$C$5 + ($C$31*$E$26)</f>
        <v>41.477679587821619</v>
      </c>
      <c r="AQ64" s="460">
        <v>33</v>
      </c>
      <c r="AR64" s="455">
        <f>$C$5 + ($C$31*$E$26)</f>
        <v>41.477679587821619</v>
      </c>
      <c r="AS64" s="456">
        <v>32</v>
      </c>
      <c r="AT64" s="457">
        <f>$C$5 + ($C$31*$E$26)</f>
        <v>41.477679587821619</v>
      </c>
      <c r="AU64" s="592">
        <v>39</v>
      </c>
    </row>
    <row r="65" spans="1:89" x14ac:dyDescent="0.3">
      <c r="A65" s="22" t="s">
        <v>395</v>
      </c>
      <c r="B65" s="22" t="s">
        <v>160</v>
      </c>
      <c r="C65" s="294" t="s">
        <v>9</v>
      </c>
      <c r="D65" s="294" t="s">
        <v>9</v>
      </c>
      <c r="E65" s="22">
        <f t="shared" si="26"/>
        <v>1088.8397939108074</v>
      </c>
      <c r="F65" s="22">
        <f t="shared" si="27"/>
        <v>194.13459491015388</v>
      </c>
      <c r="G65" s="503">
        <f t="shared" ref="G65:G79" si="28">E65-F65</f>
        <v>894.70519900065358</v>
      </c>
      <c r="H65" s="22">
        <v>3</v>
      </c>
      <c r="I65" s="22">
        <f t="shared" ref="I65:I79" si="29">G65*H65</f>
        <v>2684.1155970019609</v>
      </c>
      <c r="L65" s="308">
        <f>SUM(I64:I79)</f>
        <v>43301.950448086747</v>
      </c>
      <c r="M65" s="368">
        <f>L65/1000</f>
        <v>43.30195044808675</v>
      </c>
      <c r="AD65" s="765"/>
      <c r="AE65" s="463" t="s">
        <v>1</v>
      </c>
      <c r="AF65" s="464">
        <f xml:space="preserve"> ($E$36 * $G$12) + ($F$36 * $E$26)</f>
        <v>52.230866524109558</v>
      </c>
      <c r="AG65" s="465">
        <v>52</v>
      </c>
      <c r="AH65" s="593" t="s">
        <v>9</v>
      </c>
      <c r="AI65" s="594" t="s">
        <v>9</v>
      </c>
      <c r="AJ65" s="467" t="s">
        <v>9</v>
      </c>
      <c r="AK65" s="467" t="s">
        <v>9</v>
      </c>
      <c r="AL65" s="2" t="s">
        <v>9</v>
      </c>
      <c r="AM65" s="2" t="s">
        <v>9</v>
      </c>
      <c r="AN65" s="593" t="s">
        <v>9</v>
      </c>
      <c r="AO65" s="594" t="s">
        <v>9</v>
      </c>
      <c r="AP65" s="469" t="s">
        <v>9</v>
      </c>
      <c r="AQ65" s="469" t="s">
        <v>9</v>
      </c>
      <c r="AR65" s="466" t="s">
        <v>9</v>
      </c>
      <c r="AS65" s="465" t="s">
        <v>9</v>
      </c>
      <c r="AT65" s="593" t="s">
        <v>9</v>
      </c>
      <c r="AU65" s="594" t="s">
        <v>9</v>
      </c>
    </row>
    <row r="66" spans="1:89" x14ac:dyDescent="0.3">
      <c r="A66" s="22" t="s">
        <v>396</v>
      </c>
      <c r="B66" s="22" t="s">
        <v>160</v>
      </c>
      <c r="C66" s="294" t="s">
        <v>9</v>
      </c>
      <c r="D66" s="294" t="s">
        <v>9</v>
      </c>
      <c r="E66" s="22">
        <f t="shared" si="26"/>
        <v>1088.8397939108074</v>
      </c>
      <c r="F66" s="22">
        <f t="shared" si="27"/>
        <v>205.94589345858074</v>
      </c>
      <c r="G66" s="503">
        <f t="shared" si="28"/>
        <v>882.89390045222672</v>
      </c>
      <c r="H66" s="22">
        <v>3</v>
      </c>
      <c r="I66" s="22">
        <f t="shared" si="29"/>
        <v>2648.6817013566802</v>
      </c>
      <c r="L66" s="22" t="s">
        <v>397</v>
      </c>
      <c r="AD66" s="765"/>
      <c r="AE66" s="307" t="s">
        <v>2</v>
      </c>
      <c r="AF66" s="476" t="s">
        <v>9</v>
      </c>
      <c r="AG66" s="477" t="s">
        <v>9</v>
      </c>
      <c r="AH66" s="481">
        <f xml:space="preserve"> ($E$37 * $G$13) + ($F$37 * $E$26)</f>
        <v>70.797325063386694</v>
      </c>
      <c r="AI66" s="595">
        <v>65</v>
      </c>
      <c r="AJ66" s="479" t="s">
        <v>9</v>
      </c>
      <c r="AK66" s="479" t="s">
        <v>9</v>
      </c>
      <c r="AL66" s="2" t="s">
        <v>9</v>
      </c>
      <c r="AM66" s="2" t="s">
        <v>9</v>
      </c>
      <c r="AN66" s="596" t="s">
        <v>9</v>
      </c>
      <c r="AO66" s="595" t="s">
        <v>9</v>
      </c>
      <c r="AP66" s="480" t="s">
        <v>9</v>
      </c>
      <c r="AQ66" s="480" t="s">
        <v>9</v>
      </c>
      <c r="AR66" s="478">
        <f xml:space="preserve"> ($E$37 * $G$13) + ($F$37 * $E$26)</f>
        <v>70.797325063386694</v>
      </c>
      <c r="AS66" s="480">
        <v>65</v>
      </c>
      <c r="AT66" s="596" t="s">
        <v>9</v>
      </c>
      <c r="AU66" s="595" t="s">
        <v>9</v>
      </c>
    </row>
    <row r="67" spans="1:89" x14ac:dyDescent="0.3">
      <c r="A67" s="22" t="s">
        <v>398</v>
      </c>
      <c r="B67" s="22" t="s">
        <v>160</v>
      </c>
      <c r="C67" s="294" t="s">
        <v>9</v>
      </c>
      <c r="D67" s="294" t="s">
        <v>9</v>
      </c>
      <c r="E67" s="22">
        <f t="shared" si="26"/>
        <v>1088.8397939108074</v>
      </c>
      <c r="F67" s="22">
        <f t="shared" si="27"/>
        <v>207.9295853487192</v>
      </c>
      <c r="G67" s="503">
        <f t="shared" si="28"/>
        <v>880.9102085620882</v>
      </c>
      <c r="H67" s="22">
        <v>3</v>
      </c>
      <c r="I67" s="22">
        <f t="shared" si="29"/>
        <v>2642.7306256862648</v>
      </c>
      <c r="AD67" s="765"/>
      <c r="AE67" s="307" t="s">
        <v>4</v>
      </c>
      <c r="AF67" s="476" t="s">
        <v>9</v>
      </c>
      <c r="AG67" s="477" t="s">
        <v>9</v>
      </c>
      <c r="AH67" s="596" t="s">
        <v>9</v>
      </c>
      <c r="AI67" s="595" t="s">
        <v>9</v>
      </c>
      <c r="AJ67" s="481">
        <f xml:space="preserve"> ($E$38 * $G$14) + ($F$38 * $E$26)</f>
        <v>83.974859062604551</v>
      </c>
      <c r="AK67" s="479">
        <v>80</v>
      </c>
      <c r="AL67" s="2" t="s">
        <v>9</v>
      </c>
      <c r="AM67" s="2" t="s">
        <v>9</v>
      </c>
      <c r="AN67" s="596" t="s">
        <v>9</v>
      </c>
      <c r="AO67" s="595" t="s">
        <v>9</v>
      </c>
      <c r="AP67" s="480" t="s">
        <v>9</v>
      </c>
      <c r="AQ67" s="480" t="s">
        <v>9</v>
      </c>
      <c r="AR67" s="476" t="s">
        <v>9</v>
      </c>
      <c r="AS67" s="477" t="s">
        <v>9</v>
      </c>
      <c r="AT67" s="596" t="s">
        <v>9</v>
      </c>
      <c r="AU67" s="595" t="s">
        <v>9</v>
      </c>
      <c r="BB67" s="778" t="s">
        <v>399</v>
      </c>
      <c r="BC67" s="799" t="s">
        <v>169</v>
      </c>
      <c r="BD67" s="799"/>
      <c r="BE67" s="799"/>
      <c r="BF67" s="799"/>
      <c r="BG67" s="799"/>
      <c r="BI67" s="799" t="s">
        <v>334</v>
      </c>
      <c r="BJ67" s="799"/>
      <c r="BK67" s="799"/>
      <c r="BL67" s="799"/>
      <c r="BM67" s="799"/>
      <c r="BO67" s="791" t="s">
        <v>335</v>
      </c>
      <c r="BP67" s="791"/>
      <c r="BQ67" s="791"/>
      <c r="BR67" s="791"/>
      <c r="BS67" s="791"/>
      <c r="BU67" s="791" t="s">
        <v>336</v>
      </c>
      <c r="BV67" s="791"/>
      <c r="BW67" s="791"/>
      <c r="BX67" s="791"/>
      <c r="BY67" s="791"/>
      <c r="CA67" s="791" t="s">
        <v>337</v>
      </c>
      <c r="CB67" s="791"/>
      <c r="CC67" s="791"/>
      <c r="CD67" s="791"/>
      <c r="CE67" s="791"/>
      <c r="CG67" s="791" t="s">
        <v>338</v>
      </c>
      <c r="CH67" s="791"/>
      <c r="CI67" s="791"/>
      <c r="CJ67" s="791"/>
      <c r="CK67" s="791"/>
    </row>
    <row r="68" spans="1:89" x14ac:dyDescent="0.3">
      <c r="A68" s="22" t="s">
        <v>400</v>
      </c>
      <c r="B68" s="22" t="s">
        <v>160</v>
      </c>
      <c r="C68" s="294" t="s">
        <v>9</v>
      </c>
      <c r="D68" s="294" t="s">
        <v>9</v>
      </c>
      <c r="E68" s="22">
        <f t="shared" si="26"/>
        <v>1088.8397939108074</v>
      </c>
      <c r="F68" s="22">
        <f t="shared" si="27"/>
        <v>190.96419830542786</v>
      </c>
      <c r="G68" s="503">
        <f t="shared" si="28"/>
        <v>897.87559560537954</v>
      </c>
      <c r="H68" s="22">
        <v>3</v>
      </c>
      <c r="I68" s="22">
        <f t="shared" si="29"/>
        <v>2693.6267868161385</v>
      </c>
      <c r="AD68" s="765"/>
      <c r="AE68" s="307" t="s">
        <v>12</v>
      </c>
      <c r="AF68" s="476" t="s">
        <v>9</v>
      </c>
      <c r="AG68" s="477" t="s">
        <v>9</v>
      </c>
      <c r="AH68" s="596" t="s">
        <v>9</v>
      </c>
      <c r="AI68" s="595" t="s">
        <v>9</v>
      </c>
      <c r="AJ68" s="479" t="s">
        <v>9</v>
      </c>
      <c r="AK68" s="479" t="s">
        <v>9</v>
      </c>
      <c r="AL68" s="2" t="s">
        <v>9</v>
      </c>
      <c r="AM68" s="2" t="s">
        <v>9</v>
      </c>
      <c r="AN68" s="481">
        <f xml:space="preserve"> ($E$39 * $G$15) + ($F$39 * $E$26)</f>
        <v>89.031980494086355</v>
      </c>
      <c r="AO68" s="595">
        <v>79</v>
      </c>
      <c r="AP68" s="476" t="s">
        <v>9</v>
      </c>
      <c r="AQ68" s="477" t="s">
        <v>9</v>
      </c>
      <c r="AR68" s="476" t="s">
        <v>9</v>
      </c>
      <c r="AS68" s="477" t="s">
        <v>9</v>
      </c>
      <c r="AT68" s="481">
        <f xml:space="preserve"> ($E$39 * $G$15) + ($F$39 * $E$26)</f>
        <v>89.031980494086355</v>
      </c>
      <c r="AU68" s="595">
        <v>2</v>
      </c>
      <c r="BB68" s="778"/>
    </row>
    <row r="69" spans="1:89" x14ac:dyDescent="0.3">
      <c r="A69" s="22" t="s">
        <v>401</v>
      </c>
      <c r="B69" s="22" t="s">
        <v>160</v>
      </c>
      <c r="C69" s="294" t="s">
        <v>9</v>
      </c>
      <c r="D69" s="294" t="s">
        <v>9</v>
      </c>
      <c r="E69" s="22">
        <f t="shared" si="26"/>
        <v>1088.8397939108074</v>
      </c>
      <c r="F69" s="22">
        <f t="shared" si="27"/>
        <v>194.07529669497748</v>
      </c>
      <c r="G69" s="503">
        <f t="shared" si="28"/>
        <v>894.76449721582992</v>
      </c>
      <c r="H69" s="22">
        <v>3</v>
      </c>
      <c r="I69" s="22">
        <f t="shared" si="29"/>
        <v>2684.2934916474896</v>
      </c>
      <c r="AC69" s="21"/>
      <c r="AD69" s="765"/>
      <c r="AE69" s="307" t="s">
        <v>36</v>
      </c>
      <c r="AF69" s="476" t="s">
        <v>9</v>
      </c>
      <c r="AG69" s="477" t="s">
        <v>9</v>
      </c>
      <c r="AH69" s="596" t="s">
        <v>9</v>
      </c>
      <c r="AI69" s="595" t="s">
        <v>9</v>
      </c>
      <c r="AJ69" s="479" t="s">
        <v>9</v>
      </c>
      <c r="AK69" s="479" t="s">
        <v>9</v>
      </c>
      <c r="AL69" s="2" t="s">
        <v>9</v>
      </c>
      <c r="AM69" s="2" t="s">
        <v>9</v>
      </c>
      <c r="AN69" s="596" t="s">
        <v>9</v>
      </c>
      <c r="AO69" s="595" t="s">
        <v>9</v>
      </c>
      <c r="AP69" s="478">
        <f xml:space="preserve"> ($E$40 * $G$16) + ($F$40 * $E$26)</f>
        <v>68.208227337659082</v>
      </c>
      <c r="AQ69" s="477">
        <v>69</v>
      </c>
      <c r="AR69" s="476" t="s">
        <v>9</v>
      </c>
      <c r="AS69" s="477" t="s">
        <v>9</v>
      </c>
      <c r="AT69" s="596" t="s">
        <v>9</v>
      </c>
      <c r="AU69" s="595" t="s">
        <v>9</v>
      </c>
      <c r="AY69" s="21"/>
      <c r="BB69" s="778"/>
      <c r="BC69" s="21"/>
    </row>
    <row r="70" spans="1:89" x14ac:dyDescent="0.3">
      <c r="A70" s="22" t="s">
        <v>402</v>
      </c>
      <c r="B70" s="22" t="s">
        <v>160</v>
      </c>
      <c r="C70" s="294" t="s">
        <v>9</v>
      </c>
      <c r="D70" s="294" t="s">
        <v>9</v>
      </c>
      <c r="E70" s="22">
        <f t="shared" si="26"/>
        <v>1088.8397939108074</v>
      </c>
      <c r="F70" s="22">
        <f t="shared" ref="F70:F75" si="30">C$31+F36+F$48+F$55</f>
        <v>157.67129236177797</v>
      </c>
      <c r="G70" s="503">
        <f t="shared" si="28"/>
        <v>931.16850154902943</v>
      </c>
      <c r="H70" s="22">
        <v>3</v>
      </c>
      <c r="I70" s="22">
        <f t="shared" si="29"/>
        <v>2793.5055046470884</v>
      </c>
      <c r="AD70" s="765"/>
      <c r="AE70" s="491" t="s">
        <v>37</v>
      </c>
      <c r="AF70" s="492" t="s">
        <v>9</v>
      </c>
      <c r="AG70" s="493" t="s">
        <v>9</v>
      </c>
      <c r="AH70" s="597" t="s">
        <v>9</v>
      </c>
      <c r="AI70" s="598" t="s">
        <v>9</v>
      </c>
      <c r="AJ70" s="494" t="s">
        <v>9</v>
      </c>
      <c r="AK70" s="494" t="s">
        <v>9</v>
      </c>
      <c r="AL70" s="2">
        <f xml:space="preserve"> ($E$41 * $G$17) + ($F$41 * $E$26)</f>
        <v>70.717524490313082</v>
      </c>
      <c r="AM70" s="2">
        <v>0</v>
      </c>
      <c r="AN70" s="597" t="s">
        <v>9</v>
      </c>
      <c r="AO70" s="598" t="s">
        <v>9</v>
      </c>
      <c r="AP70" s="497" t="s">
        <v>9</v>
      </c>
      <c r="AQ70" s="498" t="s">
        <v>9</v>
      </c>
      <c r="AR70" s="492" t="s">
        <v>9</v>
      </c>
      <c r="AS70" s="493" t="s">
        <v>9</v>
      </c>
      <c r="AT70" s="597" t="s">
        <v>9</v>
      </c>
      <c r="AU70" s="598" t="s">
        <v>9</v>
      </c>
      <c r="BB70" s="778"/>
    </row>
    <row r="71" spans="1:89" x14ac:dyDescent="0.3">
      <c r="A71" s="22" t="s">
        <v>403</v>
      </c>
      <c r="B71" s="22" t="s">
        <v>160</v>
      </c>
      <c r="C71" s="294" t="s">
        <v>9</v>
      </c>
      <c r="D71" s="294" t="s">
        <v>9</v>
      </c>
      <c r="E71" s="22">
        <f t="shared" si="26"/>
        <v>1088.8397939108074</v>
      </c>
      <c r="F71" s="22">
        <f t="shared" si="30"/>
        <v>175.54359584621349</v>
      </c>
      <c r="G71" s="503">
        <f t="shared" si="28"/>
        <v>913.29619806459391</v>
      </c>
      <c r="H71" s="22">
        <v>3</v>
      </c>
      <c r="I71" s="22">
        <f t="shared" si="29"/>
        <v>2739.8885941937815</v>
      </c>
      <c r="AD71" s="765"/>
      <c r="AE71" s="294" t="s">
        <v>34</v>
      </c>
      <c r="AF71" s="476" t="s">
        <v>9</v>
      </c>
      <c r="AG71" s="477" t="s">
        <v>9</v>
      </c>
      <c r="AH71" s="596" t="s">
        <v>9</v>
      </c>
      <c r="AI71" s="595" t="s">
        <v>9</v>
      </c>
      <c r="AJ71" s="596" t="s">
        <v>9</v>
      </c>
      <c r="AK71" s="595" t="s">
        <v>9</v>
      </c>
      <c r="AL71" s="2" t="s">
        <v>9</v>
      </c>
      <c r="AM71" s="2" t="s">
        <v>9</v>
      </c>
      <c r="AN71" s="596" t="s">
        <v>9</v>
      </c>
      <c r="AO71" s="595" t="s">
        <v>9</v>
      </c>
      <c r="AP71" s="476" t="s">
        <v>9</v>
      </c>
      <c r="AQ71" s="480" t="s">
        <v>9</v>
      </c>
      <c r="AR71" s="476" t="s">
        <v>9</v>
      </c>
      <c r="AS71" s="477" t="s">
        <v>9</v>
      </c>
      <c r="AT71" s="596" t="s">
        <v>9</v>
      </c>
      <c r="AU71" s="595" t="s">
        <v>9</v>
      </c>
      <c r="BB71" s="778"/>
    </row>
    <row r="72" spans="1:89" x14ac:dyDescent="0.3">
      <c r="A72" s="22" t="s">
        <v>404</v>
      </c>
      <c r="B72" s="22" t="s">
        <v>160</v>
      </c>
      <c r="C72" s="294" t="s">
        <v>9</v>
      </c>
      <c r="D72" s="294" t="s">
        <v>9</v>
      </c>
      <c r="E72" s="22">
        <f t="shared" si="26"/>
        <v>1088.8397939108074</v>
      </c>
      <c r="F72" s="22">
        <f t="shared" si="30"/>
        <v>187.35489439464035</v>
      </c>
      <c r="G72" s="503">
        <f t="shared" si="28"/>
        <v>901.48489951616705</v>
      </c>
      <c r="H72" s="22">
        <v>3</v>
      </c>
      <c r="I72" s="22">
        <f t="shared" si="29"/>
        <v>2704.4546985485013</v>
      </c>
      <c r="AD72" s="765"/>
      <c r="AE72" s="294" t="s">
        <v>7</v>
      </c>
      <c r="AF72" s="478">
        <f xml:space="preserve"> ($E$48 * $G$19) + ($F$48 * $E$26)</f>
        <v>41.542829311146022</v>
      </c>
      <c r="AG72" s="477">
        <v>45</v>
      </c>
      <c r="AH72" s="481">
        <f xml:space="preserve"> ($E$48 * $G$19) + ($F$48 * $E$26)</f>
        <v>41.542829311146022</v>
      </c>
      <c r="AI72" s="595">
        <v>33</v>
      </c>
      <c r="AJ72" s="481">
        <f xml:space="preserve"> ($E$48 * $G$19) + ($F$48 * $E$26)</f>
        <v>41.542829311146022</v>
      </c>
      <c r="AK72" s="595">
        <v>38</v>
      </c>
      <c r="AL72" s="2">
        <f xml:space="preserve"> ($E$48 * $G$19) + ($F$48 * $E$26)</f>
        <v>41.542829311146022</v>
      </c>
      <c r="AM72" s="2">
        <v>34</v>
      </c>
      <c r="AN72" s="481">
        <f xml:space="preserve"> ($E$48 * $G$19) + ($F$48 * $E$26)</f>
        <v>41.542829311146022</v>
      </c>
      <c r="AO72" s="595">
        <v>42</v>
      </c>
      <c r="AP72" s="478">
        <f xml:space="preserve"> ($E$48 * $G$19) + ($F$48 * $E$26)</f>
        <v>41.542829311146022</v>
      </c>
      <c r="AQ72" s="480">
        <v>33</v>
      </c>
      <c r="AR72" s="476" t="s">
        <v>9</v>
      </c>
      <c r="AS72" s="477" t="s">
        <v>9</v>
      </c>
      <c r="AT72" s="596" t="s">
        <v>9</v>
      </c>
      <c r="AU72" s="595" t="s">
        <v>9</v>
      </c>
      <c r="BB72" s="778"/>
    </row>
    <row r="73" spans="1:89" x14ac:dyDescent="0.3">
      <c r="A73" s="22" t="s">
        <v>405</v>
      </c>
      <c r="B73" s="22" t="s">
        <v>160</v>
      </c>
      <c r="C73" s="294" t="s">
        <v>9</v>
      </c>
      <c r="D73" s="294" t="s">
        <v>9</v>
      </c>
      <c r="E73" s="22">
        <f t="shared" si="26"/>
        <v>1088.8397939108074</v>
      </c>
      <c r="F73" s="22">
        <f t="shared" si="30"/>
        <v>189.33858628477881</v>
      </c>
      <c r="G73" s="503">
        <f t="shared" si="28"/>
        <v>899.50120762602864</v>
      </c>
      <c r="H73" s="22">
        <v>3</v>
      </c>
      <c r="I73" s="22">
        <f t="shared" si="29"/>
        <v>2698.5036228780859</v>
      </c>
      <c r="AD73" s="765"/>
      <c r="AE73" s="294" t="s">
        <v>75</v>
      </c>
      <c r="AF73" s="476" t="s">
        <v>9</v>
      </c>
      <c r="AG73" s="477" t="s">
        <v>9</v>
      </c>
      <c r="AH73" s="596" t="s">
        <v>9</v>
      </c>
      <c r="AI73" s="595" t="s">
        <v>9</v>
      </c>
      <c r="AJ73" s="479" t="s">
        <v>9</v>
      </c>
      <c r="AK73" s="479" t="s">
        <v>9</v>
      </c>
      <c r="AL73" s="2" t="s">
        <v>9</v>
      </c>
      <c r="AM73" s="2" t="s">
        <v>9</v>
      </c>
      <c r="AN73" s="596" t="s">
        <v>9</v>
      </c>
      <c r="AO73" s="595" t="s">
        <v>9</v>
      </c>
      <c r="AP73" s="480" t="s">
        <v>9</v>
      </c>
      <c r="AQ73" s="480" t="s">
        <v>9</v>
      </c>
      <c r="AR73" s="478">
        <f xml:space="preserve"> ($E$49 * $G$20) + ($F$49 * $E$26)</f>
        <v>56.363481612451693</v>
      </c>
      <c r="AS73" s="477">
        <v>47</v>
      </c>
      <c r="AT73" s="481">
        <f xml:space="preserve"> ($E$49 * $G$20) + ($F$49 * $E$26)</f>
        <v>56.363481612451693</v>
      </c>
      <c r="AU73" s="595">
        <v>53</v>
      </c>
      <c r="BB73" s="778"/>
    </row>
    <row r="74" spans="1:89" x14ac:dyDescent="0.3">
      <c r="A74" s="22" t="s">
        <v>406</v>
      </c>
      <c r="B74" s="22" t="s">
        <v>160</v>
      </c>
      <c r="C74" s="294" t="s">
        <v>9</v>
      </c>
      <c r="D74" s="294" t="s">
        <v>9</v>
      </c>
      <c r="E74" s="22">
        <f t="shared" si="26"/>
        <v>1088.8397939108074</v>
      </c>
      <c r="F74" s="22">
        <f t="shared" si="30"/>
        <v>172.3731992414875</v>
      </c>
      <c r="G74" s="503">
        <f t="shared" si="28"/>
        <v>916.46659466931987</v>
      </c>
      <c r="H74" s="22">
        <v>3</v>
      </c>
      <c r="I74" s="22">
        <f t="shared" si="29"/>
        <v>2749.3997840079596</v>
      </c>
      <c r="AD74" s="765"/>
      <c r="AE74" s="562" t="s">
        <v>3</v>
      </c>
      <c r="AF74" s="563">
        <f>$G$70 * $E$26</f>
        <v>731.89844221753719</v>
      </c>
      <c r="AG74" s="564">
        <v>723</v>
      </c>
      <c r="AH74" s="565">
        <f>$G$71 * E$26</f>
        <v>717.85081167877081</v>
      </c>
      <c r="AI74" s="599">
        <v>708</v>
      </c>
      <c r="AJ74" s="565">
        <f>$G$72 * $E$26</f>
        <v>708.56713101970729</v>
      </c>
      <c r="AK74" s="566">
        <v>698</v>
      </c>
      <c r="AL74" s="2">
        <f>$G$73 * $E$26</f>
        <v>707.0079491940586</v>
      </c>
      <c r="AM74" s="2">
        <v>697</v>
      </c>
      <c r="AN74" s="565">
        <f>$G$74 * $E$26</f>
        <v>720.3427434100854</v>
      </c>
      <c r="AO74" s="599">
        <v>710</v>
      </c>
      <c r="AP74" s="563">
        <f>$G$75 * $E$26</f>
        <v>717.8974200758995</v>
      </c>
      <c r="AQ74" s="569">
        <v>707</v>
      </c>
      <c r="AR74" s="563">
        <f>$G$77 * $E$26</f>
        <v>707.93402159929099</v>
      </c>
      <c r="AS74" s="564">
        <v>698</v>
      </c>
      <c r="AT74" s="565">
        <f>$G$79 * $E$26</f>
        <v>697.09115911457866</v>
      </c>
      <c r="AU74" s="599">
        <v>688</v>
      </c>
      <c r="BB74" s="778"/>
    </row>
    <row r="75" spans="1:89" x14ac:dyDescent="0.3">
      <c r="A75" s="22" t="s">
        <v>407</v>
      </c>
      <c r="B75" s="22" t="s">
        <v>160</v>
      </c>
      <c r="C75" s="294" t="s">
        <v>9</v>
      </c>
      <c r="D75" s="294" t="s">
        <v>9</v>
      </c>
      <c r="E75" s="22">
        <f t="shared" si="26"/>
        <v>1088.8397939108074</v>
      </c>
      <c r="F75" s="22">
        <f t="shared" si="30"/>
        <v>175.48429763103709</v>
      </c>
      <c r="G75" s="503">
        <f t="shared" si="28"/>
        <v>913.35549627977036</v>
      </c>
      <c r="H75" s="22">
        <v>3</v>
      </c>
      <c r="I75" s="22">
        <f t="shared" si="29"/>
        <v>2740.0664888393112</v>
      </c>
      <c r="AD75" s="765"/>
      <c r="AE75" s="294" t="s">
        <v>238</v>
      </c>
      <c r="AF75" s="478">
        <f xml:space="preserve"> ( $E$55 * $G$21 ) + ( $F$55 * $E$26 )</f>
        <v>58.404147044806535</v>
      </c>
      <c r="AG75" s="477">
        <v>63</v>
      </c>
      <c r="AH75" s="481">
        <f xml:space="preserve"> ( $E$55 * $G$21 ) + ( $F$55 * $E$26 )</f>
        <v>58.404147044806535</v>
      </c>
      <c r="AI75" s="595">
        <v>62</v>
      </c>
      <c r="AJ75" s="481">
        <f xml:space="preserve"> ( $E$55 * $G$21 ) + ( $F$55 * $E$26 )</f>
        <v>58.404147044806535</v>
      </c>
      <c r="AK75" s="479">
        <v>63</v>
      </c>
      <c r="AL75" s="2">
        <f xml:space="preserve"> ( $E$55 * $G$21 ) + ( $F$55 * $E$26 )</f>
        <v>58.404147044806535</v>
      </c>
      <c r="AM75" s="2">
        <v>62</v>
      </c>
      <c r="AN75" s="481">
        <f xml:space="preserve"> ( $E$55 * $G$21 ) + ( $F$55 * $E$26 )</f>
        <v>58.404147044806535</v>
      </c>
      <c r="AO75" s="595">
        <v>62</v>
      </c>
      <c r="AP75" s="478">
        <f xml:space="preserve"> ( $E$55 * $G$21 ) + ( $F$55 * $E$26 )</f>
        <v>58.404147044806535</v>
      </c>
      <c r="AQ75" s="480">
        <v>64</v>
      </c>
      <c r="AR75" s="478">
        <f xml:space="preserve"> ( $E$55 * $G$21 ) + ( $F$55 * $E$26 )</f>
        <v>58.404147044806535</v>
      </c>
      <c r="AS75" s="477">
        <v>64</v>
      </c>
      <c r="AT75" s="481">
        <f xml:space="preserve"> ( $E$55 * $G$21 ) + ( $F$55 * $E$26 )</f>
        <v>58.404147044806535</v>
      </c>
      <c r="AU75" s="595">
        <v>61</v>
      </c>
      <c r="BB75" s="778"/>
    </row>
    <row r="76" spans="1:89" x14ac:dyDescent="0.3">
      <c r="A76" s="22" t="s">
        <v>408</v>
      </c>
      <c r="B76" s="22" t="s">
        <v>160</v>
      </c>
      <c r="C76" s="294" t="s">
        <v>9</v>
      </c>
      <c r="D76" s="294" t="s">
        <v>9</v>
      </c>
      <c r="E76" s="22">
        <f t="shared" si="26"/>
        <v>1088.8397939108074</v>
      </c>
      <c r="F76" s="22">
        <f>C$31+F36+F$49+F$55</f>
        <v>170.28807363338086</v>
      </c>
      <c r="G76" s="503">
        <f t="shared" si="28"/>
        <v>918.55172027742651</v>
      </c>
      <c r="H76" s="22">
        <v>3</v>
      </c>
      <c r="I76" s="22">
        <f t="shared" si="29"/>
        <v>2755.6551608322798</v>
      </c>
      <c r="AD76" s="766"/>
      <c r="AE76" s="309" t="s">
        <v>6</v>
      </c>
      <c r="AF76" s="512">
        <f>$I$22</f>
        <v>54.441989695540371</v>
      </c>
      <c r="AG76" s="513">
        <v>53.7</v>
      </c>
      <c r="AH76" s="514">
        <f>$I$22</f>
        <v>54.441989695540371</v>
      </c>
      <c r="AI76" s="600">
        <v>53.7</v>
      </c>
      <c r="AJ76" s="514">
        <f>$I$22</f>
        <v>54.441989695540371</v>
      </c>
      <c r="AK76" s="515">
        <v>53.5</v>
      </c>
      <c r="AL76" s="2">
        <f>$I$22</f>
        <v>54.441989695540371</v>
      </c>
      <c r="AM76" s="2">
        <v>53.6</v>
      </c>
      <c r="AN76" s="514">
        <f>$I$22</f>
        <v>54.441989695540371</v>
      </c>
      <c r="AO76" s="600">
        <v>53.7</v>
      </c>
      <c r="AP76" s="512">
        <f>$I$22</f>
        <v>54.441989695540371</v>
      </c>
      <c r="AQ76" s="517">
        <v>53.8</v>
      </c>
      <c r="AR76" s="512">
        <f>$I$22</f>
        <v>54.441989695540371</v>
      </c>
      <c r="AS76" s="513">
        <v>53.6</v>
      </c>
      <c r="AT76" s="514">
        <f>$I$22</f>
        <v>54.441989695540371</v>
      </c>
      <c r="AU76" s="600">
        <v>54.1</v>
      </c>
      <c r="BB76" s="778"/>
    </row>
    <row r="77" spans="1:89" x14ac:dyDescent="0.3">
      <c r="A77" s="22" t="s">
        <v>409</v>
      </c>
      <c r="B77" s="22" t="s">
        <v>160</v>
      </c>
      <c r="C77" s="294" t="s">
        <v>9</v>
      </c>
      <c r="D77" s="294" t="s">
        <v>9</v>
      </c>
      <c r="E77" s="22">
        <f t="shared" si="26"/>
        <v>1088.8397939108074</v>
      </c>
      <c r="F77" s="22">
        <f>C$31+F37+F$49+F$55</f>
        <v>188.16037711781638</v>
      </c>
      <c r="G77" s="503">
        <f t="shared" si="28"/>
        <v>900.67941679299111</v>
      </c>
      <c r="H77" s="22">
        <v>3</v>
      </c>
      <c r="I77" s="22">
        <f t="shared" si="29"/>
        <v>2702.0382503789733</v>
      </c>
      <c r="AD77" s="774" t="s">
        <v>53</v>
      </c>
      <c r="AE77" s="334" t="s">
        <v>339</v>
      </c>
      <c r="AF77" s="455">
        <f>$C$5 + ($C$31*$E$26)</f>
        <v>41.477679587821619</v>
      </c>
      <c r="AG77" s="456">
        <v>44</v>
      </c>
      <c r="AH77" s="457">
        <f>$C$5 + ($C$31*$E$26)</f>
        <v>41.477679587821619</v>
      </c>
      <c r="AI77" s="592">
        <v>45</v>
      </c>
      <c r="AJ77" s="457">
        <f>$C$5 + ($C$31*$E$26)</f>
        <v>41.477679587821619</v>
      </c>
      <c r="AK77" s="458">
        <v>41</v>
      </c>
      <c r="AL77" s="2">
        <f>$C$5 + ($C$31*$E$26)</f>
        <v>41.477679587821619</v>
      </c>
      <c r="AM77" s="2">
        <v>37</v>
      </c>
      <c r="AN77" s="457">
        <f>$C$5 + ($C$31*$E$26)</f>
        <v>41.477679587821619</v>
      </c>
      <c r="AO77" s="592">
        <v>43</v>
      </c>
      <c r="AP77" s="455">
        <f>$C$5 + ($C$31*$E$26)</f>
        <v>41.477679587821619</v>
      </c>
      <c r="AQ77" s="460">
        <v>30</v>
      </c>
      <c r="AR77" s="455">
        <f>$C$5 + ($C$31*$E$26)</f>
        <v>41.477679587821619</v>
      </c>
      <c r="AS77" s="456">
        <v>31</v>
      </c>
      <c r="AT77" s="459">
        <f>$C$5 + ($C$31*$E$26)</f>
        <v>41.477679587821619</v>
      </c>
      <c r="AU77" s="119">
        <v>40</v>
      </c>
      <c r="BB77" s="778"/>
    </row>
    <row r="78" spans="1:89" x14ac:dyDescent="0.3">
      <c r="A78" s="22" t="s">
        <v>410</v>
      </c>
      <c r="B78" s="22" t="s">
        <v>160</v>
      </c>
      <c r="C78" s="294" t="s">
        <v>9</v>
      </c>
      <c r="D78" s="294" t="s">
        <v>9</v>
      </c>
      <c r="E78" s="22">
        <f t="shared" si="26"/>
        <v>1088.8397939108074</v>
      </c>
      <c r="F78" s="22">
        <f>C$31+F38+F$49+F$55</f>
        <v>199.97167566624324</v>
      </c>
      <c r="G78" s="503">
        <f t="shared" si="28"/>
        <v>888.86811824456413</v>
      </c>
      <c r="H78" s="22">
        <v>3</v>
      </c>
      <c r="I78" s="22">
        <f t="shared" si="29"/>
        <v>2666.6043547336922</v>
      </c>
      <c r="AD78" s="765"/>
      <c r="AE78" s="463" t="s">
        <v>1</v>
      </c>
      <c r="AF78" s="464">
        <f xml:space="preserve"> ($E$36 * $G$12) + ($F$36 * $E$26)</f>
        <v>52.230866524109558</v>
      </c>
      <c r="AG78" s="465">
        <v>45</v>
      </c>
      <c r="AH78" s="593" t="s">
        <v>9</v>
      </c>
      <c r="AI78" s="594" t="s">
        <v>9</v>
      </c>
      <c r="AJ78" s="467" t="s">
        <v>9</v>
      </c>
      <c r="AK78" s="467" t="s">
        <v>9</v>
      </c>
      <c r="AL78" s="2" t="s">
        <v>9</v>
      </c>
      <c r="AM78" s="2" t="s">
        <v>9</v>
      </c>
      <c r="AN78" s="593" t="s">
        <v>9</v>
      </c>
      <c r="AO78" s="594" t="s">
        <v>9</v>
      </c>
      <c r="AP78" s="469" t="s">
        <v>9</v>
      </c>
      <c r="AQ78" s="469" t="s">
        <v>9</v>
      </c>
      <c r="AR78" s="466" t="s">
        <v>9</v>
      </c>
      <c r="AS78" s="465" t="s">
        <v>9</v>
      </c>
      <c r="AT78" s="463" t="s">
        <v>9</v>
      </c>
      <c r="AU78" s="468" t="s">
        <v>9</v>
      </c>
      <c r="BB78" s="778"/>
    </row>
    <row r="79" spans="1:89" x14ac:dyDescent="0.3">
      <c r="A79" s="22" t="s">
        <v>411</v>
      </c>
      <c r="B79" s="22" t="s">
        <v>160</v>
      </c>
      <c r="C79" s="294" t="s">
        <v>9</v>
      </c>
      <c r="D79" s="294" t="s">
        <v>9</v>
      </c>
      <c r="E79" s="22">
        <f t="shared" si="26"/>
        <v>1088.8397939108074</v>
      </c>
      <c r="F79" s="22">
        <f>C$31+F39+F$49+F$55</f>
        <v>201.9553675563817</v>
      </c>
      <c r="G79" s="503">
        <f t="shared" si="28"/>
        <v>886.88442635442573</v>
      </c>
      <c r="H79" s="22">
        <v>3</v>
      </c>
      <c r="I79" s="435">
        <f t="shared" si="29"/>
        <v>2660.6532790632773</v>
      </c>
      <c r="AD79" s="765"/>
      <c r="AE79" s="307" t="s">
        <v>2</v>
      </c>
      <c r="AF79" s="476" t="s">
        <v>9</v>
      </c>
      <c r="AG79" s="477" t="s">
        <v>9</v>
      </c>
      <c r="AH79" s="481">
        <f xml:space="preserve"> ($E$37 * $G$13) + ($F$37 * $E$26)</f>
        <v>70.797325063386694</v>
      </c>
      <c r="AI79" s="595">
        <v>71</v>
      </c>
      <c r="AJ79" s="479" t="s">
        <v>9</v>
      </c>
      <c r="AK79" s="479" t="s">
        <v>9</v>
      </c>
      <c r="AL79" s="2" t="s">
        <v>9</v>
      </c>
      <c r="AM79" s="2" t="s">
        <v>9</v>
      </c>
      <c r="AN79" s="596" t="s">
        <v>9</v>
      </c>
      <c r="AO79" s="595" t="s">
        <v>9</v>
      </c>
      <c r="AP79" s="480" t="s">
        <v>9</v>
      </c>
      <c r="AQ79" s="480" t="s">
        <v>9</v>
      </c>
      <c r="AR79" s="478">
        <f xml:space="preserve"> ($E$37 * $G$13) + ($F$37 * $E$26)</f>
        <v>70.797325063386694</v>
      </c>
      <c r="AS79" s="480">
        <v>65</v>
      </c>
      <c r="AT79" s="307" t="s">
        <v>9</v>
      </c>
      <c r="AU79" s="325" t="s">
        <v>9</v>
      </c>
      <c r="BB79" s="778"/>
    </row>
    <row r="80" spans="1:89" x14ac:dyDescent="0.3">
      <c r="I80" s="21">
        <f>SUM(I64:I79)</f>
        <v>43301.950448086747</v>
      </c>
      <c r="AD80" s="765"/>
      <c r="AE80" s="307" t="s">
        <v>4</v>
      </c>
      <c r="AF80" s="476" t="s">
        <v>9</v>
      </c>
      <c r="AG80" s="477" t="s">
        <v>9</v>
      </c>
      <c r="AH80" s="596" t="s">
        <v>9</v>
      </c>
      <c r="AI80" s="595" t="s">
        <v>9</v>
      </c>
      <c r="AJ80" s="481">
        <f xml:space="preserve"> ($E$38 * $G$14) + ($F$38 * $E$26)</f>
        <v>83.974859062604551</v>
      </c>
      <c r="AK80" s="479">
        <v>77</v>
      </c>
      <c r="AL80" s="2" t="s">
        <v>9</v>
      </c>
      <c r="AM80" s="2" t="s">
        <v>9</v>
      </c>
      <c r="AN80" s="596" t="s">
        <v>9</v>
      </c>
      <c r="AO80" s="595" t="s">
        <v>9</v>
      </c>
      <c r="AP80" s="480" t="s">
        <v>9</v>
      </c>
      <c r="AQ80" s="480" t="s">
        <v>9</v>
      </c>
      <c r="AR80" s="476" t="s">
        <v>9</v>
      </c>
      <c r="AS80" s="477" t="s">
        <v>9</v>
      </c>
      <c r="AT80" s="307" t="s">
        <v>9</v>
      </c>
      <c r="AU80" s="325" t="s">
        <v>9</v>
      </c>
      <c r="BB80" s="778"/>
    </row>
    <row r="81" spans="1:86" x14ac:dyDescent="0.3">
      <c r="AD81" s="765"/>
      <c r="AE81" s="307" t="s">
        <v>12</v>
      </c>
      <c r="AF81" s="476" t="s">
        <v>9</v>
      </c>
      <c r="AG81" s="477" t="s">
        <v>9</v>
      </c>
      <c r="AH81" s="596" t="s">
        <v>9</v>
      </c>
      <c r="AI81" s="595" t="s">
        <v>9</v>
      </c>
      <c r="AJ81" s="479" t="s">
        <v>9</v>
      </c>
      <c r="AK81" s="479" t="s">
        <v>9</v>
      </c>
      <c r="AL81" s="2" t="s">
        <v>9</v>
      </c>
      <c r="AM81" s="2" t="s">
        <v>9</v>
      </c>
      <c r="AN81" s="481">
        <f xml:space="preserve"> ($E$39 * $G$15) + ($F$39 * $E$26)</f>
        <v>89.031980494086355</v>
      </c>
      <c r="AO81" s="595">
        <v>85</v>
      </c>
      <c r="AP81" s="476" t="s">
        <v>9</v>
      </c>
      <c r="AQ81" s="477" t="s">
        <v>9</v>
      </c>
      <c r="AR81" s="476" t="s">
        <v>9</v>
      </c>
      <c r="AS81" s="477" t="s">
        <v>9</v>
      </c>
      <c r="AT81" s="482">
        <f xml:space="preserve"> ($E$39 * $G$15) + ($F$39 * $E$26)</f>
        <v>89.031980494086355</v>
      </c>
      <c r="AU81" s="325">
        <v>1</v>
      </c>
      <c r="BB81" s="778"/>
    </row>
    <row r="82" spans="1:86" x14ac:dyDescent="0.3">
      <c r="AD82" s="765"/>
      <c r="AE82" s="307" t="s">
        <v>36</v>
      </c>
      <c r="AF82" s="476" t="s">
        <v>9</v>
      </c>
      <c r="AG82" s="477" t="s">
        <v>9</v>
      </c>
      <c r="AH82" s="596" t="s">
        <v>9</v>
      </c>
      <c r="AI82" s="595" t="s">
        <v>9</v>
      </c>
      <c r="AJ82" s="479" t="s">
        <v>9</v>
      </c>
      <c r="AK82" s="479" t="s">
        <v>9</v>
      </c>
      <c r="AL82" s="2" t="s">
        <v>9</v>
      </c>
      <c r="AM82" s="2" t="s">
        <v>9</v>
      </c>
      <c r="AN82" s="596" t="s">
        <v>9</v>
      </c>
      <c r="AO82" s="595" t="s">
        <v>9</v>
      </c>
      <c r="AP82" s="478">
        <f xml:space="preserve"> ($E$40 * $G$16) + ($F$40 * $E$26)</f>
        <v>68.208227337659082</v>
      </c>
      <c r="AQ82" s="477">
        <v>65</v>
      </c>
      <c r="AR82" s="476" t="s">
        <v>9</v>
      </c>
      <c r="AS82" s="477" t="s">
        <v>9</v>
      </c>
      <c r="AT82" s="307" t="s">
        <v>9</v>
      </c>
      <c r="AU82" s="325" t="s">
        <v>9</v>
      </c>
      <c r="BB82" s="778"/>
      <c r="BP82" s="22">
        <v>412.14859999999999</v>
      </c>
      <c r="BV82" s="22">
        <v>398.11410000000001</v>
      </c>
    </row>
    <row r="83" spans="1:86" x14ac:dyDescent="0.3">
      <c r="AD83" s="765"/>
      <c r="AE83" s="491" t="s">
        <v>37</v>
      </c>
      <c r="AF83" s="492" t="s">
        <v>9</v>
      </c>
      <c r="AG83" s="493" t="s">
        <v>9</v>
      </c>
      <c r="AH83" s="597" t="s">
        <v>9</v>
      </c>
      <c r="AI83" s="598" t="s">
        <v>9</v>
      </c>
      <c r="AJ83" s="494" t="s">
        <v>9</v>
      </c>
      <c r="AK83" s="494" t="s">
        <v>9</v>
      </c>
      <c r="AL83" s="2">
        <f xml:space="preserve"> ($E$41 * $G$17) + ($F$41 * $E$26)</f>
        <v>70.717524490313082</v>
      </c>
      <c r="AM83" s="2">
        <v>0</v>
      </c>
      <c r="AN83" s="597" t="s">
        <v>9</v>
      </c>
      <c r="AO83" s="598" t="s">
        <v>9</v>
      </c>
      <c r="AP83" s="497" t="s">
        <v>9</v>
      </c>
      <c r="AQ83" s="498" t="s">
        <v>9</v>
      </c>
      <c r="AR83" s="492" t="s">
        <v>9</v>
      </c>
      <c r="AS83" s="493" t="s">
        <v>9</v>
      </c>
      <c r="AT83" s="491" t="s">
        <v>9</v>
      </c>
      <c r="AU83" s="501" t="s">
        <v>9</v>
      </c>
      <c r="BB83" s="778"/>
      <c r="BD83" s="22">
        <v>352.3338</v>
      </c>
      <c r="BI83" s="22">
        <v>392.14350000000002</v>
      </c>
      <c r="CB83" s="22">
        <v>380.12349999999998</v>
      </c>
    </row>
    <row r="84" spans="1:86" x14ac:dyDescent="0.3">
      <c r="AD84" s="765"/>
      <c r="AE84" s="294" t="s">
        <v>34</v>
      </c>
      <c r="AF84" s="476" t="s">
        <v>9</v>
      </c>
      <c r="AG84" s="477" t="s">
        <v>9</v>
      </c>
      <c r="AH84" s="596" t="s">
        <v>9</v>
      </c>
      <c r="AI84" s="595" t="s">
        <v>9</v>
      </c>
      <c r="AJ84" s="596" t="s">
        <v>9</v>
      </c>
      <c r="AK84" s="595" t="s">
        <v>9</v>
      </c>
      <c r="AL84" s="2" t="s">
        <v>9</v>
      </c>
      <c r="AM84" s="2" t="s">
        <v>9</v>
      </c>
      <c r="AN84" s="596" t="s">
        <v>9</v>
      </c>
      <c r="AO84" s="595" t="s">
        <v>9</v>
      </c>
      <c r="AP84" s="476" t="s">
        <v>9</v>
      </c>
      <c r="AQ84" s="480" t="s">
        <v>9</v>
      </c>
      <c r="AR84" s="476" t="s">
        <v>9</v>
      </c>
      <c r="AS84" s="477" t="s">
        <v>9</v>
      </c>
      <c r="AT84" s="307" t="s">
        <v>9</v>
      </c>
      <c r="AU84" s="325" t="s">
        <v>9</v>
      </c>
      <c r="BB84" s="778"/>
      <c r="CH84" s="22">
        <v>392.14350000000002</v>
      </c>
    </row>
    <row r="85" spans="1:86" x14ac:dyDescent="0.3">
      <c r="A85" s="316"/>
      <c r="AD85" s="765"/>
      <c r="AE85" s="294" t="s">
        <v>7</v>
      </c>
      <c r="AF85" s="478">
        <f xml:space="preserve"> ($E$48 * $G$19) + ($F$48 * $E$26)</f>
        <v>41.542829311146022</v>
      </c>
      <c r="AG85" s="477">
        <v>37</v>
      </c>
      <c r="AH85" s="481">
        <f xml:space="preserve"> ($E$48 * $G$19) + ($F$48 * $E$26)</f>
        <v>41.542829311146022</v>
      </c>
      <c r="AI85" s="595">
        <v>38</v>
      </c>
      <c r="AJ85" s="481">
        <f xml:space="preserve"> ($E$48 * $G$19) + ($F$48 * $E$26)</f>
        <v>41.542829311146022</v>
      </c>
      <c r="AK85" s="595">
        <v>42</v>
      </c>
      <c r="AL85" s="2">
        <f xml:space="preserve"> ($E$48 * $G$19) + ($F$48 * $E$26)</f>
        <v>41.542829311146022</v>
      </c>
      <c r="AM85" s="2">
        <v>32</v>
      </c>
      <c r="AN85" s="481">
        <f xml:space="preserve"> ($E$48 * $G$19) + ($F$48 * $E$26)</f>
        <v>41.542829311146022</v>
      </c>
      <c r="AO85" s="595">
        <v>32</v>
      </c>
      <c r="AP85" s="478">
        <f xml:space="preserve"> ($E$48 * $G$19) + ($F$48 * $E$26)</f>
        <v>41.542829311146022</v>
      </c>
      <c r="AQ85" s="480">
        <v>50</v>
      </c>
      <c r="AR85" s="476" t="s">
        <v>9</v>
      </c>
      <c r="AS85" s="477" t="s">
        <v>9</v>
      </c>
      <c r="AT85" s="307" t="s">
        <v>9</v>
      </c>
      <c r="AU85" s="325" t="s">
        <v>9</v>
      </c>
      <c r="BB85" s="778"/>
    </row>
    <row r="86" spans="1:86" x14ac:dyDescent="0.3">
      <c r="AD86" s="765"/>
      <c r="AE86" s="294" t="s">
        <v>75</v>
      </c>
      <c r="AF86" s="476" t="s">
        <v>9</v>
      </c>
      <c r="AG86" s="477" t="s">
        <v>9</v>
      </c>
      <c r="AH86" s="596" t="s">
        <v>9</v>
      </c>
      <c r="AI86" s="595" t="s">
        <v>9</v>
      </c>
      <c r="AJ86" s="479" t="s">
        <v>9</v>
      </c>
      <c r="AK86" s="479" t="s">
        <v>9</v>
      </c>
      <c r="AL86" s="2" t="s">
        <v>9</v>
      </c>
      <c r="AM86" s="2" t="s">
        <v>9</v>
      </c>
      <c r="AN86" s="596" t="s">
        <v>9</v>
      </c>
      <c r="AO86" s="595" t="s">
        <v>9</v>
      </c>
      <c r="AP86" s="480" t="s">
        <v>9</v>
      </c>
      <c r="AQ86" s="480" t="s">
        <v>9</v>
      </c>
      <c r="AR86" s="478">
        <f xml:space="preserve"> ($E$49 * $G$20) + ($F$49 * $E$26)</f>
        <v>56.363481612451693</v>
      </c>
      <c r="AS86" s="477">
        <v>64</v>
      </c>
      <c r="AT86" s="482">
        <f xml:space="preserve"> ($E$49 * $G$20) + ($F$49 * $E$26)</f>
        <v>56.363481612451693</v>
      </c>
      <c r="AU86" s="325">
        <v>55</v>
      </c>
      <c r="BB86" s="778"/>
    </row>
    <row r="87" spans="1:86" x14ac:dyDescent="0.3">
      <c r="AD87" s="765"/>
      <c r="AE87" s="562" t="s">
        <v>3</v>
      </c>
      <c r="AF87" s="563">
        <f>$G$70 * $E$26</f>
        <v>731.89844221753719</v>
      </c>
      <c r="AG87" s="564">
        <v>721</v>
      </c>
      <c r="AH87" s="565">
        <f>$G$71 * E$26</f>
        <v>717.85081167877081</v>
      </c>
      <c r="AI87" s="599">
        <v>710</v>
      </c>
      <c r="AJ87" s="565">
        <f>$G$72 * $E$26</f>
        <v>708.56713101970729</v>
      </c>
      <c r="AK87" s="566">
        <v>698</v>
      </c>
      <c r="AL87" s="2">
        <f>$G$73 * $E$26</f>
        <v>707.0079491940586</v>
      </c>
      <c r="AM87" s="2">
        <v>698</v>
      </c>
      <c r="AN87" s="565">
        <f>$G$74 * $E$26</f>
        <v>720.3427434100854</v>
      </c>
      <c r="AO87" s="599">
        <v>709</v>
      </c>
      <c r="AP87" s="563">
        <f>$G$75 * $E$26</f>
        <v>717.8974200758995</v>
      </c>
      <c r="AQ87" s="569">
        <v>708</v>
      </c>
      <c r="AR87" s="563">
        <f>$G$77 * $E$26</f>
        <v>707.93402159929099</v>
      </c>
      <c r="AS87" s="564">
        <v>697</v>
      </c>
      <c r="AT87" s="567">
        <f>$G$79 * $E$26</f>
        <v>697.09115911457866</v>
      </c>
      <c r="AU87" s="568">
        <v>688</v>
      </c>
    </row>
    <row r="88" spans="1:86" x14ac:dyDescent="0.3">
      <c r="AD88" s="765"/>
      <c r="AE88" s="294" t="s">
        <v>238</v>
      </c>
      <c r="AF88" s="478">
        <f xml:space="preserve"> ( $E$55 * $G$21 ) + ( $F$55 * $E$26 )</f>
        <v>58.404147044806535</v>
      </c>
      <c r="AG88" s="477">
        <v>65</v>
      </c>
      <c r="AH88" s="481">
        <f xml:space="preserve"> ( $E$55 * $G$21 ) + ( $F$55 * $E$26 )</f>
        <v>58.404147044806535</v>
      </c>
      <c r="AI88" s="595">
        <v>62</v>
      </c>
      <c r="AJ88" s="481">
        <f xml:space="preserve"> ( $E$55 * $G$21 ) + ( $F$55 * $E$26 )</f>
        <v>58.404147044806535</v>
      </c>
      <c r="AK88" s="479">
        <v>63</v>
      </c>
      <c r="AL88" s="2">
        <f xml:space="preserve"> ( $E$55 * $G$21 ) + ( $F$55 * $E$26 )</f>
        <v>58.404147044806535</v>
      </c>
      <c r="AM88" s="2">
        <v>63</v>
      </c>
      <c r="AN88" s="481">
        <f xml:space="preserve"> ( $E$55 * $G$21 ) + ( $F$55 * $E$26 )</f>
        <v>58.404147044806535</v>
      </c>
      <c r="AO88" s="595">
        <v>63</v>
      </c>
      <c r="AP88" s="478">
        <f xml:space="preserve"> ( $E$55 * $G$21 ) + ( $F$55 * $E$26 )</f>
        <v>58.404147044806535</v>
      </c>
      <c r="AQ88" s="480">
        <v>63</v>
      </c>
      <c r="AR88" s="478">
        <f xml:space="preserve"> ( $E$55 * $G$21 ) + ( $F$55 * $E$26 )</f>
        <v>58.404147044806535</v>
      </c>
      <c r="AS88" s="477">
        <v>63</v>
      </c>
      <c r="AT88" s="482">
        <f xml:space="preserve"> ( $E$55 * $G$21 ) + ( $F$55 * $E$26 )</f>
        <v>58.404147044806535</v>
      </c>
      <c r="AU88" s="325">
        <v>61</v>
      </c>
      <c r="AZ88" s="5"/>
      <c r="BA88" s="5"/>
      <c r="BB88" s="5"/>
      <c r="BC88" s="5"/>
      <c r="BD88" s="5"/>
      <c r="BE88" s="5"/>
      <c r="BF88" s="5"/>
      <c r="BG88" s="5"/>
      <c r="BH88" s="5"/>
    </row>
    <row r="89" spans="1:86" x14ac:dyDescent="0.3">
      <c r="AD89" s="766"/>
      <c r="AE89" s="309" t="s">
        <v>6</v>
      </c>
      <c r="AF89" s="512">
        <f>$I$22</f>
        <v>54.441989695540371</v>
      </c>
      <c r="AG89" s="513">
        <v>53.9</v>
      </c>
      <c r="AH89" s="514">
        <f>$I$22</f>
        <v>54.441989695540371</v>
      </c>
      <c r="AI89" s="600">
        <v>53.6</v>
      </c>
      <c r="AJ89" s="514">
        <f>$I$22</f>
        <v>54.441989695540371</v>
      </c>
      <c r="AK89" s="515">
        <v>53.8</v>
      </c>
      <c r="AL89" s="2">
        <f>$I$22</f>
        <v>54.441989695540371</v>
      </c>
      <c r="AM89" s="2">
        <v>53.8</v>
      </c>
      <c r="AN89" s="514">
        <f>$I$22</f>
        <v>54.441989695540371</v>
      </c>
      <c r="AO89" s="600">
        <v>54.2</v>
      </c>
      <c r="AP89" s="512">
        <f>$I$22</f>
        <v>54.441989695540371</v>
      </c>
      <c r="AQ89" s="517">
        <v>53.5</v>
      </c>
      <c r="AR89" s="512">
        <f>$I$22</f>
        <v>54.441989695540371</v>
      </c>
      <c r="AS89" s="513">
        <v>55</v>
      </c>
      <c r="AT89" s="516">
        <f>$I$22</f>
        <v>54.441989695540371</v>
      </c>
      <c r="AU89" s="368">
        <v>53.9</v>
      </c>
      <c r="AZ89" s="5"/>
      <c r="BA89" s="5"/>
      <c r="BB89" s="5"/>
      <c r="BC89" s="5"/>
      <c r="BD89" s="5"/>
      <c r="BE89" s="5"/>
      <c r="BF89" s="5"/>
      <c r="BG89" s="5"/>
      <c r="BH89" s="5"/>
    </row>
    <row r="90" spans="1:86" x14ac:dyDescent="0.3">
      <c r="A90" s="22" t="s">
        <v>412</v>
      </c>
      <c r="AZ90" s="5"/>
      <c r="BA90" s="5"/>
      <c r="BB90" s="5"/>
      <c r="BC90" s="5"/>
      <c r="BD90" s="5"/>
      <c r="BE90" s="5"/>
      <c r="BF90" s="5"/>
      <c r="BG90" s="5"/>
      <c r="BH90" s="5"/>
    </row>
    <row r="91" spans="1:86" x14ac:dyDescent="0.3">
      <c r="A91" s="22">
        <v>1</v>
      </c>
      <c r="B91" s="22" t="s">
        <v>413</v>
      </c>
      <c r="AZ91" s="5"/>
      <c r="BA91" s="5"/>
      <c r="BB91" s="5"/>
      <c r="BC91" s="5"/>
      <c r="BD91" s="5"/>
      <c r="BE91" s="5"/>
      <c r="BF91" s="5"/>
      <c r="BG91" s="5"/>
      <c r="BH91" s="5"/>
    </row>
    <row r="92" spans="1:86" ht="14.4" customHeight="1" thickBot="1" x14ac:dyDescent="0.35">
      <c r="AD92" s="10"/>
      <c r="AE92" s="10"/>
      <c r="AF92" s="10"/>
      <c r="AG92" s="10"/>
      <c r="AH92" s="10"/>
      <c r="AI92" s="10"/>
      <c r="AJ92" s="10"/>
      <c r="AK92" s="10"/>
      <c r="AL92" s="10"/>
      <c r="AM92" s="10"/>
      <c r="AN92" s="11"/>
      <c r="AO92" s="11"/>
      <c r="AP92" s="11"/>
      <c r="AQ92" s="11"/>
      <c r="AR92" s="11"/>
      <c r="AS92" s="11"/>
      <c r="AT92" s="11"/>
      <c r="AU92" s="11"/>
      <c r="AZ92" s="5"/>
      <c r="BA92" s="5"/>
      <c r="BB92" s="5"/>
      <c r="BC92" s="5"/>
      <c r="BD92" s="5"/>
      <c r="BE92" s="5"/>
      <c r="BF92" s="5"/>
      <c r="BG92" s="5"/>
      <c r="BH92" s="5"/>
    </row>
    <row r="93" spans="1:86" ht="15" thickBot="1" x14ac:dyDescent="0.35">
      <c r="AG93" s="745" t="s">
        <v>161</v>
      </c>
      <c r="AH93" s="746"/>
      <c r="AI93" s="746"/>
      <c r="AJ93" s="746"/>
      <c r="AK93" s="746"/>
      <c r="AL93" s="746"/>
      <c r="AM93" s="746"/>
      <c r="AN93" s="746"/>
      <c r="AO93" s="746"/>
      <c r="AP93" s="746"/>
      <c r="AQ93" s="746"/>
      <c r="AR93" s="746"/>
      <c r="AS93" s="746"/>
      <c r="AT93" s="746"/>
      <c r="AU93" s="746"/>
      <c r="AV93" s="745" t="s">
        <v>162</v>
      </c>
      <c r="AW93" s="746"/>
      <c r="AX93" s="747"/>
      <c r="AZ93" s="5"/>
      <c r="BA93" s="5"/>
      <c r="BB93" s="5"/>
      <c r="BC93" s="5"/>
      <c r="BD93" s="5"/>
      <c r="BE93" s="5"/>
      <c r="BF93" s="5"/>
      <c r="BG93" s="5"/>
      <c r="BH93" s="5"/>
    </row>
    <row r="94" spans="1:86" ht="15" thickBot="1" x14ac:dyDescent="0.35">
      <c r="AG94" s="767" t="s">
        <v>19</v>
      </c>
      <c r="AH94" s="768"/>
      <c r="AI94" s="768"/>
      <c r="AJ94" s="769" t="s">
        <v>46</v>
      </c>
      <c r="AK94" s="768"/>
      <c r="AL94" s="770"/>
      <c r="AM94" s="768" t="s">
        <v>47</v>
      </c>
      <c r="AN94" s="768"/>
      <c r="AO94" s="768"/>
      <c r="AP94" s="769" t="s">
        <v>5</v>
      </c>
      <c r="AQ94" s="768"/>
      <c r="AR94" s="770"/>
      <c r="AS94" s="768" t="s">
        <v>160</v>
      </c>
      <c r="AT94" s="768"/>
      <c r="AU94" s="768"/>
      <c r="AV94" s="771" t="s">
        <v>8</v>
      </c>
      <c r="AW94" s="772"/>
      <c r="AX94" s="773"/>
      <c r="AZ94" s="5"/>
      <c r="BA94" s="5"/>
      <c r="BB94" s="5"/>
      <c r="BC94" s="5"/>
      <c r="BD94" s="5"/>
      <c r="BE94" s="5"/>
      <c r="BF94" s="5"/>
      <c r="BG94" s="5"/>
      <c r="BH94" s="5"/>
    </row>
    <row r="95" spans="1:86" x14ac:dyDescent="0.3">
      <c r="AD95" s="427" t="s">
        <v>46</v>
      </c>
      <c r="AE95" s="428" t="s">
        <v>47</v>
      </c>
      <c r="AF95" s="225" t="s">
        <v>55</v>
      </c>
      <c r="AG95" s="292" t="s">
        <v>158</v>
      </c>
      <c r="AH95" s="288" t="s">
        <v>159</v>
      </c>
      <c r="AI95" s="288" t="s">
        <v>157</v>
      </c>
      <c r="AJ95" s="292" t="s">
        <v>158</v>
      </c>
      <c r="AK95" s="288" t="s">
        <v>159</v>
      </c>
      <c r="AL95" s="293" t="s">
        <v>157</v>
      </c>
      <c r="AM95" s="288" t="s">
        <v>158</v>
      </c>
      <c r="AN95" s="288" t="s">
        <v>159</v>
      </c>
      <c r="AO95" s="288" t="s">
        <v>157</v>
      </c>
      <c r="AP95" s="292" t="s">
        <v>158</v>
      </c>
      <c r="AQ95" s="288" t="s">
        <v>159</v>
      </c>
      <c r="AR95" s="293" t="s">
        <v>157</v>
      </c>
      <c r="AS95" s="288" t="s">
        <v>158</v>
      </c>
      <c r="AT95" s="288" t="s">
        <v>159</v>
      </c>
      <c r="AU95" s="288" t="s">
        <v>157</v>
      </c>
      <c r="AV95" s="424" t="s">
        <v>158</v>
      </c>
      <c r="AW95" s="425" t="s">
        <v>159</v>
      </c>
      <c r="AX95" s="426" t="s">
        <v>157</v>
      </c>
      <c r="AZ95" s="5"/>
      <c r="BA95" s="627"/>
      <c r="BB95" s="627"/>
      <c r="BC95" s="627"/>
      <c r="BD95" s="628"/>
      <c r="BE95" s="5"/>
      <c r="BF95" s="5"/>
      <c r="BG95" s="5"/>
      <c r="BH95" s="5"/>
    </row>
    <row r="96" spans="1:86" x14ac:dyDescent="0.3">
      <c r="A96" s="22" t="s">
        <v>316</v>
      </c>
      <c r="AD96" s="748" t="s">
        <v>48</v>
      </c>
      <c r="AE96" s="755" t="s">
        <v>48</v>
      </c>
      <c r="AF96" s="42" t="s">
        <v>59</v>
      </c>
      <c r="AG96" s="691">
        <f>AF$12</f>
        <v>41.477679587821619</v>
      </c>
      <c r="AH96" s="42">
        <v>32</v>
      </c>
      <c r="AI96" s="211">
        <f>ABS(AH96-AG96)/AG96</f>
        <v>0.22850071850703019</v>
      </c>
      <c r="AJ96" s="691">
        <v>52</v>
      </c>
      <c r="AK96" s="42">
        <v>46</v>
      </c>
      <c r="AL96" s="217">
        <f t="shared" ref="AL96:AL119" si="31">ABS(AK96-AJ96)/AJ96</f>
        <v>0.11538461538461539</v>
      </c>
      <c r="AM96" s="694">
        <v>62</v>
      </c>
      <c r="AN96" s="42">
        <v>50</v>
      </c>
      <c r="AO96" s="217">
        <f>ABS(AN96-AM96)/AM96</f>
        <v>0.19354838709677419</v>
      </c>
      <c r="AP96" s="171">
        <v>58</v>
      </c>
      <c r="AQ96" s="64">
        <v>60</v>
      </c>
      <c r="AR96" s="216">
        <f>ABS(AQ96-AP96)/AP96</f>
        <v>3.4482758620689655E-2</v>
      </c>
      <c r="AS96" s="173">
        <v>717</v>
      </c>
      <c r="AT96" s="64">
        <v>652</v>
      </c>
      <c r="AU96" s="206">
        <f>ABS(AT96-AS96)/AS96</f>
        <v>9.0655509065550907E-2</v>
      </c>
      <c r="AV96" s="697">
        <v>54</v>
      </c>
      <c r="AW96" s="42">
        <v>54.2</v>
      </c>
      <c r="AX96" s="212">
        <f>ABS(AW96-AV96)/AV96</f>
        <v>3.7037037037037563E-3</v>
      </c>
      <c r="AZ96" s="5"/>
      <c r="BA96" s="627"/>
      <c r="BB96" s="627"/>
      <c r="BC96" s="627"/>
      <c r="BD96" s="628"/>
      <c r="BE96" s="5"/>
      <c r="BF96" s="5"/>
      <c r="BG96" s="5"/>
      <c r="BH96" s="5"/>
    </row>
    <row r="97" spans="1:75" x14ac:dyDescent="0.3">
      <c r="A97" s="22">
        <v>1</v>
      </c>
      <c r="B97" s="22" t="s">
        <v>317</v>
      </c>
      <c r="AD97" s="749"/>
      <c r="AE97" s="756"/>
      <c r="AF97" s="64" t="s">
        <v>62</v>
      </c>
      <c r="AG97" s="171">
        <f t="shared" ref="AG97:AG143" si="32">AF$12</f>
        <v>41.477679587821619</v>
      </c>
      <c r="AH97" s="64">
        <v>42</v>
      </c>
      <c r="AI97" s="206">
        <f t="shared" ref="AI97:AI119" si="33">ABS(AH97-AG97)/AG97</f>
        <v>1.2592806959522897E-2</v>
      </c>
      <c r="AJ97" s="171">
        <v>52</v>
      </c>
      <c r="AK97" s="64">
        <v>52</v>
      </c>
      <c r="AL97" s="216">
        <f t="shared" si="31"/>
        <v>0</v>
      </c>
      <c r="AM97" s="173">
        <v>62</v>
      </c>
      <c r="AN97" s="64">
        <v>51</v>
      </c>
      <c r="AO97" s="216">
        <f t="shared" ref="AO97:AO119" si="34">ABS(AN97-AM97)/AM97</f>
        <v>0.17741935483870969</v>
      </c>
      <c r="AP97" s="171">
        <v>58</v>
      </c>
      <c r="AQ97" s="64">
        <v>69</v>
      </c>
      <c r="AR97" s="216">
        <f t="shared" ref="AR97:AR119" si="35">ABS(AQ97-AP97)/AP97</f>
        <v>0.18965517241379309</v>
      </c>
      <c r="AS97" s="173">
        <v>717</v>
      </c>
      <c r="AT97" s="64">
        <v>708</v>
      </c>
      <c r="AU97" s="206">
        <f t="shared" ref="AU97:AU143" si="36">ABS(AT97-AS97)/AS97</f>
        <v>1.2552301255230125E-2</v>
      </c>
      <c r="AV97" s="183">
        <v>54</v>
      </c>
      <c r="AW97" s="64">
        <v>54.7</v>
      </c>
      <c r="AX97" s="207">
        <f t="shared" ref="AX97:AX119" si="37">ABS(AW97-AV97)/AV97</f>
        <v>1.2962962962963016E-2</v>
      </c>
      <c r="AZ97" s="5"/>
      <c r="BA97" s="627"/>
      <c r="BB97" s="627"/>
      <c r="BC97" s="627"/>
      <c r="BD97" s="12"/>
      <c r="BE97" s="5"/>
      <c r="BF97" s="5"/>
      <c r="BG97" s="5"/>
      <c r="BH97" s="5"/>
    </row>
    <row r="98" spans="1:75" x14ac:dyDescent="0.3">
      <c r="A98" s="22">
        <v>2</v>
      </c>
      <c r="B98" s="22" t="s">
        <v>318</v>
      </c>
      <c r="AD98" s="749"/>
      <c r="AE98" s="757"/>
      <c r="AF98" s="50" t="s">
        <v>65</v>
      </c>
      <c r="AG98" s="692">
        <f t="shared" si="32"/>
        <v>41.477679587821619</v>
      </c>
      <c r="AH98" s="50">
        <v>30</v>
      </c>
      <c r="AI98" s="214">
        <f t="shared" si="33"/>
        <v>0.2767194236003408</v>
      </c>
      <c r="AJ98" s="692">
        <v>52</v>
      </c>
      <c r="AK98" s="50">
        <v>54</v>
      </c>
      <c r="AL98" s="218">
        <f t="shared" si="31"/>
        <v>3.8461538461538464E-2</v>
      </c>
      <c r="AM98" s="695">
        <v>62</v>
      </c>
      <c r="AN98" s="50">
        <v>59</v>
      </c>
      <c r="AO98" s="218">
        <f t="shared" si="34"/>
        <v>4.8387096774193547E-2</v>
      </c>
      <c r="AP98" s="171">
        <v>58</v>
      </c>
      <c r="AQ98" s="64">
        <v>63</v>
      </c>
      <c r="AR98" s="216">
        <f t="shared" si="35"/>
        <v>8.6206896551724144E-2</v>
      </c>
      <c r="AS98" s="173">
        <v>717</v>
      </c>
      <c r="AT98" s="64">
        <v>708</v>
      </c>
      <c r="AU98" s="206">
        <f t="shared" si="36"/>
        <v>1.2552301255230125E-2</v>
      </c>
      <c r="AV98" s="698">
        <v>54</v>
      </c>
      <c r="AW98" s="50">
        <v>53.8</v>
      </c>
      <c r="AX98" s="215">
        <f t="shared" si="37"/>
        <v>3.7037037037037563E-3</v>
      </c>
      <c r="AZ98" s="5"/>
      <c r="BA98" s="629"/>
      <c r="BB98" s="627"/>
      <c r="BC98" s="627"/>
      <c r="BD98" s="627"/>
      <c r="BE98" s="5"/>
      <c r="BF98" s="5"/>
      <c r="BG98" s="5"/>
      <c r="BH98" s="5"/>
    </row>
    <row r="99" spans="1:75" x14ac:dyDescent="0.3">
      <c r="A99" s="22">
        <v>2</v>
      </c>
      <c r="B99" s="22" t="s">
        <v>319</v>
      </c>
      <c r="AD99" s="749"/>
      <c r="AE99" s="756" t="s">
        <v>49</v>
      </c>
      <c r="AF99" s="64" t="s">
        <v>68</v>
      </c>
      <c r="AG99" s="171">
        <f t="shared" si="32"/>
        <v>41.477679587821619</v>
      </c>
      <c r="AH99" s="64">
        <v>46</v>
      </c>
      <c r="AI99" s="206">
        <f t="shared" si="33"/>
        <v>0.10903021714614412</v>
      </c>
      <c r="AJ99" s="171">
        <v>52</v>
      </c>
      <c r="AK99" s="64">
        <v>45</v>
      </c>
      <c r="AL99" s="216">
        <f t="shared" si="31"/>
        <v>0.13461538461538461</v>
      </c>
      <c r="AM99" s="173">
        <v>42</v>
      </c>
      <c r="AN99" s="64">
        <v>35</v>
      </c>
      <c r="AO99" s="206">
        <f>ABS(AN99-AM99)/AM99</f>
        <v>0.16666666666666666</v>
      </c>
      <c r="AP99" s="691">
        <v>58</v>
      </c>
      <c r="AQ99" s="42">
        <v>62</v>
      </c>
      <c r="AR99" s="211">
        <f t="shared" si="35"/>
        <v>6.8965517241379309E-2</v>
      </c>
      <c r="AS99" s="691">
        <v>732</v>
      </c>
      <c r="AT99" s="42">
        <v>700</v>
      </c>
      <c r="AU99" s="211">
        <f t="shared" si="36"/>
        <v>4.3715846994535519E-2</v>
      </c>
      <c r="AV99" s="183">
        <v>54</v>
      </c>
      <c r="AW99" s="64">
        <v>53.7</v>
      </c>
      <c r="AX99" s="207">
        <f t="shared" si="37"/>
        <v>5.5555555555555029E-3</v>
      </c>
      <c r="AZ99" s="5"/>
      <c r="BA99" s="629"/>
      <c r="BB99" s="627"/>
      <c r="BC99" s="627"/>
      <c r="BD99" s="629"/>
      <c r="BE99" s="5"/>
      <c r="BF99" s="5"/>
      <c r="BG99" s="5"/>
      <c r="BH99" s="5"/>
    </row>
    <row r="100" spans="1:75" x14ac:dyDescent="0.3">
      <c r="A100" s="22">
        <v>3</v>
      </c>
      <c r="B100" s="22" t="s">
        <v>320</v>
      </c>
      <c r="AD100" s="749"/>
      <c r="AE100" s="756"/>
      <c r="AF100" s="64" t="s">
        <v>76</v>
      </c>
      <c r="AG100" s="171">
        <f t="shared" si="32"/>
        <v>41.477679587821619</v>
      </c>
      <c r="AH100" s="64">
        <v>31</v>
      </c>
      <c r="AI100" s="206">
        <f t="shared" si="33"/>
        <v>0.25261007105368549</v>
      </c>
      <c r="AJ100" s="171">
        <v>52</v>
      </c>
      <c r="AK100" s="64">
        <v>52</v>
      </c>
      <c r="AL100" s="216">
        <f t="shared" si="31"/>
        <v>0</v>
      </c>
      <c r="AM100" s="173">
        <v>42</v>
      </c>
      <c r="AN100" s="64">
        <v>45</v>
      </c>
      <c r="AO100" s="206">
        <f t="shared" si="34"/>
        <v>7.1428571428571425E-2</v>
      </c>
      <c r="AP100" s="171">
        <v>58</v>
      </c>
      <c r="AQ100" s="64">
        <v>63</v>
      </c>
      <c r="AR100" s="206">
        <f t="shared" si="35"/>
        <v>8.6206896551724144E-2</v>
      </c>
      <c r="AS100" s="171">
        <v>732</v>
      </c>
      <c r="AT100" s="64">
        <v>723</v>
      </c>
      <c r="AU100" s="206">
        <f t="shared" si="36"/>
        <v>1.2295081967213115E-2</v>
      </c>
      <c r="AV100" s="183">
        <v>54</v>
      </c>
      <c r="AW100" s="64">
        <v>53.7</v>
      </c>
      <c r="AX100" s="207">
        <f t="shared" si="37"/>
        <v>5.5555555555555029E-3</v>
      </c>
      <c r="AZ100" s="5"/>
      <c r="BA100" s="629"/>
      <c r="BB100" s="627"/>
      <c r="BC100" s="627"/>
      <c r="BD100" s="26"/>
      <c r="BE100" s="5"/>
      <c r="BF100" s="5"/>
      <c r="BG100" s="5"/>
      <c r="BH100" s="5"/>
    </row>
    <row r="101" spans="1:75" x14ac:dyDescent="0.3">
      <c r="A101" s="22">
        <v>4</v>
      </c>
      <c r="B101" s="22" t="s">
        <v>321</v>
      </c>
      <c r="AD101" s="750"/>
      <c r="AE101" s="756"/>
      <c r="AF101" s="64" t="s">
        <v>79</v>
      </c>
      <c r="AG101" s="171">
        <f t="shared" si="32"/>
        <v>41.477679587821619</v>
      </c>
      <c r="AH101" s="64">
        <v>44</v>
      </c>
      <c r="AI101" s="206">
        <f t="shared" si="33"/>
        <v>6.0811512052833513E-2</v>
      </c>
      <c r="AJ101" s="171">
        <v>52</v>
      </c>
      <c r="AK101" s="64">
        <v>45</v>
      </c>
      <c r="AL101" s="216">
        <f t="shared" si="31"/>
        <v>0.13461538461538461</v>
      </c>
      <c r="AM101" s="173">
        <v>42</v>
      </c>
      <c r="AN101" s="64">
        <v>37</v>
      </c>
      <c r="AO101" s="206">
        <f t="shared" si="34"/>
        <v>0.11904761904761904</v>
      </c>
      <c r="AP101" s="692">
        <v>58</v>
      </c>
      <c r="AQ101" s="50">
        <v>65</v>
      </c>
      <c r="AR101" s="214">
        <f t="shared" si="35"/>
        <v>0.1206896551724138</v>
      </c>
      <c r="AS101" s="692">
        <v>732</v>
      </c>
      <c r="AT101" s="50">
        <v>721</v>
      </c>
      <c r="AU101" s="214">
        <f t="shared" si="36"/>
        <v>1.5027322404371584E-2</v>
      </c>
      <c r="AV101" s="183">
        <v>54</v>
      </c>
      <c r="AW101" s="64">
        <v>53.9</v>
      </c>
      <c r="AX101" s="215">
        <f t="shared" si="37"/>
        <v>1.8518518518518782E-3</v>
      </c>
      <c r="AZ101" s="5"/>
      <c r="BA101" s="5"/>
      <c r="BB101" s="5"/>
      <c r="BC101" s="5"/>
      <c r="BD101" s="5"/>
      <c r="BE101" s="5"/>
      <c r="BF101" s="5"/>
      <c r="BG101" s="5"/>
      <c r="BH101" s="5"/>
    </row>
    <row r="102" spans="1:75" x14ac:dyDescent="0.3">
      <c r="A102" s="22">
        <v>5</v>
      </c>
      <c r="B102" s="22" t="s">
        <v>322</v>
      </c>
      <c r="AD102" s="751" t="s">
        <v>49</v>
      </c>
      <c r="AE102" s="755" t="s">
        <v>48</v>
      </c>
      <c r="AF102" s="42" t="s">
        <v>60</v>
      </c>
      <c r="AG102" s="691">
        <f t="shared" si="32"/>
        <v>41.477679587821619</v>
      </c>
      <c r="AH102" s="42">
        <v>29</v>
      </c>
      <c r="AI102" s="211">
        <f t="shared" si="33"/>
        <v>0.3008287761469961</v>
      </c>
      <c r="AJ102" s="691">
        <v>71</v>
      </c>
      <c r="AK102" s="42">
        <v>67</v>
      </c>
      <c r="AL102" s="217">
        <f t="shared" si="31"/>
        <v>5.6338028169014086E-2</v>
      </c>
      <c r="AM102" s="694">
        <v>62</v>
      </c>
      <c r="AN102" s="42">
        <v>60</v>
      </c>
      <c r="AO102" s="217">
        <f t="shared" si="34"/>
        <v>3.2258064516129031E-2</v>
      </c>
      <c r="AP102" s="171">
        <v>58</v>
      </c>
      <c r="AQ102" s="64">
        <v>63</v>
      </c>
      <c r="AR102" s="216">
        <f t="shared" ref="AR102:AR108" si="38">ABS(AQ102-AP102)/AP102</f>
        <v>8.6206896551724144E-2</v>
      </c>
      <c r="AS102" s="173">
        <v>703</v>
      </c>
      <c r="AT102" s="64">
        <v>671</v>
      </c>
      <c r="AU102" s="206">
        <f t="shared" si="36"/>
        <v>4.5519203413940258E-2</v>
      </c>
      <c r="AV102" s="697">
        <v>54</v>
      </c>
      <c r="AW102" s="42">
        <v>53.6</v>
      </c>
      <c r="AX102" s="207">
        <f t="shared" si="37"/>
        <v>7.4074074074073808E-3</v>
      </c>
      <c r="AZ102" s="627"/>
      <c r="BA102" s="627"/>
      <c r="BB102" s="629"/>
      <c r="BC102" s="26"/>
      <c r="BD102" s="627"/>
      <c r="BE102" s="627"/>
      <c r="BF102" s="627"/>
      <c r="BG102" s="628"/>
      <c r="BH102" s="5"/>
    </row>
    <row r="103" spans="1:75" x14ac:dyDescent="0.3">
      <c r="A103" s="22">
        <v>6</v>
      </c>
      <c r="B103" s="22" t="s">
        <v>323</v>
      </c>
      <c r="AD103" s="752"/>
      <c r="AE103" s="756"/>
      <c r="AF103" s="64" t="s">
        <v>63</v>
      </c>
      <c r="AG103" s="171">
        <f t="shared" si="32"/>
        <v>41.477679587821619</v>
      </c>
      <c r="AH103" s="64">
        <v>42</v>
      </c>
      <c r="AI103" s="206">
        <f t="shared" si="33"/>
        <v>1.2592806959522897E-2</v>
      </c>
      <c r="AJ103" s="171">
        <v>71</v>
      </c>
      <c r="AK103" s="64">
        <v>66</v>
      </c>
      <c r="AL103" s="216">
        <f t="shared" si="31"/>
        <v>7.0422535211267609E-2</v>
      </c>
      <c r="AM103" s="173">
        <v>62</v>
      </c>
      <c r="AN103" s="64">
        <v>58</v>
      </c>
      <c r="AO103" s="216">
        <f t="shared" si="34"/>
        <v>6.4516129032258063E-2</v>
      </c>
      <c r="AP103" s="171">
        <v>58</v>
      </c>
      <c r="AQ103" s="64">
        <v>64</v>
      </c>
      <c r="AR103" s="216">
        <f t="shared" si="38"/>
        <v>0.10344827586206896</v>
      </c>
      <c r="AS103" s="173">
        <v>703</v>
      </c>
      <c r="AT103" s="64">
        <v>694</v>
      </c>
      <c r="AU103" s="206">
        <f t="shared" si="36"/>
        <v>1.2802275960170697E-2</v>
      </c>
      <c r="AV103" s="183">
        <v>54</v>
      </c>
      <c r="AW103" s="64">
        <v>53.8</v>
      </c>
      <c r="AX103" s="207">
        <f t="shared" si="37"/>
        <v>3.7037037037037563E-3</v>
      </c>
      <c r="AZ103" s="627"/>
      <c r="BA103" s="627"/>
      <c r="BB103" s="629"/>
      <c r="BC103" s="26"/>
      <c r="BD103" s="627"/>
      <c r="BE103" s="627"/>
      <c r="BF103" s="627"/>
      <c r="BG103" s="628"/>
      <c r="BH103" s="5"/>
    </row>
    <row r="104" spans="1:75" x14ac:dyDescent="0.3">
      <c r="AD104" s="752"/>
      <c r="AE104" s="757"/>
      <c r="AF104" s="50" t="s">
        <v>66</v>
      </c>
      <c r="AG104" s="692">
        <f t="shared" si="32"/>
        <v>41.477679587821619</v>
      </c>
      <c r="AH104" s="50">
        <v>29</v>
      </c>
      <c r="AI104" s="214">
        <f t="shared" si="33"/>
        <v>0.3008287761469961</v>
      </c>
      <c r="AJ104" s="692">
        <v>71</v>
      </c>
      <c r="AK104" s="50">
        <v>66</v>
      </c>
      <c r="AL104" s="218">
        <f t="shared" si="31"/>
        <v>7.0422535211267609E-2</v>
      </c>
      <c r="AM104" s="695">
        <v>62</v>
      </c>
      <c r="AN104" s="50">
        <v>48</v>
      </c>
      <c r="AO104" s="218">
        <f t="shared" si="34"/>
        <v>0.22580645161290322</v>
      </c>
      <c r="AP104" s="171">
        <v>58</v>
      </c>
      <c r="AQ104" s="64">
        <v>63</v>
      </c>
      <c r="AR104" s="216">
        <f t="shared" si="38"/>
        <v>8.6206896551724144E-2</v>
      </c>
      <c r="AS104" s="173">
        <v>703</v>
      </c>
      <c r="AT104" s="64">
        <v>694</v>
      </c>
      <c r="AU104" s="206">
        <f t="shared" si="36"/>
        <v>1.2802275960170697E-2</v>
      </c>
      <c r="AV104" s="698">
        <v>54</v>
      </c>
      <c r="AW104" s="50">
        <v>53.8</v>
      </c>
      <c r="AX104" s="207">
        <f t="shared" si="37"/>
        <v>3.7037037037037563E-3</v>
      </c>
      <c r="AZ104" s="627"/>
      <c r="BA104" s="627"/>
      <c r="BB104" s="629"/>
      <c r="BC104" s="26"/>
      <c r="BD104" s="627"/>
      <c r="BE104" s="627"/>
      <c r="BF104" s="627"/>
      <c r="BG104" s="12"/>
      <c r="BH104" s="5"/>
    </row>
    <row r="105" spans="1:75" x14ac:dyDescent="0.3">
      <c r="AD105" s="752"/>
      <c r="AE105" s="756" t="s">
        <v>49</v>
      </c>
      <c r="AF105" s="64" t="s">
        <v>69</v>
      </c>
      <c r="AG105" s="171">
        <f t="shared" si="32"/>
        <v>41.477679587821619</v>
      </c>
      <c r="AH105" s="64">
        <v>44</v>
      </c>
      <c r="AI105" s="206">
        <f t="shared" si="33"/>
        <v>6.0811512052833513E-2</v>
      </c>
      <c r="AJ105" s="171">
        <v>71</v>
      </c>
      <c r="AK105" s="64">
        <v>58</v>
      </c>
      <c r="AL105" s="216">
        <f t="shared" si="31"/>
        <v>0.18309859154929578</v>
      </c>
      <c r="AM105" s="173">
        <v>42</v>
      </c>
      <c r="AN105" s="64">
        <v>40</v>
      </c>
      <c r="AO105" s="206">
        <f t="shared" si="34"/>
        <v>4.7619047619047616E-2</v>
      </c>
      <c r="AP105" s="691">
        <v>58</v>
      </c>
      <c r="AQ105" s="42">
        <v>63</v>
      </c>
      <c r="AR105" s="211">
        <f t="shared" si="38"/>
        <v>8.6206896551724144E-2</v>
      </c>
      <c r="AS105" s="691">
        <v>718</v>
      </c>
      <c r="AT105" s="42">
        <v>687</v>
      </c>
      <c r="AU105" s="211">
        <f t="shared" si="36"/>
        <v>4.3175487465181059E-2</v>
      </c>
      <c r="AV105" s="183">
        <v>54</v>
      </c>
      <c r="AW105" s="64">
        <v>53.6</v>
      </c>
      <c r="AX105" s="212">
        <f t="shared" si="37"/>
        <v>7.4074074074073808E-3</v>
      </c>
      <c r="AZ105" s="627"/>
      <c r="BA105" s="629"/>
      <c r="BB105" s="629"/>
      <c r="BC105" s="7"/>
      <c r="BD105" s="629"/>
      <c r="BE105" s="627"/>
      <c r="BF105" s="627"/>
      <c r="BG105" s="627"/>
      <c r="BH105" s="5"/>
    </row>
    <row r="106" spans="1:75" ht="15" thickBot="1" x14ac:dyDescent="0.35">
      <c r="AD106" s="752"/>
      <c r="AE106" s="756"/>
      <c r="AF106" s="64" t="s">
        <v>77</v>
      </c>
      <c r="AG106" s="171">
        <f t="shared" si="32"/>
        <v>41.477679587821619</v>
      </c>
      <c r="AH106" s="64">
        <v>30</v>
      </c>
      <c r="AI106" s="206">
        <f t="shared" si="33"/>
        <v>0.2767194236003408</v>
      </c>
      <c r="AJ106" s="171">
        <v>71</v>
      </c>
      <c r="AK106" s="64">
        <v>65</v>
      </c>
      <c r="AL106" s="216">
        <f t="shared" si="31"/>
        <v>8.4507042253521125E-2</v>
      </c>
      <c r="AM106" s="173">
        <v>42</v>
      </c>
      <c r="AN106" s="64">
        <v>33</v>
      </c>
      <c r="AO106" s="206">
        <f t="shared" si="34"/>
        <v>0.21428571428571427</v>
      </c>
      <c r="AP106" s="171">
        <v>58</v>
      </c>
      <c r="AQ106" s="64">
        <v>62</v>
      </c>
      <c r="AR106" s="206">
        <f t="shared" si="38"/>
        <v>6.8965517241379309E-2</v>
      </c>
      <c r="AS106" s="171">
        <v>718</v>
      </c>
      <c r="AT106" s="64">
        <v>708</v>
      </c>
      <c r="AU106" s="206">
        <f t="shared" si="36"/>
        <v>1.3927576601671309E-2</v>
      </c>
      <c r="AV106" s="183">
        <v>54</v>
      </c>
      <c r="AW106" s="64">
        <v>53.7</v>
      </c>
      <c r="AX106" s="207">
        <f t="shared" si="37"/>
        <v>5.5555555555555029E-3</v>
      </c>
      <c r="AZ106" s="627"/>
      <c r="BA106" s="629"/>
      <c r="BB106" s="629"/>
      <c r="BC106" s="7"/>
      <c r="BD106" s="629"/>
      <c r="BE106" s="627"/>
      <c r="BF106" s="627"/>
      <c r="BG106" s="629"/>
      <c r="BH106" s="5"/>
      <c r="BN106" s="186"/>
      <c r="BO106" s="186"/>
    </row>
    <row r="107" spans="1:75" ht="15" thickBot="1" x14ac:dyDescent="0.35">
      <c r="AD107" s="753"/>
      <c r="AE107" s="756"/>
      <c r="AF107" s="64" t="s">
        <v>80</v>
      </c>
      <c r="AG107" s="171">
        <f t="shared" si="32"/>
        <v>41.477679587821619</v>
      </c>
      <c r="AH107" s="64">
        <v>45</v>
      </c>
      <c r="AI107" s="206">
        <f t="shared" si="33"/>
        <v>8.4920864599488818E-2</v>
      </c>
      <c r="AJ107" s="171">
        <v>71</v>
      </c>
      <c r="AK107" s="64">
        <v>71</v>
      </c>
      <c r="AL107" s="216">
        <f t="shared" si="31"/>
        <v>0</v>
      </c>
      <c r="AM107" s="173">
        <v>42</v>
      </c>
      <c r="AN107" s="64">
        <v>38</v>
      </c>
      <c r="AO107" s="206">
        <f t="shared" si="34"/>
        <v>9.5238095238095233E-2</v>
      </c>
      <c r="AP107" s="692">
        <v>58</v>
      </c>
      <c r="AQ107" s="50">
        <v>62</v>
      </c>
      <c r="AR107" s="214">
        <f t="shared" si="38"/>
        <v>6.8965517241379309E-2</v>
      </c>
      <c r="AS107" s="692">
        <v>718</v>
      </c>
      <c r="AT107" s="50">
        <v>710</v>
      </c>
      <c r="AU107" s="214">
        <f t="shared" si="36"/>
        <v>1.1142061281337047E-2</v>
      </c>
      <c r="AV107" s="183">
        <v>54</v>
      </c>
      <c r="AW107" s="64">
        <v>53.6</v>
      </c>
      <c r="AX107" s="215">
        <f t="shared" si="37"/>
        <v>7.4074074074073808E-3</v>
      </c>
      <c r="AZ107" s="627"/>
      <c r="BA107" s="629"/>
      <c r="BB107" s="629"/>
      <c r="BC107" s="7"/>
      <c r="BD107" s="629"/>
      <c r="BE107" s="627"/>
      <c r="BF107" s="627"/>
      <c r="BG107" s="26"/>
      <c r="BH107" s="5"/>
      <c r="BN107" s="186"/>
      <c r="BO107" s="186"/>
      <c r="BP107" s="320">
        <v>1</v>
      </c>
      <c r="BQ107" s="322">
        <v>2</v>
      </c>
      <c r="BR107" s="322">
        <v>3</v>
      </c>
      <c r="BS107" s="322">
        <v>4</v>
      </c>
      <c r="BT107" s="601">
        <v>5</v>
      </c>
      <c r="BU107" s="322">
        <v>6</v>
      </c>
      <c r="BV107" s="322">
        <v>7</v>
      </c>
      <c r="BW107" s="322">
        <v>8</v>
      </c>
    </row>
    <row r="108" spans="1:75" x14ac:dyDescent="0.3">
      <c r="AD108" s="748" t="s">
        <v>50</v>
      </c>
      <c r="AE108" s="755" t="s">
        <v>48</v>
      </c>
      <c r="AF108" s="42" t="s">
        <v>61</v>
      </c>
      <c r="AG108" s="691">
        <f t="shared" si="32"/>
        <v>41.477679587821619</v>
      </c>
      <c r="AH108" s="42">
        <v>32</v>
      </c>
      <c r="AI108" s="211">
        <f t="shared" si="33"/>
        <v>0.22850071850703019</v>
      </c>
      <c r="AJ108" s="691">
        <v>84</v>
      </c>
      <c r="AK108" s="42">
        <v>82</v>
      </c>
      <c r="AL108" s="217">
        <f t="shared" si="31"/>
        <v>2.3809523809523808E-2</v>
      </c>
      <c r="AM108" s="694">
        <v>62</v>
      </c>
      <c r="AN108" s="42">
        <v>60</v>
      </c>
      <c r="AO108" s="217">
        <f t="shared" si="34"/>
        <v>3.2258064516129031E-2</v>
      </c>
      <c r="AP108" s="171">
        <v>58</v>
      </c>
      <c r="AQ108" s="64">
        <v>63</v>
      </c>
      <c r="AR108" s="206">
        <f t="shared" si="38"/>
        <v>8.6206896551724144E-2</v>
      </c>
      <c r="AS108" s="691">
        <v>694</v>
      </c>
      <c r="AT108" s="42">
        <v>663</v>
      </c>
      <c r="AU108" s="211">
        <f t="shared" si="36"/>
        <v>4.4668587896253602E-2</v>
      </c>
      <c r="AV108" s="697">
        <v>54</v>
      </c>
      <c r="AW108" s="42">
        <v>53.5</v>
      </c>
      <c r="AX108" s="207">
        <f t="shared" si="37"/>
        <v>9.2592592592592587E-3</v>
      </c>
      <c r="AZ108" s="5"/>
      <c r="BA108" s="5"/>
      <c r="BB108" s="5"/>
      <c r="BC108" s="5"/>
      <c r="BD108" s="5"/>
      <c r="BE108" s="5"/>
      <c r="BF108" s="5"/>
      <c r="BG108" s="5"/>
      <c r="BH108" s="5"/>
      <c r="BO108" s="762" t="s">
        <v>48</v>
      </c>
      <c r="BP108" s="602" t="s">
        <v>59</v>
      </c>
      <c r="BQ108" s="301" t="s">
        <v>60</v>
      </c>
      <c r="BR108" s="603" t="s">
        <v>61</v>
      </c>
      <c r="BS108" s="305" t="s">
        <v>82</v>
      </c>
      <c r="BT108" s="68" t="s">
        <v>83</v>
      </c>
      <c r="BU108" s="301" t="s">
        <v>84</v>
      </c>
      <c r="BV108" s="68" t="s">
        <v>59</v>
      </c>
      <c r="BW108" s="182" t="s">
        <v>61</v>
      </c>
    </row>
    <row r="109" spans="1:75" x14ac:dyDescent="0.3">
      <c r="AD109" s="749"/>
      <c r="AE109" s="756"/>
      <c r="AF109" s="64" t="s">
        <v>64</v>
      </c>
      <c r="AG109" s="171">
        <f t="shared" si="32"/>
        <v>41.477679587821619</v>
      </c>
      <c r="AH109" s="64">
        <v>45</v>
      </c>
      <c r="AI109" s="206">
        <f t="shared" si="33"/>
        <v>8.4920864599488818E-2</v>
      </c>
      <c r="AJ109" s="171">
        <v>84</v>
      </c>
      <c r="AK109" s="64">
        <v>78</v>
      </c>
      <c r="AL109" s="216">
        <f t="shared" si="31"/>
        <v>7.1428571428571425E-2</v>
      </c>
      <c r="AM109" s="173">
        <v>62</v>
      </c>
      <c r="AN109" s="64">
        <v>61</v>
      </c>
      <c r="AO109" s="216">
        <f t="shared" si="34"/>
        <v>1.6129032258064516E-2</v>
      </c>
      <c r="AP109" s="171">
        <v>58</v>
      </c>
      <c r="AQ109" s="64">
        <v>64</v>
      </c>
      <c r="AR109" s="206">
        <f t="shared" si="35"/>
        <v>0.10344827586206896</v>
      </c>
      <c r="AS109" s="171">
        <v>694</v>
      </c>
      <c r="AT109" s="64">
        <v>685</v>
      </c>
      <c r="AU109" s="206">
        <f t="shared" si="36"/>
        <v>1.2968299711815562E-2</v>
      </c>
      <c r="AV109" s="183">
        <v>54</v>
      </c>
      <c r="AW109" s="64">
        <v>53.5</v>
      </c>
      <c r="AX109" s="207">
        <f t="shared" si="37"/>
        <v>9.2592592592592587E-3</v>
      </c>
      <c r="AZ109" s="5"/>
      <c r="BA109" s="5"/>
      <c r="BB109" s="5"/>
      <c r="BC109" s="5"/>
      <c r="BD109" s="5"/>
      <c r="BE109" s="5"/>
      <c r="BF109" s="5"/>
      <c r="BG109" s="5"/>
      <c r="BH109" s="5"/>
      <c r="BO109" s="763"/>
      <c r="BP109" s="602" t="s">
        <v>209</v>
      </c>
      <c r="BQ109" s="301" t="s">
        <v>209</v>
      </c>
      <c r="BR109" s="603" t="s">
        <v>209</v>
      </c>
      <c r="BS109" s="305" t="s">
        <v>209</v>
      </c>
      <c r="BT109" s="68" t="s">
        <v>209</v>
      </c>
      <c r="BU109" s="301" t="s">
        <v>209</v>
      </c>
      <c r="BV109" s="68" t="s">
        <v>207</v>
      </c>
      <c r="BW109" s="182" t="s">
        <v>207</v>
      </c>
    </row>
    <row r="110" spans="1:75" x14ac:dyDescent="0.3">
      <c r="AD110" s="749"/>
      <c r="AE110" s="757"/>
      <c r="AF110" s="50" t="s">
        <v>67</v>
      </c>
      <c r="AG110" s="692">
        <f t="shared" si="32"/>
        <v>41.477679587821619</v>
      </c>
      <c r="AH110" s="50">
        <v>31</v>
      </c>
      <c r="AI110" s="214">
        <f t="shared" si="33"/>
        <v>0.25261007105368549</v>
      </c>
      <c r="AJ110" s="692">
        <v>84</v>
      </c>
      <c r="AK110" s="50">
        <v>78</v>
      </c>
      <c r="AL110" s="218">
        <f t="shared" si="31"/>
        <v>7.1428571428571425E-2</v>
      </c>
      <c r="AM110" s="695">
        <v>62</v>
      </c>
      <c r="AN110" s="50">
        <v>50</v>
      </c>
      <c r="AO110" s="218">
        <f t="shared" si="34"/>
        <v>0.19354838709677419</v>
      </c>
      <c r="AP110" s="171">
        <v>58</v>
      </c>
      <c r="AQ110" s="64">
        <v>64</v>
      </c>
      <c r="AR110" s="206">
        <f t="shared" si="35"/>
        <v>0.10344827586206896</v>
      </c>
      <c r="AS110" s="692">
        <v>694</v>
      </c>
      <c r="AT110" s="50">
        <v>684</v>
      </c>
      <c r="AU110" s="214">
        <f t="shared" si="36"/>
        <v>1.4409221902017291E-2</v>
      </c>
      <c r="AV110" s="698">
        <v>54</v>
      </c>
      <c r="AW110" s="50">
        <v>53.6</v>
      </c>
      <c r="AX110" s="207">
        <f t="shared" si="37"/>
        <v>7.4074074074073808E-3</v>
      </c>
      <c r="AZ110" s="5"/>
      <c r="BA110" s="5"/>
      <c r="BB110" s="5"/>
      <c r="BC110" s="5"/>
      <c r="BD110" s="5"/>
      <c r="BE110" s="5"/>
      <c r="BF110" s="5"/>
      <c r="BG110" s="5"/>
      <c r="BH110" s="5"/>
      <c r="BO110" s="800"/>
      <c r="BP110" s="604" t="s">
        <v>3</v>
      </c>
      <c r="BQ110" s="67" t="s">
        <v>3</v>
      </c>
      <c r="BR110" s="605" t="s">
        <v>3</v>
      </c>
      <c r="BS110" s="50" t="s">
        <v>3</v>
      </c>
      <c r="BT110" s="606" t="s">
        <v>3</v>
      </c>
      <c r="BU110" s="67" t="s">
        <v>3</v>
      </c>
      <c r="BV110" s="606" t="s">
        <v>3</v>
      </c>
      <c r="BW110" s="111" t="s">
        <v>3</v>
      </c>
    </row>
    <row r="111" spans="1:75" x14ac:dyDescent="0.3">
      <c r="AD111" s="749"/>
      <c r="AE111" s="756" t="s">
        <v>49</v>
      </c>
      <c r="AF111" s="64" t="s">
        <v>70</v>
      </c>
      <c r="AG111" s="171">
        <f t="shared" si="32"/>
        <v>41.477679587821619</v>
      </c>
      <c r="AH111" s="64">
        <v>45</v>
      </c>
      <c r="AI111" s="206">
        <f t="shared" si="33"/>
        <v>8.4920864599488818E-2</v>
      </c>
      <c r="AJ111" s="171">
        <v>84</v>
      </c>
      <c r="AK111" s="64">
        <v>66</v>
      </c>
      <c r="AL111" s="216">
        <f t="shared" si="31"/>
        <v>0.21428571428571427</v>
      </c>
      <c r="AM111" s="173">
        <v>42</v>
      </c>
      <c r="AN111" s="64">
        <v>44</v>
      </c>
      <c r="AO111" s="206">
        <f t="shared" si="34"/>
        <v>4.7619047619047616E-2</v>
      </c>
      <c r="AP111" s="691">
        <v>58</v>
      </c>
      <c r="AQ111" s="42">
        <v>63</v>
      </c>
      <c r="AR111" s="211">
        <f t="shared" si="35"/>
        <v>8.6206896551724144E-2</v>
      </c>
      <c r="AS111" s="691">
        <v>709</v>
      </c>
      <c r="AT111" s="42">
        <v>677</v>
      </c>
      <c r="AU111" s="211">
        <f t="shared" si="36"/>
        <v>4.5133991537376586E-2</v>
      </c>
      <c r="AV111" s="183">
        <v>54</v>
      </c>
      <c r="AW111" s="64">
        <v>53.9</v>
      </c>
      <c r="AX111" s="212">
        <f t="shared" si="37"/>
        <v>1.8518518518518782E-3</v>
      </c>
      <c r="AZ111" s="5"/>
      <c r="BA111" s="5"/>
      <c r="BB111" s="5"/>
      <c r="BC111" s="5"/>
      <c r="BD111" s="5"/>
      <c r="BE111" s="5"/>
      <c r="BF111" s="5"/>
      <c r="BG111" s="5"/>
      <c r="BH111" s="5"/>
      <c r="BO111" s="798" t="s">
        <v>49</v>
      </c>
      <c r="BP111" s="607" t="s">
        <v>59</v>
      </c>
      <c r="BQ111" s="66" t="s">
        <v>60</v>
      </c>
      <c r="BR111" s="608" t="s">
        <v>61</v>
      </c>
      <c r="BS111" s="42" t="s">
        <v>82</v>
      </c>
      <c r="BT111" s="609" t="s">
        <v>83</v>
      </c>
      <c r="BU111" s="66" t="s">
        <v>84</v>
      </c>
      <c r="BV111" s="609" t="s">
        <v>59</v>
      </c>
      <c r="BW111" s="110" t="s">
        <v>61</v>
      </c>
    </row>
    <row r="112" spans="1:75" x14ac:dyDescent="0.3">
      <c r="AD112" s="749"/>
      <c r="AE112" s="756"/>
      <c r="AF112" s="64" t="s">
        <v>78</v>
      </c>
      <c r="AG112" s="171">
        <f t="shared" si="32"/>
        <v>41.477679587821619</v>
      </c>
      <c r="AH112" s="64">
        <v>31</v>
      </c>
      <c r="AI112" s="206">
        <f t="shared" si="33"/>
        <v>0.25261007105368549</v>
      </c>
      <c r="AJ112" s="171">
        <v>84</v>
      </c>
      <c r="AK112" s="64">
        <v>80</v>
      </c>
      <c r="AL112" s="216">
        <f t="shared" si="31"/>
        <v>4.7619047619047616E-2</v>
      </c>
      <c r="AM112" s="173">
        <v>42</v>
      </c>
      <c r="AN112" s="64">
        <v>38</v>
      </c>
      <c r="AO112" s="206">
        <f t="shared" si="34"/>
        <v>9.5238095238095233E-2</v>
      </c>
      <c r="AP112" s="171">
        <v>58</v>
      </c>
      <c r="AQ112" s="64">
        <v>63</v>
      </c>
      <c r="AR112" s="206">
        <f t="shared" si="35"/>
        <v>8.6206896551724144E-2</v>
      </c>
      <c r="AS112" s="171">
        <v>709</v>
      </c>
      <c r="AT112" s="64">
        <v>698</v>
      </c>
      <c r="AU112" s="206">
        <f t="shared" si="36"/>
        <v>1.5514809590973202E-2</v>
      </c>
      <c r="AV112" s="183">
        <v>54</v>
      </c>
      <c r="AW112" s="64">
        <v>53.5</v>
      </c>
      <c r="AX112" s="207">
        <f t="shared" si="37"/>
        <v>9.2592592592592587E-3</v>
      </c>
      <c r="AZ112" s="5"/>
      <c r="BA112" s="5"/>
      <c r="BB112" s="5"/>
      <c r="BC112" s="5"/>
      <c r="BD112" s="5"/>
      <c r="BE112" s="5"/>
      <c r="BF112" s="5"/>
      <c r="BG112" s="5"/>
      <c r="BH112" s="5"/>
      <c r="BO112" s="763"/>
      <c r="BP112" s="602" t="s">
        <v>209</v>
      </c>
      <c r="BQ112" s="301" t="s">
        <v>209</v>
      </c>
      <c r="BR112" s="603" t="s">
        <v>209</v>
      </c>
      <c r="BS112" s="305" t="s">
        <v>209</v>
      </c>
      <c r="BT112" s="68" t="s">
        <v>209</v>
      </c>
      <c r="BU112" s="301" t="s">
        <v>209</v>
      </c>
      <c r="BV112" s="68" t="s">
        <v>207</v>
      </c>
      <c r="BW112" s="182" t="s">
        <v>207</v>
      </c>
    </row>
    <row r="113" spans="30:75" x14ac:dyDescent="0.3">
      <c r="AD113" s="750"/>
      <c r="AE113" s="756"/>
      <c r="AF113" s="64" t="s">
        <v>81</v>
      </c>
      <c r="AG113" s="171">
        <f t="shared" si="32"/>
        <v>41.477679587821619</v>
      </c>
      <c r="AH113" s="64">
        <v>41</v>
      </c>
      <c r="AI113" s="206">
        <f t="shared" si="33"/>
        <v>1.151654558713241E-2</v>
      </c>
      <c r="AJ113" s="171">
        <v>84</v>
      </c>
      <c r="AK113" s="64">
        <v>77</v>
      </c>
      <c r="AL113" s="216">
        <f t="shared" si="31"/>
        <v>8.3333333333333329E-2</v>
      </c>
      <c r="AM113" s="173">
        <v>42</v>
      </c>
      <c r="AN113" s="64">
        <v>42</v>
      </c>
      <c r="AO113" s="206">
        <f t="shared" si="34"/>
        <v>0</v>
      </c>
      <c r="AP113" s="692">
        <v>58</v>
      </c>
      <c r="AQ113" s="50">
        <v>63</v>
      </c>
      <c r="AR113" s="214">
        <f t="shared" si="35"/>
        <v>8.6206896551724144E-2</v>
      </c>
      <c r="AS113" s="692">
        <v>709</v>
      </c>
      <c r="AT113" s="50">
        <v>698</v>
      </c>
      <c r="AU113" s="214">
        <f t="shared" si="36"/>
        <v>1.5514809590973202E-2</v>
      </c>
      <c r="AV113" s="183">
        <v>54</v>
      </c>
      <c r="AW113" s="64">
        <v>53.8</v>
      </c>
      <c r="AX113" s="215">
        <f t="shared" si="37"/>
        <v>3.7037037037037563E-3</v>
      </c>
      <c r="AZ113" s="5"/>
      <c r="BA113" s="5"/>
      <c r="BB113" s="5"/>
      <c r="BC113" s="5"/>
      <c r="BD113" s="5"/>
      <c r="BE113" s="5"/>
      <c r="BF113" s="5"/>
      <c r="BG113" s="5"/>
      <c r="BH113" s="5"/>
      <c r="BO113" s="800"/>
      <c r="BP113" s="604" t="s">
        <v>3</v>
      </c>
      <c r="BQ113" s="67" t="s">
        <v>3</v>
      </c>
      <c r="BR113" s="605" t="s">
        <v>3</v>
      </c>
      <c r="BS113" s="50" t="s">
        <v>3</v>
      </c>
      <c r="BT113" s="606" t="s">
        <v>3</v>
      </c>
      <c r="BU113" s="67" t="s">
        <v>3</v>
      </c>
      <c r="BV113" s="606" t="s">
        <v>3</v>
      </c>
      <c r="BW113" s="111" t="s">
        <v>3</v>
      </c>
    </row>
    <row r="114" spans="30:75" x14ac:dyDescent="0.3">
      <c r="AD114" s="748" t="s">
        <v>51</v>
      </c>
      <c r="AE114" s="755" t="s">
        <v>48</v>
      </c>
      <c r="AF114" s="42" t="s">
        <v>82</v>
      </c>
      <c r="AG114" s="691">
        <f t="shared" si="32"/>
        <v>41.477679587821619</v>
      </c>
      <c r="AH114" s="42">
        <v>31</v>
      </c>
      <c r="AI114" s="211">
        <f t="shared" si="33"/>
        <v>0.25261007105368549</v>
      </c>
      <c r="AJ114" s="691">
        <v>70.7</v>
      </c>
      <c r="AK114" s="42">
        <v>68</v>
      </c>
      <c r="AL114" s="217">
        <f t="shared" si="31"/>
        <v>3.8189533239038231E-2</v>
      </c>
      <c r="AM114" s="694">
        <v>62</v>
      </c>
      <c r="AN114" s="42">
        <v>55</v>
      </c>
      <c r="AO114" s="217">
        <f t="shared" si="34"/>
        <v>0.11290322580645161</v>
      </c>
      <c r="AP114" s="691">
        <v>58</v>
      </c>
      <c r="AQ114" s="42">
        <v>63</v>
      </c>
      <c r="AR114" s="217">
        <f t="shared" si="35"/>
        <v>8.6206896551724144E-2</v>
      </c>
      <c r="AS114" s="173">
        <v>692</v>
      </c>
      <c r="AT114" s="64">
        <v>415</v>
      </c>
      <c r="AU114" s="206">
        <f t="shared" si="36"/>
        <v>0.40028901734104044</v>
      </c>
      <c r="AV114" s="697">
        <v>54</v>
      </c>
      <c r="AW114" s="42">
        <v>53.9</v>
      </c>
      <c r="AX114" s="212">
        <f t="shared" si="37"/>
        <v>1.8518518518518782E-3</v>
      </c>
      <c r="BO114" s="763" t="s">
        <v>50</v>
      </c>
      <c r="BP114" s="602" t="s">
        <v>59</v>
      </c>
      <c r="BQ114" s="301" t="s">
        <v>60</v>
      </c>
      <c r="BR114" s="603" t="s">
        <v>61</v>
      </c>
      <c r="BS114" s="305" t="s">
        <v>82</v>
      </c>
      <c r="BT114" s="68" t="s">
        <v>83</v>
      </c>
      <c r="BU114" s="301" t="s">
        <v>84</v>
      </c>
      <c r="BV114" s="68" t="s">
        <v>84</v>
      </c>
      <c r="BW114" s="46" t="s">
        <v>61</v>
      </c>
    </row>
    <row r="115" spans="30:75" x14ac:dyDescent="0.3">
      <c r="AD115" s="749"/>
      <c r="AE115" s="756"/>
      <c r="AF115" s="64" t="s">
        <v>85</v>
      </c>
      <c r="AG115" s="171">
        <f t="shared" si="32"/>
        <v>41.477679587821619</v>
      </c>
      <c r="AH115" s="64">
        <v>42</v>
      </c>
      <c r="AI115" s="206">
        <f t="shared" si="33"/>
        <v>1.2592806959522897E-2</v>
      </c>
      <c r="AJ115" s="171">
        <v>70.7</v>
      </c>
      <c r="AK115" s="64">
        <v>68</v>
      </c>
      <c r="AL115" s="216">
        <f t="shared" si="31"/>
        <v>3.8189533239038231E-2</v>
      </c>
      <c r="AM115" s="173">
        <v>62</v>
      </c>
      <c r="AN115" s="64">
        <v>63</v>
      </c>
      <c r="AO115" s="216">
        <f t="shared" si="34"/>
        <v>1.6129032258064516E-2</v>
      </c>
      <c r="AP115" s="171">
        <v>58</v>
      </c>
      <c r="AQ115" s="64">
        <v>62</v>
      </c>
      <c r="AR115" s="216">
        <f t="shared" si="35"/>
        <v>6.8965517241379309E-2</v>
      </c>
      <c r="AS115" s="173">
        <v>692</v>
      </c>
      <c r="AT115" s="64">
        <v>682</v>
      </c>
      <c r="AU115" s="206">
        <f t="shared" si="36"/>
        <v>1.4450867052023121E-2</v>
      </c>
      <c r="AV115" s="183">
        <v>54</v>
      </c>
      <c r="AW115" s="64">
        <v>53.7</v>
      </c>
      <c r="AX115" s="207">
        <f t="shared" si="37"/>
        <v>5.5555555555555029E-3</v>
      </c>
      <c r="BO115" s="763"/>
      <c r="BP115" s="602" t="s">
        <v>209</v>
      </c>
      <c r="BQ115" s="301" t="s">
        <v>209</v>
      </c>
      <c r="BR115" s="603" t="s">
        <v>209</v>
      </c>
      <c r="BS115" s="305" t="s">
        <v>209</v>
      </c>
      <c r="BT115" s="68" t="s">
        <v>209</v>
      </c>
      <c r="BU115" s="301" t="s">
        <v>209</v>
      </c>
      <c r="BV115" s="68" t="s">
        <v>209</v>
      </c>
      <c r="BW115" s="46" t="s">
        <v>207</v>
      </c>
    </row>
    <row r="116" spans="30:75" x14ac:dyDescent="0.3">
      <c r="AD116" s="749"/>
      <c r="AE116" s="757"/>
      <c r="AF116" s="50" t="s">
        <v>86</v>
      </c>
      <c r="AG116" s="692">
        <f t="shared" si="32"/>
        <v>41.477679587821619</v>
      </c>
      <c r="AH116" s="50">
        <v>31</v>
      </c>
      <c r="AI116" s="214">
        <f t="shared" si="33"/>
        <v>0.25261007105368549</v>
      </c>
      <c r="AJ116" s="692">
        <v>70.7</v>
      </c>
      <c r="AK116" s="50">
        <v>35</v>
      </c>
      <c r="AL116" s="218">
        <f t="shared" si="31"/>
        <v>0.50495049504950495</v>
      </c>
      <c r="AM116" s="695">
        <v>62</v>
      </c>
      <c r="AN116" s="50">
        <v>49</v>
      </c>
      <c r="AO116" s="218">
        <f t="shared" si="34"/>
        <v>0.20967741935483872</v>
      </c>
      <c r="AP116" s="171">
        <v>58</v>
      </c>
      <c r="AQ116" s="64">
        <v>63</v>
      </c>
      <c r="AR116" s="216">
        <f t="shared" si="35"/>
        <v>8.6206896551724144E-2</v>
      </c>
      <c r="AS116" s="173">
        <v>692</v>
      </c>
      <c r="AT116" s="64">
        <v>683</v>
      </c>
      <c r="AU116" s="206">
        <f t="shared" si="36"/>
        <v>1.300578034682081E-2</v>
      </c>
      <c r="AV116" s="698">
        <v>54</v>
      </c>
      <c r="AW116" s="50">
        <v>53.5</v>
      </c>
      <c r="AX116" s="207">
        <f t="shared" si="37"/>
        <v>9.2592592592592587E-3</v>
      </c>
      <c r="BO116" s="763"/>
      <c r="BP116" s="602" t="s">
        <v>3</v>
      </c>
      <c r="BQ116" s="301" t="s">
        <v>3</v>
      </c>
      <c r="BR116" s="603" t="s">
        <v>3</v>
      </c>
      <c r="BS116" s="305" t="s">
        <v>3</v>
      </c>
      <c r="BT116" s="68" t="s">
        <v>3</v>
      </c>
      <c r="BU116" s="301" t="s">
        <v>3</v>
      </c>
      <c r="BV116" s="68" t="s">
        <v>3</v>
      </c>
      <c r="BW116" s="46" t="s">
        <v>3</v>
      </c>
    </row>
    <row r="117" spans="30:75" x14ac:dyDescent="0.3">
      <c r="AD117" s="749"/>
      <c r="AE117" s="756" t="s">
        <v>49</v>
      </c>
      <c r="AF117" s="64" t="s">
        <v>87</v>
      </c>
      <c r="AG117" s="171">
        <f t="shared" si="32"/>
        <v>41.477679587821619</v>
      </c>
      <c r="AH117" s="64">
        <v>44</v>
      </c>
      <c r="AI117" s="206">
        <f t="shared" si="33"/>
        <v>6.0811512052833513E-2</v>
      </c>
      <c r="AJ117" s="171">
        <v>70.7</v>
      </c>
      <c r="AK117" s="64">
        <v>86</v>
      </c>
      <c r="AL117" s="216">
        <f t="shared" si="31"/>
        <v>0.21640735502121636</v>
      </c>
      <c r="AM117" s="173">
        <v>42</v>
      </c>
      <c r="AN117" s="64">
        <v>40</v>
      </c>
      <c r="AO117" s="206">
        <f t="shared" si="34"/>
        <v>4.7619047619047616E-2</v>
      </c>
      <c r="AP117" s="691">
        <v>58</v>
      </c>
      <c r="AQ117" s="42">
        <v>64</v>
      </c>
      <c r="AR117" s="211">
        <f t="shared" si="35"/>
        <v>0.10344827586206896</v>
      </c>
      <c r="AS117" s="691">
        <v>707</v>
      </c>
      <c r="AT117" s="42">
        <v>677</v>
      </c>
      <c r="AU117" s="211">
        <f t="shared" si="36"/>
        <v>4.2432814710042434E-2</v>
      </c>
      <c r="AV117" s="183">
        <v>54</v>
      </c>
      <c r="AW117" s="64">
        <v>53.8</v>
      </c>
      <c r="AX117" s="212">
        <f t="shared" si="37"/>
        <v>3.7037037037037563E-3</v>
      </c>
      <c r="BO117" s="798" t="s">
        <v>51</v>
      </c>
      <c r="BP117" s="607" t="s">
        <v>59</v>
      </c>
      <c r="BQ117" s="610" t="s">
        <v>60</v>
      </c>
      <c r="BR117" s="608" t="s">
        <v>61</v>
      </c>
      <c r="BS117" s="42" t="s">
        <v>82</v>
      </c>
      <c r="BT117" s="611" t="s">
        <v>83</v>
      </c>
      <c r="BU117" s="66" t="s">
        <v>84</v>
      </c>
      <c r="BV117" s="609" t="s">
        <v>60</v>
      </c>
      <c r="BW117" s="113" t="s">
        <v>82</v>
      </c>
    </row>
    <row r="118" spans="30:75" x14ac:dyDescent="0.3">
      <c r="AD118" s="749"/>
      <c r="AE118" s="756"/>
      <c r="AF118" s="64" t="s">
        <v>88</v>
      </c>
      <c r="AG118" s="171">
        <f t="shared" si="32"/>
        <v>41.477679587821619</v>
      </c>
      <c r="AH118" s="64">
        <v>33</v>
      </c>
      <c r="AI118" s="206">
        <f t="shared" si="33"/>
        <v>0.20439136596037485</v>
      </c>
      <c r="AJ118" s="171">
        <v>70.7</v>
      </c>
      <c r="AK118" s="64">
        <v>80</v>
      </c>
      <c r="AL118" s="216">
        <f t="shared" si="31"/>
        <v>0.1315417256011315</v>
      </c>
      <c r="AM118" s="173">
        <v>42</v>
      </c>
      <c r="AN118" s="64">
        <v>34</v>
      </c>
      <c r="AO118" s="206">
        <f t="shared" si="34"/>
        <v>0.19047619047619047</v>
      </c>
      <c r="AP118" s="171">
        <v>58</v>
      </c>
      <c r="AQ118" s="64">
        <v>62</v>
      </c>
      <c r="AR118" s="206">
        <f t="shared" si="35"/>
        <v>6.8965517241379309E-2</v>
      </c>
      <c r="AS118" s="171">
        <v>707</v>
      </c>
      <c r="AT118" s="64">
        <v>697</v>
      </c>
      <c r="AU118" s="206">
        <f t="shared" si="36"/>
        <v>1.4144271570014143E-2</v>
      </c>
      <c r="AV118" s="183">
        <v>54</v>
      </c>
      <c r="AW118" s="64">
        <v>53.6</v>
      </c>
      <c r="AX118" s="207">
        <f t="shared" si="37"/>
        <v>7.4074074074073808E-3</v>
      </c>
      <c r="BO118" s="763"/>
      <c r="BP118" s="602" t="s">
        <v>208</v>
      </c>
      <c r="BQ118" s="612" t="s">
        <v>208</v>
      </c>
      <c r="BR118" s="603" t="s">
        <v>208</v>
      </c>
      <c r="BS118" s="305" t="s">
        <v>208</v>
      </c>
      <c r="BT118" s="613" t="s">
        <v>208</v>
      </c>
      <c r="BU118" s="301" t="s">
        <v>208</v>
      </c>
      <c r="BV118" s="68" t="s">
        <v>207</v>
      </c>
      <c r="BW118" s="112" t="s">
        <v>207</v>
      </c>
    </row>
    <row r="119" spans="30:75" x14ac:dyDescent="0.3">
      <c r="AD119" s="750"/>
      <c r="AE119" s="756"/>
      <c r="AF119" s="64" t="s">
        <v>89</v>
      </c>
      <c r="AG119" s="171">
        <f t="shared" si="32"/>
        <v>41.477679587821619</v>
      </c>
      <c r="AH119" s="64">
        <v>37</v>
      </c>
      <c r="AI119" s="206">
        <f t="shared" si="33"/>
        <v>0.10795395577375363</v>
      </c>
      <c r="AJ119" s="171">
        <v>70.7</v>
      </c>
      <c r="AK119" s="64">
        <v>79</v>
      </c>
      <c r="AL119" s="216">
        <f t="shared" si="31"/>
        <v>0.11739745403111736</v>
      </c>
      <c r="AM119" s="173">
        <v>42</v>
      </c>
      <c r="AN119" s="64">
        <v>32</v>
      </c>
      <c r="AO119" s="206">
        <f t="shared" si="34"/>
        <v>0.23809523809523808</v>
      </c>
      <c r="AP119" s="692">
        <v>58</v>
      </c>
      <c r="AQ119" s="50">
        <v>63</v>
      </c>
      <c r="AR119" s="214">
        <f t="shared" si="35"/>
        <v>8.6206896551724144E-2</v>
      </c>
      <c r="AS119" s="692">
        <v>707</v>
      </c>
      <c r="AT119" s="50">
        <v>698</v>
      </c>
      <c r="AU119" s="214">
        <f t="shared" si="36"/>
        <v>1.272984441301273E-2</v>
      </c>
      <c r="AV119" s="698">
        <v>54</v>
      </c>
      <c r="AW119" s="50">
        <v>53.8</v>
      </c>
      <c r="AX119" s="215">
        <f t="shared" si="37"/>
        <v>3.7037037037037563E-3</v>
      </c>
      <c r="BO119" s="800"/>
      <c r="BP119" s="604" t="s">
        <v>3</v>
      </c>
      <c r="BQ119" s="614" t="s">
        <v>3</v>
      </c>
      <c r="BR119" s="605" t="s">
        <v>3</v>
      </c>
      <c r="BS119" s="50" t="s">
        <v>3</v>
      </c>
      <c r="BT119" s="615" t="s">
        <v>3</v>
      </c>
      <c r="BU119" s="67" t="s">
        <v>3</v>
      </c>
      <c r="BV119" s="606" t="s">
        <v>3</v>
      </c>
      <c r="BW119" s="304" t="s">
        <v>3</v>
      </c>
    </row>
    <row r="120" spans="30:75" x14ac:dyDescent="0.3">
      <c r="AD120" s="748" t="s">
        <v>52</v>
      </c>
      <c r="AE120" s="755" t="s">
        <v>48</v>
      </c>
      <c r="AF120" s="42" t="s">
        <v>83</v>
      </c>
      <c r="AG120" s="691">
        <f t="shared" si="32"/>
        <v>41.477679587821619</v>
      </c>
      <c r="AH120" s="42">
        <v>32</v>
      </c>
      <c r="AI120" s="211">
        <f t="shared" ref="AI120:AI131" si="39">ABS(AH120-AG120)/AG120</f>
        <v>0.22850071850703019</v>
      </c>
      <c r="AJ120" s="691">
        <v>89</v>
      </c>
      <c r="AK120" s="42">
        <v>86</v>
      </c>
      <c r="AL120" s="217">
        <f t="shared" ref="AL120:AL131" si="40">ABS(AK120-AJ120)/AJ120</f>
        <v>3.3707865168539325E-2</v>
      </c>
      <c r="AM120" s="694">
        <v>62</v>
      </c>
      <c r="AN120" s="42">
        <v>56</v>
      </c>
      <c r="AO120" s="217">
        <f t="shared" ref="AO120:AO131" si="41">ABS(AN120-AM120)/AM120</f>
        <v>9.6774193548387094E-2</v>
      </c>
      <c r="AP120" s="691">
        <v>58</v>
      </c>
      <c r="AQ120" s="42">
        <v>63</v>
      </c>
      <c r="AR120" s="217">
        <f t="shared" ref="AR120:AR131" si="42">ABS(AQ120-AP120)/AP120</f>
        <v>8.6206896551724144E-2</v>
      </c>
      <c r="AS120" s="173">
        <v>706</v>
      </c>
      <c r="AT120" s="64">
        <v>675</v>
      </c>
      <c r="AU120" s="206">
        <f t="shared" si="36"/>
        <v>4.3909348441926344E-2</v>
      </c>
      <c r="AV120" s="183">
        <v>54</v>
      </c>
      <c r="AW120" s="64">
        <v>53.6</v>
      </c>
      <c r="AX120" s="212">
        <f t="shared" ref="AX120:AX131" si="43">ABS(AW120-AV120)/AV120</f>
        <v>7.4074074074073808E-3</v>
      </c>
      <c r="BO120" s="763" t="s">
        <v>52</v>
      </c>
      <c r="BP120" s="602" t="s">
        <v>59</v>
      </c>
      <c r="BQ120" s="612" t="s">
        <v>60</v>
      </c>
      <c r="BR120" s="603" t="s">
        <v>61</v>
      </c>
      <c r="BS120" s="305" t="s">
        <v>82</v>
      </c>
      <c r="BT120" s="613" t="s">
        <v>83</v>
      </c>
      <c r="BU120" s="301" t="s">
        <v>84</v>
      </c>
      <c r="BV120" s="68" t="s">
        <v>60</v>
      </c>
      <c r="BW120" s="182" t="s">
        <v>82</v>
      </c>
    </row>
    <row r="121" spans="30:75" x14ac:dyDescent="0.3">
      <c r="AD121" s="749"/>
      <c r="AE121" s="756"/>
      <c r="AF121" s="64" t="s">
        <v>90</v>
      </c>
      <c r="AG121" s="171">
        <f t="shared" si="32"/>
        <v>41.477679587821619</v>
      </c>
      <c r="AH121" s="64">
        <v>42</v>
      </c>
      <c r="AI121" s="206">
        <f t="shared" si="39"/>
        <v>1.2592806959522897E-2</v>
      </c>
      <c r="AJ121" s="171">
        <v>89</v>
      </c>
      <c r="AK121" s="64">
        <v>80</v>
      </c>
      <c r="AL121" s="216">
        <f t="shared" si="40"/>
        <v>0.10112359550561797</v>
      </c>
      <c r="AM121" s="173">
        <v>62</v>
      </c>
      <c r="AN121" s="64">
        <v>46</v>
      </c>
      <c r="AO121" s="216">
        <f t="shared" si="41"/>
        <v>0.25806451612903225</v>
      </c>
      <c r="AP121" s="171">
        <v>58</v>
      </c>
      <c r="AQ121" s="64">
        <v>65</v>
      </c>
      <c r="AR121" s="216">
        <f t="shared" si="42"/>
        <v>0.1206896551724138</v>
      </c>
      <c r="AS121" s="173">
        <v>706</v>
      </c>
      <c r="AT121" s="64">
        <v>696</v>
      </c>
      <c r="AU121" s="206">
        <f t="shared" si="36"/>
        <v>1.4164305949008499E-2</v>
      </c>
      <c r="AV121" s="183">
        <v>54</v>
      </c>
      <c r="AW121" s="64">
        <v>53.5</v>
      </c>
      <c r="AX121" s="207">
        <f t="shared" si="43"/>
        <v>9.2592592592592587E-3</v>
      </c>
      <c r="BO121" s="763"/>
      <c r="BP121" s="602" t="s">
        <v>208</v>
      </c>
      <c r="BQ121" s="612" t="s">
        <v>208</v>
      </c>
      <c r="BR121" s="603" t="s">
        <v>208</v>
      </c>
      <c r="BS121" s="305" t="s">
        <v>208</v>
      </c>
      <c r="BT121" s="613" t="s">
        <v>208</v>
      </c>
      <c r="BU121" s="301" t="s">
        <v>208</v>
      </c>
      <c r="BV121" s="68" t="s">
        <v>207</v>
      </c>
      <c r="BW121" s="182" t="s">
        <v>207</v>
      </c>
    </row>
    <row r="122" spans="30:75" x14ac:dyDescent="0.3">
      <c r="AD122" s="749"/>
      <c r="AE122" s="757"/>
      <c r="AF122" s="50" t="s">
        <v>91</v>
      </c>
      <c r="AG122" s="692">
        <f t="shared" si="32"/>
        <v>41.477679587821619</v>
      </c>
      <c r="AH122" s="50">
        <v>32</v>
      </c>
      <c r="AI122" s="214">
        <f t="shared" si="39"/>
        <v>0.22850071850703019</v>
      </c>
      <c r="AJ122" s="692">
        <v>89</v>
      </c>
      <c r="AK122" s="50">
        <v>79</v>
      </c>
      <c r="AL122" s="218">
        <f t="shared" si="40"/>
        <v>0.11235955056179775</v>
      </c>
      <c r="AM122" s="695">
        <v>62</v>
      </c>
      <c r="AN122" s="50">
        <v>63</v>
      </c>
      <c r="AO122" s="218">
        <f t="shared" si="41"/>
        <v>1.6129032258064516E-2</v>
      </c>
      <c r="AP122" s="692">
        <v>58</v>
      </c>
      <c r="AQ122" s="50">
        <v>64</v>
      </c>
      <c r="AR122" s="218">
        <f t="shared" si="42"/>
        <v>0.10344827586206896</v>
      </c>
      <c r="AS122" s="173">
        <v>706</v>
      </c>
      <c r="AT122" s="64">
        <v>696</v>
      </c>
      <c r="AU122" s="206">
        <f t="shared" si="36"/>
        <v>1.4164305949008499E-2</v>
      </c>
      <c r="AV122" s="698">
        <v>54</v>
      </c>
      <c r="AW122" s="50">
        <v>53.6</v>
      </c>
      <c r="AX122" s="215">
        <f t="shared" si="43"/>
        <v>7.4074074074073808E-3</v>
      </c>
      <c r="BO122" s="763"/>
      <c r="BP122" s="602" t="s">
        <v>3</v>
      </c>
      <c r="BQ122" s="612" t="s">
        <v>3</v>
      </c>
      <c r="BR122" s="603" t="s">
        <v>3</v>
      </c>
      <c r="BS122" s="305" t="s">
        <v>3</v>
      </c>
      <c r="BT122" s="613" t="s">
        <v>3</v>
      </c>
      <c r="BU122" s="301" t="s">
        <v>3</v>
      </c>
      <c r="BV122" s="68" t="s">
        <v>3</v>
      </c>
      <c r="BW122" s="182" t="s">
        <v>3</v>
      </c>
    </row>
    <row r="123" spans="30:75" x14ac:dyDescent="0.3">
      <c r="AD123" s="749"/>
      <c r="AE123" s="756" t="s">
        <v>49</v>
      </c>
      <c r="AF123" s="64" t="s">
        <v>92</v>
      </c>
      <c r="AG123" s="171">
        <f t="shared" si="32"/>
        <v>41.477679587821619</v>
      </c>
      <c r="AH123" s="64">
        <v>42</v>
      </c>
      <c r="AI123" s="206">
        <f t="shared" si="39"/>
        <v>1.2592806959522897E-2</v>
      </c>
      <c r="AJ123" s="171">
        <v>89</v>
      </c>
      <c r="AK123" s="64">
        <v>79</v>
      </c>
      <c r="AL123" s="216">
        <f t="shared" si="40"/>
        <v>0.11235955056179775</v>
      </c>
      <c r="AM123" s="173">
        <v>42</v>
      </c>
      <c r="AN123" s="64">
        <v>40</v>
      </c>
      <c r="AO123" s="206">
        <f t="shared" si="41"/>
        <v>4.7619047619047616E-2</v>
      </c>
      <c r="AP123" s="691">
        <v>58</v>
      </c>
      <c r="AQ123" s="42">
        <v>62</v>
      </c>
      <c r="AR123" s="211">
        <f t="shared" si="42"/>
        <v>6.8965517241379309E-2</v>
      </c>
      <c r="AS123" s="691">
        <v>720</v>
      </c>
      <c r="AT123" s="42">
        <v>690</v>
      </c>
      <c r="AU123" s="211">
        <f t="shared" si="36"/>
        <v>4.1666666666666664E-2</v>
      </c>
      <c r="AV123" s="183">
        <v>54</v>
      </c>
      <c r="AW123" s="64">
        <v>53.8</v>
      </c>
      <c r="AX123" s="212">
        <f t="shared" si="43"/>
        <v>3.7037037037037563E-3</v>
      </c>
      <c r="BO123" s="798" t="s">
        <v>53</v>
      </c>
      <c r="BP123" s="607" t="s">
        <v>59</v>
      </c>
      <c r="BQ123" s="610" t="s">
        <v>60</v>
      </c>
      <c r="BR123" s="608" t="s">
        <v>61</v>
      </c>
      <c r="BS123" s="42" t="s">
        <v>82</v>
      </c>
      <c r="BT123" s="611" t="s">
        <v>83</v>
      </c>
      <c r="BU123" s="66" t="s">
        <v>84</v>
      </c>
      <c r="BV123" s="609" t="s">
        <v>60</v>
      </c>
      <c r="BW123" s="43" t="s">
        <v>82</v>
      </c>
    </row>
    <row r="124" spans="30:75" x14ac:dyDescent="0.3">
      <c r="AD124" s="749"/>
      <c r="AE124" s="756"/>
      <c r="AF124" s="64" t="s">
        <v>93</v>
      </c>
      <c r="AG124" s="171">
        <f t="shared" si="32"/>
        <v>41.477679587821619</v>
      </c>
      <c r="AH124" s="64">
        <v>32</v>
      </c>
      <c r="AI124" s="206">
        <f t="shared" si="39"/>
        <v>0.22850071850703019</v>
      </c>
      <c r="AJ124" s="171">
        <v>89</v>
      </c>
      <c r="AK124" s="64">
        <v>79</v>
      </c>
      <c r="AL124" s="216">
        <f t="shared" si="40"/>
        <v>0.11235955056179775</v>
      </c>
      <c r="AM124" s="173">
        <v>42</v>
      </c>
      <c r="AN124" s="64">
        <v>42</v>
      </c>
      <c r="AO124" s="206">
        <f t="shared" si="41"/>
        <v>0</v>
      </c>
      <c r="AP124" s="171">
        <v>58</v>
      </c>
      <c r="AQ124" s="64">
        <v>62</v>
      </c>
      <c r="AR124" s="206">
        <f t="shared" si="42"/>
        <v>6.8965517241379309E-2</v>
      </c>
      <c r="AS124" s="171">
        <v>720</v>
      </c>
      <c r="AT124" s="64">
        <v>710</v>
      </c>
      <c r="AU124" s="206">
        <f t="shared" si="36"/>
        <v>1.3888888888888888E-2</v>
      </c>
      <c r="AV124" s="183">
        <v>54</v>
      </c>
      <c r="AW124" s="64">
        <v>53.7</v>
      </c>
      <c r="AX124" s="207">
        <f t="shared" si="43"/>
        <v>5.5555555555555029E-3</v>
      </c>
      <c r="BO124" s="763"/>
      <c r="BP124" s="602" t="s">
        <v>208</v>
      </c>
      <c r="BQ124" s="612" t="s">
        <v>208</v>
      </c>
      <c r="BR124" s="603" t="s">
        <v>208</v>
      </c>
      <c r="BS124" s="305" t="s">
        <v>208</v>
      </c>
      <c r="BT124" s="613" t="s">
        <v>208</v>
      </c>
      <c r="BU124" s="301" t="s">
        <v>208</v>
      </c>
      <c r="BV124" s="68" t="s">
        <v>207</v>
      </c>
      <c r="BW124" s="46" t="s">
        <v>207</v>
      </c>
    </row>
    <row r="125" spans="30:75" ht="15" thickBot="1" x14ac:dyDescent="0.35">
      <c r="AD125" s="750"/>
      <c r="AE125" s="756"/>
      <c r="AF125" s="64" t="s">
        <v>94</v>
      </c>
      <c r="AG125" s="171">
        <f t="shared" si="32"/>
        <v>41.477679587821619</v>
      </c>
      <c r="AH125" s="64">
        <v>43</v>
      </c>
      <c r="AI125" s="206">
        <f t="shared" si="39"/>
        <v>3.6702159506178202E-2</v>
      </c>
      <c r="AJ125" s="171">
        <v>89</v>
      </c>
      <c r="AK125" s="64">
        <v>85</v>
      </c>
      <c r="AL125" s="216">
        <f t="shared" si="40"/>
        <v>4.49438202247191E-2</v>
      </c>
      <c r="AM125" s="173">
        <v>42</v>
      </c>
      <c r="AN125" s="64">
        <v>32</v>
      </c>
      <c r="AO125" s="206">
        <f t="shared" si="41"/>
        <v>0.23809523809523808</v>
      </c>
      <c r="AP125" s="692">
        <v>58</v>
      </c>
      <c r="AQ125" s="50">
        <v>63</v>
      </c>
      <c r="AR125" s="214">
        <f t="shared" si="42"/>
        <v>8.6206896551724144E-2</v>
      </c>
      <c r="AS125" s="692">
        <v>720</v>
      </c>
      <c r="AT125" s="50">
        <v>709</v>
      </c>
      <c r="AU125" s="214">
        <f t="shared" si="36"/>
        <v>1.5277777777777777E-2</v>
      </c>
      <c r="AV125" s="698">
        <v>54</v>
      </c>
      <c r="AW125" s="50">
        <v>54.2</v>
      </c>
      <c r="AX125" s="215">
        <f t="shared" si="43"/>
        <v>3.7037037037037563E-3</v>
      </c>
      <c r="BO125" s="764"/>
      <c r="BP125" s="616" t="s">
        <v>3</v>
      </c>
      <c r="BQ125" s="617" t="s">
        <v>3</v>
      </c>
      <c r="BR125" s="618" t="s">
        <v>3</v>
      </c>
      <c r="BS125" s="54" t="s">
        <v>3</v>
      </c>
      <c r="BT125" s="619" t="s">
        <v>3</v>
      </c>
      <c r="BU125" s="115" t="s">
        <v>3</v>
      </c>
      <c r="BV125" s="620" t="s">
        <v>3</v>
      </c>
      <c r="BW125" s="55" t="s">
        <v>3</v>
      </c>
    </row>
    <row r="126" spans="30:75" x14ac:dyDescent="0.3">
      <c r="AD126" s="748" t="s">
        <v>53</v>
      </c>
      <c r="AE126" s="755" t="s">
        <v>48</v>
      </c>
      <c r="AF126" s="42" t="s">
        <v>84</v>
      </c>
      <c r="AG126" s="691">
        <f t="shared" si="32"/>
        <v>41.477679587821619</v>
      </c>
      <c r="AH126" s="42">
        <v>33</v>
      </c>
      <c r="AI126" s="211">
        <f t="shared" si="39"/>
        <v>0.20439136596037485</v>
      </c>
      <c r="AJ126" s="691">
        <v>68</v>
      </c>
      <c r="AK126" s="42">
        <v>66</v>
      </c>
      <c r="AL126" s="217">
        <f t="shared" si="40"/>
        <v>2.9411764705882353E-2</v>
      </c>
      <c r="AM126" s="694">
        <v>62</v>
      </c>
      <c r="AN126" s="42">
        <v>60</v>
      </c>
      <c r="AO126" s="217">
        <f t="shared" si="41"/>
        <v>3.2258064516129031E-2</v>
      </c>
      <c r="AP126" s="691">
        <v>58</v>
      </c>
      <c r="AQ126" s="42">
        <v>65</v>
      </c>
      <c r="AR126" s="217">
        <f t="shared" si="42"/>
        <v>0.1206896551724138</v>
      </c>
      <c r="AS126" s="173">
        <v>703</v>
      </c>
      <c r="AT126" s="64">
        <v>631</v>
      </c>
      <c r="AU126" s="206">
        <f t="shared" si="36"/>
        <v>0.10241820768136557</v>
      </c>
      <c r="AV126" s="183">
        <v>54</v>
      </c>
      <c r="AW126" s="64">
        <v>53.8</v>
      </c>
      <c r="AX126" s="212">
        <f t="shared" si="43"/>
        <v>3.7037037037037563E-3</v>
      </c>
    </row>
    <row r="127" spans="30:75" x14ac:dyDescent="0.3">
      <c r="AD127" s="749"/>
      <c r="AE127" s="756"/>
      <c r="AF127" s="64" t="s">
        <v>95</v>
      </c>
      <c r="AG127" s="171">
        <f t="shared" si="32"/>
        <v>41.477679587821619</v>
      </c>
      <c r="AH127" s="64">
        <v>44</v>
      </c>
      <c r="AI127" s="206">
        <f t="shared" si="39"/>
        <v>6.0811512052833513E-2</v>
      </c>
      <c r="AJ127" s="171">
        <v>68</v>
      </c>
      <c r="AK127" s="64">
        <v>59</v>
      </c>
      <c r="AL127" s="216">
        <f t="shared" si="40"/>
        <v>0.13235294117647059</v>
      </c>
      <c r="AM127" s="173">
        <v>62</v>
      </c>
      <c r="AN127" s="64">
        <v>48</v>
      </c>
      <c r="AO127" s="216">
        <f t="shared" si="41"/>
        <v>0.22580645161290322</v>
      </c>
      <c r="AP127" s="171">
        <v>58</v>
      </c>
      <c r="AQ127" s="64">
        <v>63</v>
      </c>
      <c r="AR127" s="216">
        <f t="shared" si="42"/>
        <v>8.6206896551724144E-2</v>
      </c>
      <c r="AS127" s="173">
        <v>703</v>
      </c>
      <c r="AT127" s="64">
        <v>694</v>
      </c>
      <c r="AU127" s="206">
        <f t="shared" si="36"/>
        <v>1.2802275960170697E-2</v>
      </c>
      <c r="AV127" s="183">
        <v>54</v>
      </c>
      <c r="AW127" s="64">
        <v>53.5</v>
      </c>
      <c r="AX127" s="207">
        <f t="shared" si="43"/>
        <v>9.2592592592592587E-3</v>
      </c>
    </row>
    <row r="128" spans="30:75" x14ac:dyDescent="0.3">
      <c r="AD128" s="749"/>
      <c r="AE128" s="757"/>
      <c r="AF128" s="50" t="s">
        <v>96</v>
      </c>
      <c r="AG128" s="692">
        <f t="shared" si="32"/>
        <v>41.477679587821619</v>
      </c>
      <c r="AH128" s="50">
        <v>33</v>
      </c>
      <c r="AI128" s="214">
        <f t="shared" si="39"/>
        <v>0.20439136596037485</v>
      </c>
      <c r="AJ128" s="692">
        <v>68</v>
      </c>
      <c r="AK128" s="50">
        <v>64</v>
      </c>
      <c r="AL128" s="218">
        <f t="shared" si="40"/>
        <v>5.8823529411764705E-2</v>
      </c>
      <c r="AM128" s="695">
        <v>62</v>
      </c>
      <c r="AN128" s="50">
        <v>63</v>
      </c>
      <c r="AO128" s="218">
        <f t="shared" si="41"/>
        <v>1.6129032258064516E-2</v>
      </c>
      <c r="AP128" s="692">
        <v>58</v>
      </c>
      <c r="AQ128" s="50">
        <v>63</v>
      </c>
      <c r="AR128" s="218">
        <f t="shared" si="42"/>
        <v>8.6206896551724144E-2</v>
      </c>
      <c r="AS128" s="173">
        <v>703</v>
      </c>
      <c r="AT128" s="64">
        <v>693</v>
      </c>
      <c r="AU128" s="206">
        <f t="shared" si="36"/>
        <v>1.422475106685633E-2</v>
      </c>
      <c r="AV128" s="698">
        <v>54</v>
      </c>
      <c r="AW128" s="50">
        <v>53.7</v>
      </c>
      <c r="AX128" s="215">
        <f t="shared" si="43"/>
        <v>5.5555555555555029E-3</v>
      </c>
    </row>
    <row r="129" spans="30:50" x14ac:dyDescent="0.3">
      <c r="AD129" s="749"/>
      <c r="AE129" s="756" t="s">
        <v>49</v>
      </c>
      <c r="AF129" s="64" t="s">
        <v>97</v>
      </c>
      <c r="AG129" s="171">
        <f t="shared" si="32"/>
        <v>41.477679587821619</v>
      </c>
      <c r="AH129" s="64">
        <v>30</v>
      </c>
      <c r="AI129" s="206">
        <f t="shared" si="39"/>
        <v>0.2767194236003408</v>
      </c>
      <c r="AJ129" s="171">
        <v>68</v>
      </c>
      <c r="AK129" s="64">
        <v>60</v>
      </c>
      <c r="AL129" s="216">
        <f t="shared" si="40"/>
        <v>0.11764705882352941</v>
      </c>
      <c r="AM129" s="173">
        <v>42</v>
      </c>
      <c r="AN129" s="64">
        <v>35</v>
      </c>
      <c r="AO129" s="206">
        <f t="shared" si="41"/>
        <v>0.16666666666666666</v>
      </c>
      <c r="AP129" s="691">
        <v>58</v>
      </c>
      <c r="AQ129" s="42">
        <v>64</v>
      </c>
      <c r="AR129" s="211">
        <f t="shared" si="42"/>
        <v>0.10344827586206896</v>
      </c>
      <c r="AS129" s="691">
        <v>718</v>
      </c>
      <c r="AT129" s="42">
        <v>686</v>
      </c>
      <c r="AU129" s="211">
        <f t="shared" si="36"/>
        <v>4.456824512534819E-2</v>
      </c>
      <c r="AV129" s="183">
        <v>54</v>
      </c>
      <c r="AW129" s="64">
        <v>53.7</v>
      </c>
      <c r="AX129" s="212">
        <f t="shared" si="43"/>
        <v>5.5555555555555029E-3</v>
      </c>
    </row>
    <row r="130" spans="30:50" x14ac:dyDescent="0.3">
      <c r="AD130" s="749"/>
      <c r="AE130" s="756"/>
      <c r="AF130" s="64" t="s">
        <v>98</v>
      </c>
      <c r="AG130" s="171">
        <f t="shared" si="32"/>
        <v>41.477679587821619</v>
      </c>
      <c r="AH130" s="64">
        <v>33</v>
      </c>
      <c r="AI130" s="206">
        <f t="shared" si="39"/>
        <v>0.20439136596037485</v>
      </c>
      <c r="AJ130" s="171">
        <v>68</v>
      </c>
      <c r="AK130" s="64">
        <v>69</v>
      </c>
      <c r="AL130" s="216">
        <f t="shared" si="40"/>
        <v>1.4705882352941176E-2</v>
      </c>
      <c r="AM130" s="173">
        <v>42</v>
      </c>
      <c r="AN130" s="64">
        <v>33</v>
      </c>
      <c r="AO130" s="206">
        <f t="shared" si="41"/>
        <v>0.21428571428571427</v>
      </c>
      <c r="AP130" s="171">
        <v>58</v>
      </c>
      <c r="AQ130" s="64">
        <v>64</v>
      </c>
      <c r="AR130" s="206">
        <f t="shared" si="42"/>
        <v>0.10344827586206896</v>
      </c>
      <c r="AS130" s="171">
        <v>718</v>
      </c>
      <c r="AT130" s="64">
        <v>707</v>
      </c>
      <c r="AU130" s="206">
        <f t="shared" si="36"/>
        <v>1.532033426183844E-2</v>
      </c>
      <c r="AV130" s="183">
        <v>54</v>
      </c>
      <c r="AW130" s="64">
        <v>53.8</v>
      </c>
      <c r="AX130" s="207">
        <f t="shared" si="43"/>
        <v>3.7037037037037563E-3</v>
      </c>
    </row>
    <row r="131" spans="30:50" x14ac:dyDescent="0.3">
      <c r="AD131" s="749"/>
      <c r="AE131" s="756"/>
      <c r="AF131" s="64" t="s">
        <v>99</v>
      </c>
      <c r="AG131" s="171">
        <f t="shared" si="32"/>
        <v>41.477679587821619</v>
      </c>
      <c r="AH131" s="64">
        <v>30</v>
      </c>
      <c r="AI131" s="206">
        <f t="shared" si="39"/>
        <v>0.2767194236003408</v>
      </c>
      <c r="AJ131" s="171">
        <v>68</v>
      </c>
      <c r="AK131" s="64">
        <v>65</v>
      </c>
      <c r="AL131" s="216">
        <f t="shared" si="40"/>
        <v>4.4117647058823532E-2</v>
      </c>
      <c r="AM131" s="173">
        <v>42</v>
      </c>
      <c r="AN131" s="64">
        <v>50</v>
      </c>
      <c r="AO131" s="206">
        <f t="shared" si="41"/>
        <v>0.19047619047619047</v>
      </c>
      <c r="AP131" s="171">
        <v>58</v>
      </c>
      <c r="AQ131" s="64">
        <v>63</v>
      </c>
      <c r="AR131" s="206">
        <f t="shared" si="42"/>
        <v>8.6206896551724144E-2</v>
      </c>
      <c r="AS131" s="692">
        <v>718</v>
      </c>
      <c r="AT131" s="50">
        <v>708</v>
      </c>
      <c r="AU131" s="214">
        <f t="shared" si="36"/>
        <v>1.3927576601671309E-2</v>
      </c>
      <c r="AV131" s="183">
        <v>54</v>
      </c>
      <c r="AW131" s="64">
        <v>53.5</v>
      </c>
      <c r="AX131" s="207">
        <f t="shared" si="43"/>
        <v>9.2592592592592587E-3</v>
      </c>
    </row>
    <row r="132" spans="30:50" x14ac:dyDescent="0.3">
      <c r="AD132" s="801" t="s">
        <v>48</v>
      </c>
      <c r="AE132" s="804" t="s">
        <v>50</v>
      </c>
      <c r="AF132" s="41" t="s">
        <v>100</v>
      </c>
      <c r="AG132" s="691">
        <f t="shared" si="32"/>
        <v>41.477679587821619</v>
      </c>
      <c r="AH132" s="42">
        <v>32</v>
      </c>
      <c r="AI132" s="211">
        <f t="shared" ref="AI132:AI143" si="44">ABS(AH132-AG132)/AG132</f>
        <v>0.22850071850703019</v>
      </c>
      <c r="AJ132" s="691">
        <v>52</v>
      </c>
      <c r="AK132" s="42">
        <v>53</v>
      </c>
      <c r="AL132" s="217">
        <f t="shared" ref="AL132:AL143" si="45">ABS(AK132-AJ132)/AJ132</f>
        <v>1.9230769230769232E-2</v>
      </c>
      <c r="AM132" s="694">
        <v>56</v>
      </c>
      <c r="AN132" s="42">
        <v>50</v>
      </c>
      <c r="AO132" s="211">
        <f t="shared" ref="AO132:AO143" si="46">ABS(AN132-AM132)/AM132</f>
        <v>0.10714285714285714</v>
      </c>
      <c r="AP132" s="691">
        <v>58</v>
      </c>
      <c r="AQ132" s="42">
        <v>63</v>
      </c>
      <c r="AR132" s="217">
        <f t="shared" ref="AR132:AR143" si="47">ABS(AQ132-AP132)/AP132</f>
        <v>8.6206896551724144E-2</v>
      </c>
      <c r="AS132" s="173">
        <v>722</v>
      </c>
      <c r="AT132" s="64">
        <v>692</v>
      </c>
      <c r="AU132" s="206">
        <f t="shared" si="36"/>
        <v>4.1551246537396121E-2</v>
      </c>
      <c r="AV132" s="697">
        <v>54</v>
      </c>
      <c r="AW132" s="42">
        <v>54.1</v>
      </c>
      <c r="AX132" s="212">
        <f t="shared" ref="AX132:AX143" si="48">ABS(AW132-AV132)/AV132</f>
        <v>1.8518518518518782E-3</v>
      </c>
    </row>
    <row r="133" spans="30:50" x14ac:dyDescent="0.3">
      <c r="AD133" s="802"/>
      <c r="AE133" s="805"/>
      <c r="AF133" s="45" t="s">
        <v>101</v>
      </c>
      <c r="AG133" s="171">
        <f t="shared" si="32"/>
        <v>41.477679587821619</v>
      </c>
      <c r="AH133" s="64">
        <v>31</v>
      </c>
      <c r="AI133" s="206">
        <f t="shared" si="44"/>
        <v>0.25261007105368549</v>
      </c>
      <c r="AJ133" s="171">
        <v>52</v>
      </c>
      <c r="AK133" s="64">
        <v>54</v>
      </c>
      <c r="AL133" s="216">
        <f t="shared" si="45"/>
        <v>3.8461538461538464E-2</v>
      </c>
      <c r="AM133" s="173">
        <v>56</v>
      </c>
      <c r="AN133" s="64">
        <v>58</v>
      </c>
      <c r="AO133" s="206">
        <f t="shared" si="46"/>
        <v>3.5714285714285712E-2</v>
      </c>
      <c r="AP133" s="171">
        <v>58</v>
      </c>
      <c r="AQ133" s="64">
        <v>64</v>
      </c>
      <c r="AR133" s="216">
        <f t="shared" si="47"/>
        <v>0.10344827586206896</v>
      </c>
      <c r="AS133" s="173">
        <v>722</v>
      </c>
      <c r="AT133" s="64">
        <v>711</v>
      </c>
      <c r="AU133" s="206">
        <f t="shared" si="36"/>
        <v>1.5235457063711912E-2</v>
      </c>
      <c r="AV133" s="183">
        <v>54</v>
      </c>
      <c r="AW133" s="64">
        <v>53.8</v>
      </c>
      <c r="AX133" s="207">
        <f t="shared" si="48"/>
        <v>3.7037037037037563E-3</v>
      </c>
    </row>
    <row r="134" spans="30:50" x14ac:dyDescent="0.3">
      <c r="AD134" s="802"/>
      <c r="AE134" s="805"/>
      <c r="AF134" s="49" t="s">
        <v>102</v>
      </c>
      <c r="AG134" s="692">
        <f t="shared" si="32"/>
        <v>41.477679587821619</v>
      </c>
      <c r="AH134" s="50">
        <v>32</v>
      </c>
      <c r="AI134" s="214">
        <f t="shared" si="44"/>
        <v>0.22850071850703019</v>
      </c>
      <c r="AJ134" s="692">
        <v>52</v>
      </c>
      <c r="AK134" s="50">
        <v>48</v>
      </c>
      <c r="AL134" s="218">
        <f t="shared" si="45"/>
        <v>7.6923076923076927E-2</v>
      </c>
      <c r="AM134" s="695">
        <v>56</v>
      </c>
      <c r="AN134" s="50">
        <v>51</v>
      </c>
      <c r="AO134" s="214">
        <f t="shared" si="46"/>
        <v>8.9285714285714288E-2</v>
      </c>
      <c r="AP134" s="692">
        <v>58</v>
      </c>
      <c r="AQ134" s="50">
        <v>62</v>
      </c>
      <c r="AR134" s="218">
        <f t="shared" si="47"/>
        <v>6.8965517241379309E-2</v>
      </c>
      <c r="AS134" s="173">
        <v>722</v>
      </c>
      <c r="AT134" s="64">
        <v>713</v>
      </c>
      <c r="AU134" s="206">
        <f t="shared" si="36"/>
        <v>1.2465373961218837E-2</v>
      </c>
      <c r="AV134" s="698">
        <v>54</v>
      </c>
      <c r="AW134" s="50">
        <v>53.5</v>
      </c>
      <c r="AX134" s="215">
        <f t="shared" si="48"/>
        <v>9.2592592592592587E-3</v>
      </c>
    </row>
    <row r="135" spans="30:50" x14ac:dyDescent="0.3">
      <c r="AD135" s="801" t="s">
        <v>49</v>
      </c>
      <c r="AE135" s="805"/>
      <c r="AF135" s="41" t="s">
        <v>103</v>
      </c>
      <c r="AG135" s="691">
        <f t="shared" si="32"/>
        <v>41.477679587821619</v>
      </c>
      <c r="AH135" s="42">
        <v>31</v>
      </c>
      <c r="AI135" s="211">
        <f t="shared" si="44"/>
        <v>0.25261007105368549</v>
      </c>
      <c r="AJ135" s="691">
        <v>71</v>
      </c>
      <c r="AK135" s="42">
        <v>63</v>
      </c>
      <c r="AL135" s="217">
        <f t="shared" si="45"/>
        <v>0.11267605633802817</v>
      </c>
      <c r="AM135" s="694">
        <v>56</v>
      </c>
      <c r="AN135" s="42">
        <v>55</v>
      </c>
      <c r="AO135" s="211">
        <f t="shared" si="46"/>
        <v>1.7857142857142856E-2</v>
      </c>
      <c r="AP135" s="691">
        <v>58</v>
      </c>
      <c r="AQ135" s="42">
        <v>63</v>
      </c>
      <c r="AR135" s="211">
        <f t="shared" si="47"/>
        <v>8.6206896551724144E-2</v>
      </c>
      <c r="AS135" s="691">
        <v>708</v>
      </c>
      <c r="AT135" s="42">
        <v>677</v>
      </c>
      <c r="AU135" s="211">
        <f t="shared" si="36"/>
        <v>4.3785310734463276E-2</v>
      </c>
      <c r="AV135" s="697">
        <v>54</v>
      </c>
      <c r="AW135" s="42">
        <v>53.9</v>
      </c>
      <c r="AX135" s="212">
        <f t="shared" si="48"/>
        <v>1.8518518518518782E-3</v>
      </c>
    </row>
    <row r="136" spans="30:50" x14ac:dyDescent="0.3">
      <c r="AD136" s="802"/>
      <c r="AE136" s="805"/>
      <c r="AF136" s="45" t="s">
        <v>104</v>
      </c>
      <c r="AG136" s="171">
        <f t="shared" si="32"/>
        <v>41.477679587821619</v>
      </c>
      <c r="AH136" s="64">
        <v>32</v>
      </c>
      <c r="AI136" s="206">
        <f t="shared" si="44"/>
        <v>0.22850071850703019</v>
      </c>
      <c r="AJ136" s="171">
        <v>71</v>
      </c>
      <c r="AK136" s="64">
        <v>65</v>
      </c>
      <c r="AL136" s="216">
        <f t="shared" si="45"/>
        <v>8.4507042253521125E-2</v>
      </c>
      <c r="AM136" s="173">
        <v>56</v>
      </c>
      <c r="AN136" s="64">
        <v>47</v>
      </c>
      <c r="AO136" s="206">
        <f t="shared" si="46"/>
        <v>0.16071428571428573</v>
      </c>
      <c r="AP136" s="171">
        <v>58</v>
      </c>
      <c r="AQ136" s="64">
        <v>64</v>
      </c>
      <c r="AR136" s="206">
        <f t="shared" si="47"/>
        <v>0.10344827586206896</v>
      </c>
      <c r="AS136" s="171">
        <v>708</v>
      </c>
      <c r="AT136" s="64">
        <v>698</v>
      </c>
      <c r="AU136" s="206">
        <f t="shared" si="36"/>
        <v>1.4124293785310734E-2</v>
      </c>
      <c r="AV136" s="183">
        <v>54</v>
      </c>
      <c r="AW136" s="64">
        <v>53.6</v>
      </c>
      <c r="AX136" s="207">
        <f t="shared" si="48"/>
        <v>7.4074074074073808E-3</v>
      </c>
    </row>
    <row r="137" spans="30:50" x14ac:dyDescent="0.3">
      <c r="AD137" s="802"/>
      <c r="AE137" s="805"/>
      <c r="AF137" s="49" t="s">
        <v>105</v>
      </c>
      <c r="AG137" s="692">
        <f t="shared" si="32"/>
        <v>41.477679587821619</v>
      </c>
      <c r="AH137" s="50">
        <v>31</v>
      </c>
      <c r="AI137" s="214">
        <f t="shared" si="44"/>
        <v>0.25261007105368549</v>
      </c>
      <c r="AJ137" s="692">
        <v>71</v>
      </c>
      <c r="AK137" s="50">
        <v>65</v>
      </c>
      <c r="AL137" s="218">
        <f t="shared" si="45"/>
        <v>8.4507042253521125E-2</v>
      </c>
      <c r="AM137" s="695">
        <v>56</v>
      </c>
      <c r="AN137" s="50">
        <v>64</v>
      </c>
      <c r="AO137" s="214">
        <f t="shared" si="46"/>
        <v>0.14285714285714285</v>
      </c>
      <c r="AP137" s="692">
        <v>58</v>
      </c>
      <c r="AQ137" s="50">
        <v>63</v>
      </c>
      <c r="AR137" s="214">
        <f t="shared" si="47"/>
        <v>8.6206896551724144E-2</v>
      </c>
      <c r="AS137" s="692">
        <v>708</v>
      </c>
      <c r="AT137" s="50">
        <v>697</v>
      </c>
      <c r="AU137" s="214">
        <f t="shared" si="36"/>
        <v>1.5536723163841809E-2</v>
      </c>
      <c r="AV137" s="698">
        <v>54</v>
      </c>
      <c r="AW137" s="50">
        <v>55</v>
      </c>
      <c r="AX137" s="215">
        <f t="shared" si="48"/>
        <v>1.8518518518518517E-2</v>
      </c>
    </row>
    <row r="138" spans="30:50" x14ac:dyDescent="0.3">
      <c r="AD138" s="801" t="s">
        <v>50</v>
      </c>
      <c r="AE138" s="805"/>
      <c r="AF138" s="41" t="s">
        <v>106</v>
      </c>
      <c r="AG138" s="691">
        <f t="shared" si="32"/>
        <v>41.477679587821619</v>
      </c>
      <c r="AH138" s="42">
        <v>37</v>
      </c>
      <c r="AI138" s="211">
        <f t="shared" si="44"/>
        <v>0.10795395577375363</v>
      </c>
      <c r="AJ138" s="691">
        <v>84</v>
      </c>
      <c r="AK138" s="42">
        <v>85</v>
      </c>
      <c r="AL138" s="217">
        <f t="shared" si="45"/>
        <v>1.1904761904761904E-2</v>
      </c>
      <c r="AM138" s="694">
        <v>56</v>
      </c>
      <c r="AN138" s="42">
        <v>47</v>
      </c>
      <c r="AO138" s="211">
        <f t="shared" si="46"/>
        <v>0.16071428571428573</v>
      </c>
      <c r="AP138" s="691">
        <v>58</v>
      </c>
      <c r="AQ138" s="42">
        <v>62</v>
      </c>
      <c r="AR138" s="217">
        <f t="shared" si="47"/>
        <v>6.8965517241379309E-2</v>
      </c>
      <c r="AS138" s="173">
        <v>699</v>
      </c>
      <c r="AT138" s="64">
        <v>668</v>
      </c>
      <c r="AU138" s="206">
        <f t="shared" si="36"/>
        <v>4.4349070100143065E-2</v>
      </c>
      <c r="AV138" s="697">
        <v>54</v>
      </c>
      <c r="AW138" s="42">
        <v>53.5</v>
      </c>
      <c r="AX138" s="212">
        <f t="shared" si="48"/>
        <v>9.2592592592592587E-3</v>
      </c>
    </row>
    <row r="139" spans="30:50" x14ac:dyDescent="0.3">
      <c r="AD139" s="802"/>
      <c r="AE139" s="805"/>
      <c r="AF139" s="45" t="s">
        <v>107</v>
      </c>
      <c r="AG139" s="171">
        <f t="shared" si="32"/>
        <v>41.477679587821619</v>
      </c>
      <c r="AH139" s="64">
        <v>35</v>
      </c>
      <c r="AI139" s="206">
        <f t="shared" si="44"/>
        <v>0.15617266086706424</v>
      </c>
      <c r="AJ139" s="171">
        <v>84</v>
      </c>
      <c r="AK139" s="64">
        <v>81</v>
      </c>
      <c r="AL139" s="216">
        <f t="shared" si="45"/>
        <v>3.5714285714285712E-2</v>
      </c>
      <c r="AM139" s="173">
        <v>56</v>
      </c>
      <c r="AN139" s="64">
        <v>55</v>
      </c>
      <c r="AO139" s="206">
        <f t="shared" si="46"/>
        <v>1.7857142857142856E-2</v>
      </c>
      <c r="AP139" s="171">
        <v>58</v>
      </c>
      <c r="AQ139" s="64">
        <v>65</v>
      </c>
      <c r="AR139" s="216">
        <f t="shared" si="47"/>
        <v>0.1206896551724138</v>
      </c>
      <c r="AS139" s="173">
        <v>699</v>
      </c>
      <c r="AT139" s="64">
        <v>688</v>
      </c>
      <c r="AU139" s="206">
        <f t="shared" si="36"/>
        <v>1.5736766809728183E-2</v>
      </c>
      <c r="AV139" s="183">
        <v>54</v>
      </c>
      <c r="AW139" s="64">
        <v>53.8</v>
      </c>
      <c r="AX139" s="207">
        <f t="shared" si="48"/>
        <v>3.7037037037037563E-3</v>
      </c>
    </row>
    <row r="140" spans="30:50" x14ac:dyDescent="0.3">
      <c r="AD140" s="802"/>
      <c r="AE140" s="805"/>
      <c r="AF140" s="49" t="s">
        <v>108</v>
      </c>
      <c r="AG140" s="692">
        <f t="shared" si="32"/>
        <v>41.477679587821619</v>
      </c>
      <c r="AH140" s="50">
        <v>35</v>
      </c>
      <c r="AI140" s="214">
        <f t="shared" si="44"/>
        <v>0.15617266086706424</v>
      </c>
      <c r="AJ140" s="692">
        <v>84</v>
      </c>
      <c r="AK140" s="50">
        <v>78</v>
      </c>
      <c r="AL140" s="218">
        <f t="shared" si="45"/>
        <v>7.1428571428571425E-2</v>
      </c>
      <c r="AM140" s="695">
        <v>56</v>
      </c>
      <c r="AN140" s="50">
        <v>64</v>
      </c>
      <c r="AO140" s="214">
        <f t="shared" si="46"/>
        <v>0.14285714285714285</v>
      </c>
      <c r="AP140" s="692">
        <v>58</v>
      </c>
      <c r="AQ140" s="50">
        <v>63</v>
      </c>
      <c r="AR140" s="218">
        <f t="shared" si="47"/>
        <v>8.6206896551724144E-2</v>
      </c>
      <c r="AS140" s="173">
        <v>699</v>
      </c>
      <c r="AT140" s="64">
        <v>689</v>
      </c>
      <c r="AU140" s="206">
        <f t="shared" si="36"/>
        <v>1.4306151645207439E-2</v>
      </c>
      <c r="AV140" s="698">
        <v>54</v>
      </c>
      <c r="AW140" s="50">
        <v>53.9</v>
      </c>
      <c r="AX140" s="215">
        <f t="shared" si="48"/>
        <v>1.8518518518518782E-3</v>
      </c>
    </row>
    <row r="141" spans="30:50" x14ac:dyDescent="0.3">
      <c r="AD141" s="801" t="s">
        <v>51</v>
      </c>
      <c r="AE141" s="805"/>
      <c r="AF141" s="41" t="s">
        <v>109</v>
      </c>
      <c r="AG141" s="691">
        <f t="shared" si="32"/>
        <v>41.477679587821619</v>
      </c>
      <c r="AH141" s="42">
        <v>43</v>
      </c>
      <c r="AI141" s="211">
        <f t="shared" si="44"/>
        <v>3.6702159506178202E-2</v>
      </c>
      <c r="AJ141" s="691">
        <v>70.7</v>
      </c>
      <c r="AK141" s="42">
        <v>83</v>
      </c>
      <c r="AL141" s="217">
        <f t="shared" si="45"/>
        <v>0.17397454031117393</v>
      </c>
      <c r="AM141" s="694">
        <v>56</v>
      </c>
      <c r="AN141" s="42">
        <v>45</v>
      </c>
      <c r="AO141" s="211">
        <f t="shared" si="46"/>
        <v>0.19642857142857142</v>
      </c>
      <c r="AP141" s="691">
        <v>58</v>
      </c>
      <c r="AQ141" s="42">
        <v>62</v>
      </c>
      <c r="AR141" s="211">
        <f t="shared" si="47"/>
        <v>6.8965517241379309E-2</v>
      </c>
      <c r="AS141" s="691">
        <v>697</v>
      </c>
      <c r="AT141" s="42">
        <v>665</v>
      </c>
      <c r="AU141" s="211">
        <f t="shared" si="36"/>
        <v>4.5911047345767578E-2</v>
      </c>
      <c r="AV141" s="697">
        <v>54</v>
      </c>
      <c r="AW141" s="42">
        <v>53.6</v>
      </c>
      <c r="AX141" s="212">
        <f t="shared" si="48"/>
        <v>7.4074074074073808E-3</v>
      </c>
    </row>
    <row r="142" spans="30:50" x14ac:dyDescent="0.3">
      <c r="AD142" s="802"/>
      <c r="AE142" s="805"/>
      <c r="AF142" s="45" t="s">
        <v>110</v>
      </c>
      <c r="AG142" s="171">
        <f t="shared" si="32"/>
        <v>41.477679587821619</v>
      </c>
      <c r="AH142" s="64">
        <v>39</v>
      </c>
      <c r="AI142" s="206">
        <f t="shared" si="44"/>
        <v>5.9735250680443025E-2</v>
      </c>
      <c r="AJ142" s="171">
        <v>70.7</v>
      </c>
      <c r="AK142" s="64">
        <v>2</v>
      </c>
      <c r="AL142" s="216">
        <f t="shared" si="45"/>
        <v>0.97171145685997173</v>
      </c>
      <c r="AM142" s="173">
        <v>56</v>
      </c>
      <c r="AN142" s="64">
        <v>53</v>
      </c>
      <c r="AO142" s="206">
        <f t="shared" si="46"/>
        <v>5.3571428571428568E-2</v>
      </c>
      <c r="AP142" s="171">
        <v>58</v>
      </c>
      <c r="AQ142" s="64">
        <v>61</v>
      </c>
      <c r="AR142" s="206">
        <f t="shared" si="47"/>
        <v>5.1724137931034482E-2</v>
      </c>
      <c r="AS142" s="171">
        <v>697</v>
      </c>
      <c r="AT142" s="64">
        <v>688</v>
      </c>
      <c r="AU142" s="206">
        <f t="shared" si="36"/>
        <v>1.2912482065997131E-2</v>
      </c>
      <c r="AV142" s="183">
        <v>54</v>
      </c>
      <c r="AW142" s="64">
        <v>54.1</v>
      </c>
      <c r="AX142" s="207">
        <f t="shared" si="48"/>
        <v>1.8518518518518782E-3</v>
      </c>
    </row>
    <row r="143" spans="30:50" ht="15" thickBot="1" x14ac:dyDescent="0.35">
      <c r="AD143" s="803"/>
      <c r="AE143" s="806"/>
      <c r="AF143" s="53" t="s">
        <v>111</v>
      </c>
      <c r="AG143" s="693">
        <f t="shared" si="32"/>
        <v>41.477679587821619</v>
      </c>
      <c r="AH143" s="54">
        <v>40</v>
      </c>
      <c r="AI143" s="208">
        <f t="shared" si="44"/>
        <v>3.562589813378772E-2</v>
      </c>
      <c r="AJ143" s="693">
        <v>70.7</v>
      </c>
      <c r="AK143" s="54">
        <v>1</v>
      </c>
      <c r="AL143" s="219">
        <f t="shared" si="45"/>
        <v>0.98585572842998581</v>
      </c>
      <c r="AM143" s="696">
        <v>56</v>
      </c>
      <c r="AN143" s="54">
        <v>55</v>
      </c>
      <c r="AO143" s="208">
        <f t="shared" si="46"/>
        <v>1.7857142857142856E-2</v>
      </c>
      <c r="AP143" s="693">
        <v>58</v>
      </c>
      <c r="AQ143" s="54">
        <v>61</v>
      </c>
      <c r="AR143" s="208">
        <f t="shared" si="47"/>
        <v>5.1724137931034482E-2</v>
      </c>
      <c r="AS143" s="693">
        <v>697</v>
      </c>
      <c r="AT143" s="54">
        <v>688</v>
      </c>
      <c r="AU143" s="208">
        <f t="shared" si="36"/>
        <v>1.2912482065997131E-2</v>
      </c>
      <c r="AV143" s="699">
        <v>54</v>
      </c>
      <c r="AW143" s="54">
        <v>53.9</v>
      </c>
      <c r="AX143" s="209">
        <f t="shared" si="48"/>
        <v>1.8518518518518782E-3</v>
      </c>
    </row>
    <row r="145" spans="29:35" x14ac:dyDescent="0.3">
      <c r="AC145" s="5"/>
      <c r="AD145" s="5"/>
      <c r="AE145" s="5"/>
      <c r="AF145" s="5"/>
      <c r="AG145" s="5"/>
      <c r="AH145" s="5"/>
      <c r="AI145" s="5"/>
    </row>
    <row r="146" spans="29:35" ht="15" thickBot="1" x14ac:dyDescent="0.35">
      <c r="AC146" s="5"/>
      <c r="AD146" s="5"/>
      <c r="AE146" s="5"/>
      <c r="AF146" s="5"/>
      <c r="AG146" s="5"/>
      <c r="AH146" s="5"/>
      <c r="AI146" s="5"/>
    </row>
    <row r="147" spans="29:35" ht="15" thickBot="1" x14ac:dyDescent="0.35">
      <c r="AC147" s="4"/>
      <c r="AD147" s="745" t="s">
        <v>167</v>
      </c>
      <c r="AE147" s="746"/>
      <c r="AF147" s="747"/>
      <c r="AG147" s="631"/>
      <c r="AH147" s="631"/>
      <c r="AI147" s="5"/>
    </row>
    <row r="148" spans="29:35" ht="15" thickBot="1" x14ac:dyDescent="0.35">
      <c r="AC148" s="6"/>
      <c r="AD148" s="287" t="s">
        <v>115</v>
      </c>
      <c r="AE148" s="288" t="s">
        <v>165</v>
      </c>
      <c r="AF148" s="289" t="s">
        <v>164</v>
      </c>
      <c r="AG148" s="26"/>
      <c r="AH148" s="26"/>
      <c r="AI148" s="5"/>
    </row>
    <row r="149" spans="29:35" x14ac:dyDescent="0.3">
      <c r="AC149" s="758" t="s">
        <v>163</v>
      </c>
      <c r="AD149" s="124" t="s">
        <v>19</v>
      </c>
      <c r="AE149" s="64">
        <v>0.1</v>
      </c>
      <c r="AF149" s="207">
        <f>AVERAGE(AI96:AI143)</f>
        <v>0.16153177432648944</v>
      </c>
      <c r="AG149" s="26"/>
      <c r="AH149" s="423"/>
      <c r="AI149" s="5"/>
    </row>
    <row r="150" spans="29:35" x14ac:dyDescent="0.3">
      <c r="AC150" s="759"/>
      <c r="AD150" s="124" t="s">
        <v>46</v>
      </c>
      <c r="AE150" s="64">
        <v>0.1</v>
      </c>
      <c r="AF150" s="207">
        <f>AVERAGE(AL96:AL143)</f>
        <v>0.12556779457874967</v>
      </c>
      <c r="AG150" s="26"/>
      <c r="AH150" s="423"/>
      <c r="AI150" s="5"/>
    </row>
    <row r="151" spans="29:35" x14ac:dyDescent="0.3">
      <c r="AC151" s="759"/>
      <c r="AD151" s="124" t="s">
        <v>47</v>
      </c>
      <c r="AE151" s="64">
        <v>0.1</v>
      </c>
      <c r="AF151" s="207">
        <f>AVERAGE(AO96:AO143)</f>
        <v>0.11043906810035842</v>
      </c>
      <c r="AG151" s="26"/>
      <c r="AH151" s="423"/>
      <c r="AI151" s="5"/>
    </row>
    <row r="152" spans="29:35" x14ac:dyDescent="0.3">
      <c r="AC152" s="759"/>
      <c r="AD152" s="124" t="s">
        <v>5</v>
      </c>
      <c r="AE152" s="64">
        <v>0.1</v>
      </c>
      <c r="AF152" s="207">
        <f>AVERAGE(AR96:AR143)</f>
        <v>8.8362068965517251E-2</v>
      </c>
      <c r="AG152" s="26"/>
      <c r="AH152" s="423"/>
      <c r="AI152" s="5"/>
    </row>
    <row r="153" spans="29:35" x14ac:dyDescent="0.3">
      <c r="AC153" s="760"/>
      <c r="AD153" s="124" t="s">
        <v>160</v>
      </c>
      <c r="AE153" s="64">
        <v>1.25</v>
      </c>
      <c r="AF153" s="207">
        <f>AVERAGE(AU96:AU143)</f>
        <v>3.3470596852839075E-2</v>
      </c>
      <c r="AG153" s="26"/>
      <c r="AH153" s="423"/>
      <c r="AI153" s="5"/>
    </row>
    <row r="154" spans="29:35" ht="15" thickBot="1" x14ac:dyDescent="0.35">
      <c r="AC154" s="125" t="s">
        <v>166</v>
      </c>
      <c r="AD154" s="164" t="s">
        <v>8</v>
      </c>
      <c r="AE154" s="165" t="s">
        <v>9</v>
      </c>
      <c r="AF154" s="227">
        <f>AVERAGE(AX96:AX143)</f>
        <v>5.9027777777777854E-3</v>
      </c>
      <c r="AG154" s="26"/>
      <c r="AH154" s="423"/>
      <c r="AI154" s="5"/>
    </row>
    <row r="155" spans="29:35" x14ac:dyDescent="0.3">
      <c r="AC155" s="5"/>
      <c r="AD155" s="5"/>
      <c r="AE155" s="5"/>
      <c r="AF155" s="5"/>
      <c r="AG155" s="5"/>
      <c r="AH155" s="5"/>
      <c r="AI155" s="5"/>
    </row>
    <row r="156" spans="29:35" x14ac:dyDescent="0.3">
      <c r="AC156" s="5"/>
      <c r="AD156" s="5"/>
      <c r="AE156" s="5"/>
      <c r="AF156" s="5"/>
      <c r="AG156" s="5"/>
      <c r="AH156" s="5"/>
      <c r="AI156" s="5"/>
    </row>
    <row r="157" spans="29:35" x14ac:dyDescent="0.3">
      <c r="AC157" s="5"/>
      <c r="AD157" s="5"/>
      <c r="AE157" s="5"/>
      <c r="AF157" s="5"/>
      <c r="AG157" s="5"/>
      <c r="AH157" s="5"/>
      <c r="AI157" s="5"/>
    </row>
    <row r="158" spans="29:35" x14ac:dyDescent="0.3">
      <c r="AC158" s="5"/>
      <c r="AD158" s="5"/>
      <c r="AE158" s="5"/>
      <c r="AF158" s="5"/>
      <c r="AG158" s="5"/>
      <c r="AH158" s="5"/>
      <c r="AI158" s="5"/>
    </row>
    <row r="159" spans="29:35" x14ac:dyDescent="0.3">
      <c r="AC159" s="5"/>
      <c r="AD159" s="5"/>
      <c r="AE159" s="5"/>
      <c r="AF159" s="5"/>
      <c r="AG159" s="5"/>
      <c r="AH159" s="5"/>
      <c r="AI159" s="5"/>
    </row>
  </sheetData>
  <mergeCells count="87">
    <mergeCell ref="AC149:AC153"/>
    <mergeCell ref="AG93:AU93"/>
    <mergeCell ref="AD138:AD140"/>
    <mergeCell ref="AD141:AD143"/>
    <mergeCell ref="AS94:AU94"/>
    <mergeCell ref="AD147:AF147"/>
    <mergeCell ref="AE126:AE128"/>
    <mergeCell ref="AE129:AE131"/>
    <mergeCell ref="AD120:AD125"/>
    <mergeCell ref="AD126:AD131"/>
    <mergeCell ref="AD132:AD134"/>
    <mergeCell ref="AD135:AD137"/>
    <mergeCell ref="AD114:AD119"/>
    <mergeCell ref="AE114:AE116"/>
    <mergeCell ref="AE117:AE119"/>
    <mergeCell ref="AE132:AE143"/>
    <mergeCell ref="AD96:AD101"/>
    <mergeCell ref="AE96:AE98"/>
    <mergeCell ref="AE99:AE101"/>
    <mergeCell ref="AE120:AE122"/>
    <mergeCell ref="AE123:AE125"/>
    <mergeCell ref="AD102:AD107"/>
    <mergeCell ref="AE102:AE104"/>
    <mergeCell ref="AE105:AE107"/>
    <mergeCell ref="AD108:AD113"/>
    <mergeCell ref="AE108:AE110"/>
    <mergeCell ref="AE111:AE113"/>
    <mergeCell ref="BO117:BO119"/>
    <mergeCell ref="BO120:BO122"/>
    <mergeCell ref="AM94:AO94"/>
    <mergeCell ref="AP94:AR94"/>
    <mergeCell ref="AV94:AX94"/>
    <mergeCell ref="BO123:BO125"/>
    <mergeCell ref="BU67:BY67"/>
    <mergeCell ref="CA67:CE67"/>
    <mergeCell ref="CG67:CK67"/>
    <mergeCell ref="AD77:AD89"/>
    <mergeCell ref="AV93:AX93"/>
    <mergeCell ref="AG94:AI94"/>
    <mergeCell ref="AJ94:AL94"/>
    <mergeCell ref="AD64:AD76"/>
    <mergeCell ref="BB67:BB86"/>
    <mergeCell ref="BC67:BG67"/>
    <mergeCell ref="BI67:BM67"/>
    <mergeCell ref="BO67:BS67"/>
    <mergeCell ref="BO108:BO110"/>
    <mergeCell ref="BO111:BO113"/>
    <mergeCell ref="BO114:BO116"/>
    <mergeCell ref="CG39:CK39"/>
    <mergeCell ref="S41:S46"/>
    <mergeCell ref="T48:AA48"/>
    <mergeCell ref="AD51:AD63"/>
    <mergeCell ref="L63:M63"/>
    <mergeCell ref="BB39:BB58"/>
    <mergeCell ref="BC39:BG39"/>
    <mergeCell ref="BI39:BM39"/>
    <mergeCell ref="BO39:BS39"/>
    <mergeCell ref="BU39:BY39"/>
    <mergeCell ref="CA39:CE39"/>
    <mergeCell ref="F24:G24"/>
    <mergeCell ref="H24:I24"/>
    <mergeCell ref="AD25:AD37"/>
    <mergeCell ref="S29:S34"/>
    <mergeCell ref="S35:S40"/>
    <mergeCell ref="AD38:AD50"/>
    <mergeCell ref="CA10:CE10"/>
    <mergeCell ref="CG10:CK10"/>
    <mergeCell ref="S11:S16"/>
    <mergeCell ref="AD12:AD24"/>
    <mergeCell ref="S17:S22"/>
    <mergeCell ref="S23:S28"/>
    <mergeCell ref="AX10:AY10"/>
    <mergeCell ref="BB10:BB29"/>
    <mergeCell ref="BC10:BG10"/>
    <mergeCell ref="BI10:BM10"/>
    <mergeCell ref="BO10:BS10"/>
    <mergeCell ref="BU10:BY10"/>
    <mergeCell ref="AX9:AZ9"/>
    <mergeCell ref="AD10:AE11"/>
    <mergeCell ref="AF10:AG10"/>
    <mergeCell ref="AH10:AI10"/>
    <mergeCell ref="AJ10:AK10"/>
    <mergeCell ref="AL10:AM10"/>
    <mergeCell ref="AN10:AO10"/>
    <mergeCell ref="AP10:AQ10"/>
    <mergeCell ref="AR10:AS10"/>
    <mergeCell ref="AT10:AU10"/>
  </mergeCells>
  <pageMargins left="0.7" right="0.7" top="0.75" bottom="0.75" header="0.3" footer="0.3"/>
  <pageSetup orientation="portrait" r:id="rId1"/>
  <drawing r:id="rId2"/>
  <legacyDrawing r:id="rId3"/>
  <oleObjects>
    <mc:AlternateContent xmlns:mc="http://schemas.openxmlformats.org/markup-compatibility/2006">
      <mc:Choice Requires="x14">
        <oleObject progId="ChemDraw.Document.6.0" shapeId="4097" r:id="rId4">
          <objectPr defaultSize="0" autoPict="0" r:id="rId5">
            <anchor moveWithCells="1">
              <from>
                <xdr:col>54</xdr:col>
                <xdr:colOff>563880</xdr:colOff>
                <xdr:row>39</xdr:row>
                <xdr:rowOff>99060</xdr:rowOff>
              </from>
              <to>
                <xdr:col>59</xdr:col>
                <xdr:colOff>472440</xdr:colOff>
                <xdr:row>54</xdr:row>
                <xdr:rowOff>91440</xdr:rowOff>
              </to>
            </anchor>
          </objectPr>
        </oleObject>
      </mc:Choice>
      <mc:Fallback>
        <oleObject progId="ChemDraw.Document.6.0" shapeId="4097" r:id="rId4"/>
      </mc:Fallback>
    </mc:AlternateContent>
    <mc:AlternateContent xmlns:mc="http://schemas.openxmlformats.org/markup-compatibility/2006">
      <mc:Choice Requires="x14">
        <oleObject progId="ChemDraw.Document.6.0" shapeId="4098" r:id="rId6">
          <objectPr defaultSize="0" autoPict="0" r:id="rId7">
            <anchor moveWithCells="1">
              <from>
                <xdr:col>60</xdr:col>
                <xdr:colOff>289560</xdr:colOff>
                <xdr:row>10</xdr:row>
                <xdr:rowOff>106680</xdr:rowOff>
              </from>
              <to>
                <xdr:col>66</xdr:col>
                <xdr:colOff>160020</xdr:colOff>
                <xdr:row>25</xdr:row>
                <xdr:rowOff>15240</xdr:rowOff>
              </to>
            </anchor>
          </objectPr>
        </oleObject>
      </mc:Choice>
      <mc:Fallback>
        <oleObject progId="ChemDraw.Document.6.0" shapeId="4098" r:id="rId6"/>
      </mc:Fallback>
    </mc:AlternateContent>
    <mc:AlternateContent xmlns:mc="http://schemas.openxmlformats.org/markup-compatibility/2006">
      <mc:Choice Requires="x14">
        <oleObject progId="ChemDraw.Document.6.0" shapeId="4099" r:id="rId8">
          <objectPr defaultSize="0" autoPict="0" r:id="rId9">
            <anchor moveWithCells="1">
              <from>
                <xdr:col>60</xdr:col>
                <xdr:colOff>236220</xdr:colOff>
                <xdr:row>39</xdr:row>
                <xdr:rowOff>129540</xdr:rowOff>
              </from>
              <to>
                <xdr:col>66</xdr:col>
                <xdr:colOff>167640</xdr:colOff>
                <xdr:row>54</xdr:row>
                <xdr:rowOff>106680</xdr:rowOff>
              </to>
            </anchor>
          </objectPr>
        </oleObject>
      </mc:Choice>
      <mc:Fallback>
        <oleObject progId="ChemDraw.Document.6.0" shapeId="4099" r:id="rId8"/>
      </mc:Fallback>
    </mc:AlternateContent>
    <mc:AlternateContent xmlns:mc="http://schemas.openxmlformats.org/markup-compatibility/2006">
      <mc:Choice Requires="x14">
        <oleObject progId="ChemDraw.Document.6.0" shapeId="4100" r:id="rId10">
          <objectPr defaultSize="0" autoPict="0" r:id="rId11">
            <anchor moveWithCells="1">
              <from>
                <xdr:col>66</xdr:col>
                <xdr:colOff>160020</xdr:colOff>
                <xdr:row>10</xdr:row>
                <xdr:rowOff>91440</xdr:rowOff>
              </from>
              <to>
                <xdr:col>72</xdr:col>
                <xdr:colOff>137160</xdr:colOff>
                <xdr:row>22</xdr:row>
                <xdr:rowOff>99060</xdr:rowOff>
              </to>
            </anchor>
          </objectPr>
        </oleObject>
      </mc:Choice>
      <mc:Fallback>
        <oleObject progId="ChemDraw.Document.6.0" shapeId="4100" r:id="rId10"/>
      </mc:Fallback>
    </mc:AlternateContent>
    <mc:AlternateContent xmlns:mc="http://schemas.openxmlformats.org/markup-compatibility/2006">
      <mc:Choice Requires="x14">
        <oleObject progId="ChemDraw.Document.6.0" shapeId="4101" r:id="rId12">
          <objectPr defaultSize="0" autoPict="0" r:id="rId13">
            <anchor moveWithCells="1">
              <from>
                <xdr:col>72</xdr:col>
                <xdr:colOff>137160</xdr:colOff>
                <xdr:row>10</xdr:row>
                <xdr:rowOff>83820</xdr:rowOff>
              </from>
              <to>
                <xdr:col>78</xdr:col>
                <xdr:colOff>426720</xdr:colOff>
                <xdr:row>22</xdr:row>
                <xdr:rowOff>15240</xdr:rowOff>
              </to>
            </anchor>
          </objectPr>
        </oleObject>
      </mc:Choice>
      <mc:Fallback>
        <oleObject progId="ChemDraw.Document.6.0" shapeId="4101" r:id="rId12"/>
      </mc:Fallback>
    </mc:AlternateContent>
    <mc:AlternateContent xmlns:mc="http://schemas.openxmlformats.org/markup-compatibility/2006">
      <mc:Choice Requires="x14">
        <oleObject progId="ChemDraw.Document.6.0" shapeId="4102" r:id="rId14">
          <objectPr defaultSize="0" autoPict="0" r:id="rId15">
            <anchor moveWithCells="1">
              <from>
                <xdr:col>66</xdr:col>
                <xdr:colOff>91440</xdr:colOff>
                <xdr:row>39</xdr:row>
                <xdr:rowOff>114300</xdr:rowOff>
              </from>
              <to>
                <xdr:col>72</xdr:col>
                <xdr:colOff>243840</xdr:colOff>
                <xdr:row>54</xdr:row>
                <xdr:rowOff>76200</xdr:rowOff>
              </to>
            </anchor>
          </objectPr>
        </oleObject>
      </mc:Choice>
      <mc:Fallback>
        <oleObject progId="ChemDraw.Document.6.0" shapeId="4102" r:id="rId14"/>
      </mc:Fallback>
    </mc:AlternateContent>
    <mc:AlternateContent xmlns:mc="http://schemas.openxmlformats.org/markup-compatibility/2006">
      <mc:Choice Requires="x14">
        <oleObject progId="ChemDraw.Document.6.0" shapeId="4103" r:id="rId16">
          <objectPr defaultSize="0" autoPict="0" r:id="rId17">
            <anchor moveWithCells="1">
              <from>
                <xdr:col>72</xdr:col>
                <xdr:colOff>236220</xdr:colOff>
                <xdr:row>39</xdr:row>
                <xdr:rowOff>83820</xdr:rowOff>
              </from>
              <to>
                <xdr:col>78</xdr:col>
                <xdr:colOff>381000</xdr:colOff>
                <xdr:row>53</xdr:row>
                <xdr:rowOff>137160</xdr:rowOff>
              </to>
            </anchor>
          </objectPr>
        </oleObject>
      </mc:Choice>
      <mc:Fallback>
        <oleObject progId="ChemDraw.Document.6.0" shapeId="4103" r:id="rId16"/>
      </mc:Fallback>
    </mc:AlternateContent>
    <mc:AlternateContent xmlns:mc="http://schemas.openxmlformats.org/markup-compatibility/2006">
      <mc:Choice Requires="x14">
        <oleObject progId="ChemDraw.Document.6.0" shapeId="4104" r:id="rId18">
          <objectPr defaultSize="0" autoPict="0" r:id="rId19">
            <anchor moveWithCells="1">
              <from>
                <xdr:col>55</xdr:col>
                <xdr:colOff>0</xdr:colOff>
                <xdr:row>10</xdr:row>
                <xdr:rowOff>167640</xdr:rowOff>
              </from>
              <to>
                <xdr:col>60</xdr:col>
                <xdr:colOff>594360</xdr:colOff>
                <xdr:row>24</xdr:row>
                <xdr:rowOff>99060</xdr:rowOff>
              </to>
            </anchor>
          </objectPr>
        </oleObject>
      </mc:Choice>
      <mc:Fallback>
        <oleObject progId="ChemDraw.Document.6.0" shapeId="4104" r:id="rId18"/>
      </mc:Fallback>
    </mc:AlternateContent>
    <mc:AlternateContent xmlns:mc="http://schemas.openxmlformats.org/markup-compatibility/2006">
      <mc:Choice Requires="x14">
        <oleObject progId="ChemDraw.Document.6.0" shapeId="4105" r:id="rId20">
          <objectPr defaultSize="0" autoPict="0" r:id="rId21">
            <anchor moveWithCells="1">
              <from>
                <xdr:col>54</xdr:col>
                <xdr:colOff>609600</xdr:colOff>
                <xdr:row>67</xdr:row>
                <xdr:rowOff>60960</xdr:rowOff>
              </from>
              <to>
                <xdr:col>60</xdr:col>
                <xdr:colOff>0</xdr:colOff>
                <xdr:row>81</xdr:row>
                <xdr:rowOff>15240</xdr:rowOff>
              </to>
            </anchor>
          </objectPr>
        </oleObject>
      </mc:Choice>
      <mc:Fallback>
        <oleObject progId="ChemDraw.Document.6.0" shapeId="4105" r:id="rId20"/>
      </mc:Fallback>
    </mc:AlternateContent>
    <mc:AlternateContent xmlns:mc="http://schemas.openxmlformats.org/markup-compatibility/2006">
      <mc:Choice Requires="x14">
        <oleObject progId="ChemDraw.Document.6.0" shapeId="4106" r:id="rId22">
          <objectPr defaultSize="0" autoPict="0" r:id="rId23">
            <anchor moveWithCells="1">
              <from>
                <xdr:col>85</xdr:col>
                <xdr:colOff>30480</xdr:colOff>
                <xdr:row>68</xdr:row>
                <xdr:rowOff>60960</xdr:rowOff>
              </from>
              <to>
                <xdr:col>90</xdr:col>
                <xdr:colOff>480060</xdr:colOff>
                <xdr:row>81</xdr:row>
                <xdr:rowOff>30480</xdr:rowOff>
              </to>
            </anchor>
          </objectPr>
        </oleObject>
      </mc:Choice>
      <mc:Fallback>
        <oleObject progId="ChemDraw.Document.6.0" shapeId="4106" r:id="rId22"/>
      </mc:Fallback>
    </mc:AlternateContent>
    <mc:AlternateContent xmlns:mc="http://schemas.openxmlformats.org/markup-compatibility/2006">
      <mc:Choice Requires="x14">
        <oleObject progId="ChemDraw.Document.6.0" shapeId="4107" r:id="rId24">
          <objectPr defaultSize="0" autoPict="0" r:id="rId25">
            <anchor moveWithCells="1">
              <from>
                <xdr:col>67</xdr:col>
                <xdr:colOff>0</xdr:colOff>
                <xdr:row>68</xdr:row>
                <xdr:rowOff>0</xdr:rowOff>
              </from>
              <to>
                <xdr:col>72</xdr:col>
                <xdr:colOff>121920</xdr:colOff>
                <xdr:row>80</xdr:row>
                <xdr:rowOff>76200</xdr:rowOff>
              </to>
            </anchor>
          </objectPr>
        </oleObject>
      </mc:Choice>
      <mc:Fallback>
        <oleObject progId="ChemDraw.Document.6.0" shapeId="4107" r:id="rId24"/>
      </mc:Fallback>
    </mc:AlternateContent>
    <mc:AlternateContent xmlns:mc="http://schemas.openxmlformats.org/markup-compatibility/2006">
      <mc:Choice Requires="x14">
        <oleObject progId="ChemDraw.Document.6.0" shapeId="4108" r:id="rId26">
          <objectPr defaultSize="0" autoPict="0" r:id="rId27">
            <anchor moveWithCells="1">
              <from>
                <xdr:col>72</xdr:col>
                <xdr:colOff>365760</xdr:colOff>
                <xdr:row>68</xdr:row>
                <xdr:rowOff>38100</xdr:rowOff>
              </from>
              <to>
                <xdr:col>78</xdr:col>
                <xdr:colOff>220980</xdr:colOff>
                <xdr:row>80</xdr:row>
                <xdr:rowOff>114300</xdr:rowOff>
              </to>
            </anchor>
          </objectPr>
        </oleObject>
      </mc:Choice>
      <mc:Fallback>
        <oleObject progId="ChemDraw.Document.6.0" shapeId="4108" r:id="rId26"/>
      </mc:Fallback>
    </mc:AlternateContent>
    <mc:AlternateContent xmlns:mc="http://schemas.openxmlformats.org/markup-compatibility/2006">
      <mc:Choice Requires="x14">
        <oleObject progId="ChemDraw.Document.6.0" shapeId="4109" r:id="rId28">
          <objectPr defaultSize="0" autoPict="0" r:id="rId29">
            <anchor moveWithCells="1">
              <from>
                <xdr:col>60</xdr:col>
                <xdr:colOff>30480</xdr:colOff>
                <xdr:row>68</xdr:row>
                <xdr:rowOff>60960</xdr:rowOff>
              </from>
              <to>
                <xdr:col>65</xdr:col>
                <xdr:colOff>480060</xdr:colOff>
                <xdr:row>81</xdr:row>
                <xdr:rowOff>30480</xdr:rowOff>
              </to>
            </anchor>
          </objectPr>
        </oleObject>
      </mc:Choice>
      <mc:Fallback>
        <oleObject progId="ChemDraw.Document.6.0" shapeId="4109" r:id="rId28"/>
      </mc:Fallback>
    </mc:AlternateContent>
    <mc:AlternateContent xmlns:mc="http://schemas.openxmlformats.org/markup-compatibility/2006">
      <mc:Choice Requires="x14">
        <oleObject progId="ChemDraw.Document.6.0" shapeId="4110" r:id="rId30">
          <objectPr defaultSize="0" autoPict="0" r:id="rId31">
            <anchor moveWithCells="1">
              <from>
                <xdr:col>85</xdr:col>
                <xdr:colOff>289560</xdr:colOff>
                <xdr:row>11</xdr:row>
                <xdr:rowOff>106680</xdr:rowOff>
              </from>
              <to>
                <xdr:col>91</xdr:col>
                <xdr:colOff>160020</xdr:colOff>
                <xdr:row>26</xdr:row>
                <xdr:rowOff>15240</xdr:rowOff>
              </to>
            </anchor>
          </objectPr>
        </oleObject>
      </mc:Choice>
      <mc:Fallback>
        <oleObject progId="ChemDraw.Document.6.0" shapeId="4110" r:id="rId30"/>
      </mc:Fallback>
    </mc:AlternateContent>
    <mc:AlternateContent xmlns:mc="http://schemas.openxmlformats.org/markup-compatibility/2006">
      <mc:Choice Requires="x14">
        <oleObject progId="ChemDraw.Document.6.0" shapeId="4111" r:id="rId32">
          <objectPr defaultSize="0" autoPict="0" r:id="rId33">
            <anchor moveWithCells="1">
              <from>
                <xdr:col>85</xdr:col>
                <xdr:colOff>68580</xdr:colOff>
                <xdr:row>40</xdr:row>
                <xdr:rowOff>38100</xdr:rowOff>
              </from>
              <to>
                <xdr:col>90</xdr:col>
                <xdr:colOff>396240</xdr:colOff>
                <xdr:row>52</xdr:row>
                <xdr:rowOff>121920</xdr:rowOff>
              </to>
            </anchor>
          </objectPr>
        </oleObject>
      </mc:Choice>
      <mc:Fallback>
        <oleObject progId="ChemDraw.Document.6.0" shapeId="4111" r:id="rId32"/>
      </mc:Fallback>
    </mc:AlternateContent>
    <mc:AlternateContent xmlns:mc="http://schemas.openxmlformats.org/markup-compatibility/2006">
      <mc:Choice Requires="x14">
        <oleObject progId="ChemDraw.Document.6.0" shapeId="4112" r:id="rId34">
          <objectPr defaultSize="0" autoPict="0" r:id="rId35">
            <anchor moveWithCells="1">
              <from>
                <xdr:col>78</xdr:col>
                <xdr:colOff>655320</xdr:colOff>
                <xdr:row>10</xdr:row>
                <xdr:rowOff>129540</xdr:rowOff>
              </from>
              <to>
                <xdr:col>85</xdr:col>
                <xdr:colOff>160020</xdr:colOff>
                <xdr:row>22</xdr:row>
                <xdr:rowOff>121920</xdr:rowOff>
              </to>
            </anchor>
          </objectPr>
        </oleObject>
      </mc:Choice>
      <mc:Fallback>
        <oleObject progId="ChemDraw.Document.6.0" shapeId="4112" r:id="rId34"/>
      </mc:Fallback>
    </mc:AlternateContent>
    <mc:AlternateContent xmlns:mc="http://schemas.openxmlformats.org/markup-compatibility/2006">
      <mc:Choice Requires="x14">
        <oleObject progId="ChemDraw.Document.6.0" shapeId="4113" r:id="rId36">
          <objectPr defaultSize="0" autoPict="0" r:id="rId37">
            <anchor moveWithCells="1">
              <from>
                <xdr:col>78</xdr:col>
                <xdr:colOff>822960</xdr:colOff>
                <xdr:row>39</xdr:row>
                <xdr:rowOff>38100</xdr:rowOff>
              </from>
              <to>
                <xdr:col>84</xdr:col>
                <xdr:colOff>609600</xdr:colOff>
                <xdr:row>53</xdr:row>
                <xdr:rowOff>76200</xdr:rowOff>
              </to>
            </anchor>
          </objectPr>
        </oleObject>
      </mc:Choice>
      <mc:Fallback>
        <oleObject progId="ChemDraw.Document.6.0" shapeId="4113" r:id="rId36"/>
      </mc:Fallback>
    </mc:AlternateContent>
    <mc:AlternateContent xmlns:mc="http://schemas.openxmlformats.org/markup-compatibility/2006">
      <mc:Choice Requires="x14">
        <oleObject progId="ChemDraw.Document.6.0" shapeId="4114" r:id="rId38">
          <objectPr defaultSize="0" autoPict="0" r:id="rId39">
            <anchor moveWithCells="1">
              <from>
                <xdr:col>78</xdr:col>
                <xdr:colOff>800100</xdr:colOff>
                <xdr:row>67</xdr:row>
                <xdr:rowOff>106680</xdr:rowOff>
              </from>
              <to>
                <xdr:col>84</xdr:col>
                <xdr:colOff>525780</xdr:colOff>
                <xdr:row>81</xdr:row>
                <xdr:rowOff>106680</xdr:rowOff>
              </to>
            </anchor>
          </objectPr>
        </oleObject>
      </mc:Choice>
      <mc:Fallback>
        <oleObject progId="ChemDraw.Document.6.0" shapeId="4114" r:id="rId38"/>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87834-6361-4DB8-88E7-74DDED1DC733}">
  <dimension ref="A4:CQ159"/>
  <sheetViews>
    <sheetView topLeftCell="A112" zoomScale="70" zoomScaleNormal="70" workbookViewId="0">
      <selection activeCell="E132" sqref="E132:K156"/>
    </sheetView>
  </sheetViews>
  <sheetFormatPr defaultColWidth="11.5546875" defaultRowHeight="14.4" x14ac:dyDescent="0.3"/>
  <cols>
    <col min="1" max="1" width="16.5546875" style="22" customWidth="1"/>
    <col min="2" max="2" width="31.5546875" style="22" customWidth="1"/>
    <col min="3" max="3" width="19.5546875" style="22" customWidth="1"/>
    <col min="4" max="4" width="26.109375" style="22" customWidth="1"/>
    <col min="5" max="5" width="25.33203125" style="22" customWidth="1"/>
    <col min="6" max="6" width="27" style="22" customWidth="1"/>
    <col min="7" max="7" width="23.44140625" style="22" customWidth="1"/>
    <col min="8" max="8" width="24.6640625" style="22" customWidth="1"/>
    <col min="9" max="9" width="26.77734375" style="22" customWidth="1"/>
    <col min="10" max="10" width="34.77734375" style="22" customWidth="1"/>
    <col min="11" max="11" width="19.5546875" style="22" customWidth="1"/>
    <col min="12" max="12" width="27.33203125" style="22" customWidth="1"/>
    <col min="13" max="13" width="7" style="22" customWidth="1"/>
    <col min="14" max="14" width="11.21875" style="22" customWidth="1"/>
    <col min="15" max="15" width="18.44140625" style="22" customWidth="1"/>
    <col min="16" max="16" width="18.109375" style="22" customWidth="1"/>
    <col min="17" max="17" width="23" style="22" customWidth="1"/>
    <col min="18" max="18" width="22.33203125" style="22" customWidth="1"/>
    <col min="19" max="19" width="20" style="22" customWidth="1"/>
    <col min="20" max="20" width="21.77734375" style="22" customWidth="1"/>
    <col min="21" max="21" width="23.44140625" style="22" customWidth="1"/>
    <col min="22" max="25" width="20.44140625" style="22" customWidth="1"/>
    <col min="26" max="26" width="18.88671875" style="22" customWidth="1"/>
    <col min="27" max="29" width="11.5546875" style="22"/>
    <col min="30" max="30" width="13.5546875" style="22" customWidth="1"/>
    <col min="31" max="32" width="11.5546875" style="22"/>
    <col min="33" max="33" width="13.6640625" style="22" customWidth="1"/>
    <col min="34" max="35" width="11.5546875" style="22"/>
    <col min="36" max="36" width="12.77734375" style="22" customWidth="1"/>
    <col min="37" max="55" width="11.5546875" style="22"/>
    <col min="56" max="56" width="14.6640625" style="22" customWidth="1"/>
    <col min="57" max="57" width="32.77734375" style="22" customWidth="1"/>
    <col min="58" max="58" width="34" style="22" customWidth="1"/>
    <col min="59" max="59" width="11.5546875" style="22"/>
    <col min="60" max="60" width="29.5546875" style="22" customWidth="1"/>
    <col min="61" max="61" width="12.21875" style="22" customWidth="1"/>
    <col min="62" max="16384" width="11.5546875" style="22"/>
  </cols>
  <sheetData>
    <row r="4" spans="1:95" x14ac:dyDescent="0.3">
      <c r="A4" s="22" t="s">
        <v>211</v>
      </c>
      <c r="B4" s="22" t="s">
        <v>21</v>
      </c>
      <c r="C4" s="22" t="s">
        <v>20</v>
      </c>
      <c r="K4" s="2"/>
    </row>
    <row r="5" spans="1:95" x14ac:dyDescent="0.3">
      <c r="A5" s="22">
        <v>1200</v>
      </c>
      <c r="B5" s="2">
        <f>H11+H14+H18+F26+H21</f>
        <v>531.04525326445696</v>
      </c>
      <c r="C5" s="1">
        <f>A5/B5</f>
        <v>2.2596944283435825</v>
      </c>
    </row>
    <row r="6" spans="1:95" ht="15" thickBot="1" x14ac:dyDescent="0.35"/>
    <row r="7" spans="1:95" ht="14.4" customHeight="1" x14ac:dyDescent="0.3">
      <c r="AC7" s="817" t="s">
        <v>415</v>
      </c>
      <c r="AD7" s="818"/>
      <c r="AE7" s="818"/>
      <c r="AF7" s="818"/>
      <c r="AG7" s="818"/>
      <c r="AH7" s="818"/>
      <c r="AI7" s="818"/>
      <c r="AJ7" s="818"/>
      <c r="AK7" s="818"/>
      <c r="AL7" s="818"/>
      <c r="AM7" s="818"/>
      <c r="AN7" s="818"/>
      <c r="AO7" s="818"/>
      <c r="AP7" s="818"/>
      <c r="AQ7" s="818"/>
      <c r="AR7" s="818"/>
      <c r="AS7" s="818"/>
      <c r="AT7" s="818"/>
      <c r="AU7" s="818"/>
      <c r="AV7" s="818"/>
      <c r="AW7" s="818"/>
      <c r="AX7" s="818"/>
      <c r="AY7" s="818"/>
      <c r="AZ7" s="818"/>
      <c r="BA7" s="818"/>
      <c r="BB7" s="819"/>
    </row>
    <row r="8" spans="1:95" ht="14.4" customHeight="1" x14ac:dyDescent="0.3">
      <c r="AC8" s="820"/>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2"/>
    </row>
    <row r="9" spans="1:95" ht="15" customHeight="1" thickBot="1" x14ac:dyDescent="0.35">
      <c r="A9" s="316" t="s">
        <v>23</v>
      </c>
      <c r="AB9" s="37"/>
      <c r="AC9" s="823"/>
      <c r="AD9" s="824"/>
      <c r="AE9" s="824"/>
      <c r="AF9" s="824"/>
      <c r="AG9" s="824"/>
      <c r="AH9" s="824"/>
      <c r="AI9" s="824"/>
      <c r="AJ9" s="824"/>
      <c r="AK9" s="824"/>
      <c r="AL9" s="824"/>
      <c r="AM9" s="824"/>
      <c r="AN9" s="824"/>
      <c r="AO9" s="824"/>
      <c r="AP9" s="824"/>
      <c r="AQ9" s="824"/>
      <c r="AR9" s="824"/>
      <c r="AS9" s="824"/>
      <c r="AT9" s="824"/>
      <c r="AU9" s="824"/>
      <c r="AV9" s="824"/>
      <c r="AW9" s="824"/>
      <c r="AX9" s="824"/>
      <c r="AY9" s="824"/>
      <c r="AZ9" s="824"/>
      <c r="BA9" s="824"/>
      <c r="BB9" s="825"/>
      <c r="BD9" s="786" t="s">
        <v>416</v>
      </c>
      <c r="BE9" s="787"/>
      <c r="BF9" s="788"/>
      <c r="BH9" s="22" t="s">
        <v>168</v>
      </c>
    </row>
    <row r="10" spans="1:95" ht="15" thickBot="1" x14ac:dyDescent="0.35">
      <c r="C10" s="22" t="s">
        <v>14</v>
      </c>
      <c r="D10" s="22" t="s">
        <v>0</v>
      </c>
      <c r="E10" s="22" t="s">
        <v>213</v>
      </c>
      <c r="F10" s="22" t="s">
        <v>214</v>
      </c>
      <c r="G10" s="22" t="s">
        <v>215</v>
      </c>
      <c r="H10" s="22" t="s">
        <v>216</v>
      </c>
      <c r="S10" s="436">
        <v>1</v>
      </c>
      <c r="T10" s="437">
        <v>2</v>
      </c>
      <c r="U10" s="436">
        <v>3</v>
      </c>
      <c r="V10" s="437">
        <v>4</v>
      </c>
      <c r="W10" s="436">
        <v>5</v>
      </c>
      <c r="X10" s="436">
        <v>6</v>
      </c>
      <c r="Y10" s="436">
        <v>7</v>
      </c>
      <c r="Z10" s="436">
        <v>8</v>
      </c>
      <c r="AB10" s="37"/>
      <c r="AC10" s="826" t="s">
        <v>417</v>
      </c>
      <c r="AD10" s="827"/>
      <c r="AE10" s="828">
        <v>1</v>
      </c>
      <c r="AF10" s="829"/>
      <c r="AG10" s="830"/>
      <c r="AH10" s="829">
        <v>2</v>
      </c>
      <c r="AI10" s="829"/>
      <c r="AJ10" s="829"/>
      <c r="AK10" s="828">
        <v>3</v>
      </c>
      <c r="AL10" s="829"/>
      <c r="AM10" s="830"/>
      <c r="AN10" s="829">
        <v>4</v>
      </c>
      <c r="AO10" s="829"/>
      <c r="AP10" s="829"/>
      <c r="AQ10" s="828">
        <v>5</v>
      </c>
      <c r="AR10" s="829"/>
      <c r="AS10" s="830"/>
      <c r="AT10" s="829">
        <v>6</v>
      </c>
      <c r="AU10" s="829"/>
      <c r="AV10" s="829"/>
      <c r="AW10" s="828">
        <v>7</v>
      </c>
      <c r="AX10" s="829"/>
      <c r="AY10" s="830"/>
      <c r="AZ10" s="829">
        <v>8</v>
      </c>
      <c r="BA10" s="829"/>
      <c r="BB10" s="833"/>
      <c r="BD10" s="786" t="s">
        <v>331</v>
      </c>
      <c r="BE10" s="787"/>
      <c r="BF10" s="439" t="s">
        <v>332</v>
      </c>
      <c r="BH10" s="778" t="s">
        <v>333</v>
      </c>
      <c r="BI10" s="791" t="s">
        <v>169</v>
      </c>
      <c r="BJ10" s="791"/>
      <c r="BK10" s="791"/>
      <c r="BL10" s="791"/>
      <c r="BM10" s="791"/>
      <c r="BO10" s="791" t="s">
        <v>334</v>
      </c>
      <c r="BP10" s="791"/>
      <c r="BQ10" s="791"/>
      <c r="BR10" s="791"/>
      <c r="BS10" s="791"/>
      <c r="BU10" s="791" t="s">
        <v>335</v>
      </c>
      <c r="BV10" s="791"/>
      <c r="BW10" s="791"/>
      <c r="BX10" s="791"/>
      <c r="BY10" s="791"/>
      <c r="CA10" s="791" t="s">
        <v>336</v>
      </c>
      <c r="CB10" s="791"/>
      <c r="CC10" s="791"/>
      <c r="CD10" s="791"/>
      <c r="CE10" s="791"/>
      <c r="CG10" s="791" t="s">
        <v>337</v>
      </c>
      <c r="CH10" s="791"/>
      <c r="CI10" s="791"/>
      <c r="CJ10" s="791"/>
      <c r="CK10" s="791"/>
      <c r="CM10" s="791" t="s">
        <v>338</v>
      </c>
      <c r="CN10" s="791"/>
      <c r="CO10" s="791"/>
      <c r="CP10" s="791"/>
      <c r="CQ10" s="791"/>
    </row>
    <row r="11" spans="1:95" x14ac:dyDescent="0.3">
      <c r="A11" s="22" t="s">
        <v>19</v>
      </c>
      <c r="F11" s="22">
        <f>1+(H11*E26)</f>
        <v>1</v>
      </c>
      <c r="H11" s="2"/>
      <c r="I11" s="2"/>
      <c r="J11" s="2"/>
      <c r="K11" s="2"/>
      <c r="L11" s="2"/>
      <c r="M11" s="2"/>
      <c r="N11" s="2"/>
      <c r="O11" s="2"/>
      <c r="P11" s="2"/>
      <c r="R11" s="792" t="s">
        <v>48</v>
      </c>
      <c r="S11" s="440" t="s">
        <v>224</v>
      </c>
      <c r="T11" s="331" t="s">
        <v>224</v>
      </c>
      <c r="U11" s="441" t="s">
        <v>224</v>
      </c>
      <c r="V11" s="353" t="s">
        <v>224</v>
      </c>
      <c r="W11" s="442" t="s">
        <v>224</v>
      </c>
      <c r="X11" s="443" t="s">
        <v>224</v>
      </c>
      <c r="Y11" s="634" t="s">
        <v>224</v>
      </c>
      <c r="Z11" s="445" t="s">
        <v>224</v>
      </c>
      <c r="AB11" s="37"/>
      <c r="AC11" s="635"/>
      <c r="AD11" s="636"/>
      <c r="AE11" s="831" t="s">
        <v>418</v>
      </c>
      <c r="AF11" s="832"/>
      <c r="AG11" s="637" t="s">
        <v>115</v>
      </c>
      <c r="AH11" s="831" t="s">
        <v>418</v>
      </c>
      <c r="AI11" s="832"/>
      <c r="AJ11" s="638" t="s">
        <v>115</v>
      </c>
      <c r="AK11" s="831" t="s">
        <v>418</v>
      </c>
      <c r="AL11" s="832"/>
      <c r="AM11" s="638" t="s">
        <v>115</v>
      </c>
      <c r="AN11" s="831" t="s">
        <v>418</v>
      </c>
      <c r="AO11" s="832"/>
      <c r="AP11" s="638" t="s">
        <v>115</v>
      </c>
      <c r="AQ11" s="831" t="s">
        <v>418</v>
      </c>
      <c r="AR11" s="832"/>
      <c r="AS11" s="638" t="s">
        <v>115</v>
      </c>
      <c r="AT11" s="831" t="s">
        <v>418</v>
      </c>
      <c r="AU11" s="832"/>
      <c r="AV11" s="638" t="s">
        <v>115</v>
      </c>
      <c r="AW11" s="831" t="s">
        <v>418</v>
      </c>
      <c r="AX11" s="832"/>
      <c r="AY11" s="638" t="s">
        <v>115</v>
      </c>
      <c r="AZ11" s="831" t="s">
        <v>418</v>
      </c>
      <c r="BA11" s="832"/>
      <c r="BB11" s="621" t="s">
        <v>115</v>
      </c>
      <c r="BD11" s="307" t="s">
        <v>19</v>
      </c>
      <c r="BE11" s="294" t="s">
        <v>19</v>
      </c>
      <c r="BF11" s="448">
        <f>J31/K31</f>
        <v>0.02</v>
      </c>
      <c r="BH11" s="778"/>
    </row>
    <row r="12" spans="1:95" x14ac:dyDescent="0.3">
      <c r="A12" s="22" t="s">
        <v>1</v>
      </c>
      <c r="B12" s="22" t="s">
        <v>10</v>
      </c>
      <c r="C12" s="22" t="s">
        <v>15</v>
      </c>
      <c r="D12" s="22">
        <v>96.08</v>
      </c>
      <c r="E12" s="22">
        <v>0.05</v>
      </c>
      <c r="F12" s="22">
        <f t="shared" ref="F12:F20" si="0">E12*D12</f>
        <v>4.8040000000000003</v>
      </c>
      <c r="G12" s="22">
        <v>1.1599999999999999</v>
      </c>
      <c r="H12" s="2">
        <f>F12/G12</f>
        <v>4.1413793103448278</v>
      </c>
      <c r="I12" s="2"/>
      <c r="J12" s="2"/>
      <c r="K12" s="2"/>
      <c r="L12" s="2"/>
      <c r="M12" s="2"/>
      <c r="N12" s="2"/>
      <c r="O12" s="2"/>
      <c r="P12" s="2"/>
      <c r="Q12" s="338"/>
      <c r="R12" s="793"/>
      <c r="S12" s="449" t="s">
        <v>1</v>
      </c>
      <c r="T12" s="342" t="s">
        <v>2</v>
      </c>
      <c r="U12" s="450" t="s">
        <v>4</v>
      </c>
      <c r="V12" s="359" t="s">
        <v>12</v>
      </c>
      <c r="W12" s="451" t="s">
        <v>36</v>
      </c>
      <c r="X12" s="452" t="s">
        <v>37</v>
      </c>
      <c r="Y12" s="639" t="s">
        <v>1</v>
      </c>
      <c r="Z12" s="454" t="s">
        <v>4</v>
      </c>
      <c r="AB12" s="37"/>
      <c r="AC12" s="640" t="s">
        <v>419</v>
      </c>
      <c r="AD12" s="641" t="s">
        <v>420</v>
      </c>
      <c r="AE12" s="642" t="s">
        <v>220</v>
      </c>
      <c r="AF12" s="643" t="s">
        <v>124</v>
      </c>
      <c r="AG12" s="637" t="s">
        <v>421</v>
      </c>
      <c r="AH12" s="644" t="s">
        <v>220</v>
      </c>
      <c r="AI12" s="644" t="s">
        <v>124</v>
      </c>
      <c r="AJ12" s="645" t="s">
        <v>421</v>
      </c>
      <c r="AK12" s="646" t="s">
        <v>220</v>
      </c>
      <c r="AL12" s="644" t="s">
        <v>124</v>
      </c>
      <c r="AM12" s="645" t="s">
        <v>421</v>
      </c>
      <c r="AN12" s="644" t="s">
        <v>220</v>
      </c>
      <c r="AO12" s="644" t="s">
        <v>124</v>
      </c>
      <c r="AP12" s="645" t="s">
        <v>421</v>
      </c>
      <c r="AQ12" s="646" t="s">
        <v>220</v>
      </c>
      <c r="AR12" s="644" t="s">
        <v>124</v>
      </c>
      <c r="AS12" s="645" t="s">
        <v>421</v>
      </c>
      <c r="AT12" s="644" t="s">
        <v>220</v>
      </c>
      <c r="AU12" s="644" t="s">
        <v>124</v>
      </c>
      <c r="AV12" s="645" t="s">
        <v>421</v>
      </c>
      <c r="AW12" s="646" t="s">
        <v>220</v>
      </c>
      <c r="AX12" s="644" t="s">
        <v>124</v>
      </c>
      <c r="AY12" s="645" t="s">
        <v>421</v>
      </c>
      <c r="AZ12" s="644" t="s">
        <v>220</v>
      </c>
      <c r="BA12" s="644" t="s">
        <v>124</v>
      </c>
      <c r="BB12" s="623" t="s">
        <v>421</v>
      </c>
      <c r="BD12" s="307" t="s">
        <v>1</v>
      </c>
      <c r="BE12" s="294" t="s">
        <v>10</v>
      </c>
      <c r="BF12" s="462">
        <f t="shared" ref="BF12:BF17" si="1" xml:space="preserve"> (K36 * G12) / (K36 + L36)</f>
        <v>4.8039999999999999E-2</v>
      </c>
      <c r="BH12" s="778"/>
    </row>
    <row r="13" spans="1:95" x14ac:dyDescent="0.3">
      <c r="A13" s="22" t="s">
        <v>2</v>
      </c>
      <c r="B13" s="22" t="s">
        <v>73</v>
      </c>
      <c r="C13" s="22" t="s">
        <v>40</v>
      </c>
      <c r="D13" s="22">
        <v>136.15</v>
      </c>
      <c r="E13" s="22">
        <v>0.05</v>
      </c>
      <c r="F13" s="22">
        <f t="shared" si="0"/>
        <v>6.807500000000001</v>
      </c>
      <c r="G13" s="22">
        <v>1.1200000000000001</v>
      </c>
      <c r="H13" s="2">
        <f t="shared" ref="H13:H20" si="2">F13/G13</f>
        <v>6.078125</v>
      </c>
      <c r="I13" s="2"/>
      <c r="J13" s="2"/>
      <c r="K13" s="2"/>
      <c r="L13" s="2"/>
      <c r="M13" s="2"/>
      <c r="N13" s="2"/>
      <c r="O13" s="2"/>
      <c r="P13" s="2"/>
      <c r="Q13" s="338"/>
      <c r="R13" s="793"/>
      <c r="S13" s="449" t="s">
        <v>34</v>
      </c>
      <c r="T13" s="342" t="s">
        <v>34</v>
      </c>
      <c r="U13" s="450" t="s">
        <v>34</v>
      </c>
      <c r="V13" s="359" t="s">
        <v>34</v>
      </c>
      <c r="W13" s="451" t="s">
        <v>34</v>
      </c>
      <c r="X13" s="452" t="s">
        <v>34</v>
      </c>
      <c r="Y13" s="639" t="s">
        <v>75</v>
      </c>
      <c r="Z13" s="454" t="s">
        <v>75</v>
      </c>
      <c r="AB13" s="37"/>
      <c r="AC13" s="835" t="s">
        <v>48</v>
      </c>
      <c r="AD13" s="42" t="s">
        <v>339</v>
      </c>
      <c r="AE13" s="647">
        <f>$A$31 + ($C$31 * $E$26)</f>
        <v>40.300000000000004</v>
      </c>
      <c r="AF13" s="648">
        <v>39</v>
      </c>
      <c r="AG13" s="649"/>
      <c r="AH13" s="650">
        <f>$A$31 + ($C$31 * $E$26)</f>
        <v>40.300000000000004</v>
      </c>
      <c r="AI13" s="648">
        <v>27</v>
      </c>
      <c r="AJ13" s="622"/>
      <c r="AK13" s="647">
        <f>$A$31 + ($C$31 * $E$26)</f>
        <v>40.300000000000004</v>
      </c>
      <c r="AL13" s="648">
        <v>28</v>
      </c>
      <c r="AM13" s="649"/>
      <c r="AN13" s="650">
        <f>$A$31 + ($C$31 * $E$26)</f>
        <v>40.300000000000004</v>
      </c>
      <c r="AO13" s="648">
        <v>27</v>
      </c>
      <c r="AP13" s="622"/>
      <c r="AQ13" s="647">
        <f>$A$31 + ($C$31 * $E$26)</f>
        <v>40.300000000000004</v>
      </c>
      <c r="AR13" s="648">
        <v>32</v>
      </c>
      <c r="AS13" s="649"/>
      <c r="AT13" s="650">
        <f>$A$31 + ($C$31 * $E$26)</f>
        <v>40.300000000000004</v>
      </c>
      <c r="AU13" s="648">
        <v>32</v>
      </c>
      <c r="AV13" s="622"/>
      <c r="AW13" s="647">
        <f>$A$31 + ($C$31 * $E$26)</f>
        <v>40.300000000000004</v>
      </c>
      <c r="AX13" s="648">
        <v>34</v>
      </c>
      <c r="AY13" s="649"/>
      <c r="AZ13" s="650">
        <f>$A$31 + ($C$31 * $E$26)</f>
        <v>40.300000000000004</v>
      </c>
      <c r="BA13" s="648">
        <v>34</v>
      </c>
      <c r="BB13" s="651"/>
      <c r="BD13" s="307" t="s">
        <v>2</v>
      </c>
      <c r="BE13" s="294" t="s">
        <v>73</v>
      </c>
      <c r="BF13" s="462">
        <f t="shared" si="1"/>
        <v>6.8075000000000011E-2</v>
      </c>
      <c r="BH13" s="778"/>
    </row>
    <row r="14" spans="1:95" s="1" customFormat="1" x14ac:dyDescent="0.3">
      <c r="A14" s="22" t="s">
        <v>4</v>
      </c>
      <c r="B14" s="22" t="s">
        <v>227</v>
      </c>
      <c r="C14" s="22" t="s">
        <v>39</v>
      </c>
      <c r="D14" s="22">
        <v>156.18</v>
      </c>
      <c r="E14" s="22">
        <v>0.05</v>
      </c>
      <c r="F14" s="22">
        <f t="shared" si="0"/>
        <v>7.8090000000000011</v>
      </c>
      <c r="G14" s="22">
        <v>1.1499999999999999</v>
      </c>
      <c r="H14" s="2">
        <f t="shared" si="2"/>
        <v>6.7904347826086973</v>
      </c>
      <c r="I14" s="2"/>
      <c r="J14" s="2"/>
      <c r="K14" s="2"/>
      <c r="L14" s="2"/>
      <c r="M14" s="2"/>
      <c r="N14" s="2"/>
      <c r="O14" s="2"/>
      <c r="P14" s="2"/>
      <c r="Q14" s="22"/>
      <c r="R14" s="793"/>
      <c r="S14" s="470" t="s">
        <v>3</v>
      </c>
      <c r="T14" s="347" t="s">
        <v>3</v>
      </c>
      <c r="U14" s="471" t="s">
        <v>3</v>
      </c>
      <c r="V14" s="366" t="s">
        <v>3</v>
      </c>
      <c r="W14" s="472" t="s">
        <v>3</v>
      </c>
      <c r="X14" s="473" t="s">
        <v>3</v>
      </c>
      <c r="Y14" s="652" t="s">
        <v>3</v>
      </c>
      <c r="Z14" s="475" t="s">
        <v>3</v>
      </c>
      <c r="AB14" s="37"/>
      <c r="AC14" s="834"/>
      <c r="AD14" s="653" t="s">
        <v>1</v>
      </c>
      <c r="AE14" s="654">
        <f xml:space="preserve"> ($D$36 * $G$12) + ($E$36 * $E$26)</f>
        <v>80.148875862068962</v>
      </c>
      <c r="AF14" s="644">
        <v>77</v>
      </c>
      <c r="AG14" s="655">
        <f>AF14 * $BF$27 / $D$12</f>
        <v>4.8035608217707269E-2</v>
      </c>
      <c r="AH14" s="644" t="s">
        <v>9</v>
      </c>
      <c r="AI14" s="644" t="s">
        <v>9</v>
      </c>
      <c r="AJ14" s="340"/>
      <c r="AK14" s="646" t="s">
        <v>9</v>
      </c>
      <c r="AL14" s="644" t="s">
        <v>9</v>
      </c>
      <c r="AM14" s="637"/>
      <c r="AN14" s="644" t="s">
        <v>9</v>
      </c>
      <c r="AO14" s="644" t="s">
        <v>9</v>
      </c>
      <c r="AP14" s="340"/>
      <c r="AQ14" s="646" t="s">
        <v>9</v>
      </c>
      <c r="AR14" s="644" t="s">
        <v>9</v>
      </c>
      <c r="AS14" s="637"/>
      <c r="AT14" s="644" t="s">
        <v>9</v>
      </c>
      <c r="AU14" s="644" t="s">
        <v>9</v>
      </c>
      <c r="AV14" s="340"/>
      <c r="AW14" s="654">
        <f xml:space="preserve"> ($D$36 * $G$12) + ($E$36 * $E$26)</f>
        <v>80.148875862068962</v>
      </c>
      <c r="AX14" s="644">
        <v>76</v>
      </c>
      <c r="AY14" s="655">
        <f>AX14 * $BF$27 / $D$12</f>
        <v>4.7411769149944841E-2</v>
      </c>
      <c r="AZ14" s="644" t="s">
        <v>9</v>
      </c>
      <c r="BA14" s="644" t="s">
        <v>9</v>
      </c>
      <c r="BB14" s="656"/>
      <c r="BC14" s="22"/>
      <c r="BD14" s="307" t="s">
        <v>4</v>
      </c>
      <c r="BE14" s="294" t="s">
        <v>227</v>
      </c>
      <c r="BF14" s="462">
        <f t="shared" si="1"/>
        <v>7.8090000000000021E-2</v>
      </c>
      <c r="BH14" s="778"/>
    </row>
    <row r="15" spans="1:95" x14ac:dyDescent="0.3">
      <c r="A15" s="22" t="s">
        <v>12</v>
      </c>
      <c r="B15" s="22" t="s">
        <v>13</v>
      </c>
      <c r="C15" s="22" t="s">
        <v>16</v>
      </c>
      <c r="D15" s="22">
        <v>142.1</v>
      </c>
      <c r="E15" s="22">
        <v>0.05</v>
      </c>
      <c r="F15" s="22">
        <f t="shared" si="0"/>
        <v>7.1050000000000004</v>
      </c>
      <c r="G15" s="22">
        <v>1.296</v>
      </c>
      <c r="H15" s="2">
        <f t="shared" si="2"/>
        <v>5.4822530864197532</v>
      </c>
      <c r="I15" s="2"/>
      <c r="J15" s="2"/>
      <c r="K15" s="2"/>
      <c r="L15" s="2"/>
      <c r="M15" s="2"/>
      <c r="N15" s="2"/>
      <c r="O15" s="2"/>
      <c r="P15" s="2"/>
      <c r="R15" s="793"/>
      <c r="S15" s="470" t="s">
        <v>5</v>
      </c>
      <c r="T15" s="347" t="s">
        <v>5</v>
      </c>
      <c r="U15" s="471" t="s">
        <v>5</v>
      </c>
      <c r="V15" s="366" t="s">
        <v>5</v>
      </c>
      <c r="W15" s="472" t="s">
        <v>5</v>
      </c>
      <c r="X15" s="473" t="s">
        <v>5</v>
      </c>
      <c r="Y15" s="652" t="s">
        <v>5</v>
      </c>
      <c r="Z15" s="475" t="s">
        <v>5</v>
      </c>
      <c r="AB15" s="37"/>
      <c r="AC15" s="834"/>
      <c r="AD15" s="45" t="s">
        <v>2</v>
      </c>
      <c r="AE15" s="646" t="s">
        <v>9</v>
      </c>
      <c r="AF15" s="644" t="s">
        <v>9</v>
      </c>
      <c r="AG15" s="637"/>
      <c r="AH15" s="657">
        <f xml:space="preserve"> ($D$37 * $G$13) + ($E$37 * $E$26)</f>
        <v>80.630093750000015</v>
      </c>
      <c r="AI15" s="644">
        <v>74</v>
      </c>
      <c r="AJ15" s="658">
        <f>AI15 * $BF$28 / $D$13</f>
        <v>4.5888573706389872E-2</v>
      </c>
      <c r="AK15" s="646" t="s">
        <v>9</v>
      </c>
      <c r="AL15" s="644" t="s">
        <v>9</v>
      </c>
      <c r="AM15" s="637"/>
      <c r="AN15" s="644" t="s">
        <v>9</v>
      </c>
      <c r="AO15" s="644" t="s">
        <v>9</v>
      </c>
      <c r="AP15" s="340"/>
      <c r="AQ15" s="646" t="s">
        <v>9</v>
      </c>
      <c r="AR15" s="644" t="s">
        <v>9</v>
      </c>
      <c r="AS15" s="637"/>
      <c r="AT15" s="644" t="s">
        <v>9</v>
      </c>
      <c r="AU15" s="644" t="s">
        <v>9</v>
      </c>
      <c r="AV15" s="340"/>
      <c r="AW15" s="646" t="s">
        <v>9</v>
      </c>
      <c r="AX15" s="644" t="s">
        <v>9</v>
      </c>
      <c r="AY15" s="637"/>
      <c r="AZ15" s="644" t="s">
        <v>9</v>
      </c>
      <c r="BA15" s="644" t="s">
        <v>9</v>
      </c>
      <c r="BB15" s="656"/>
      <c r="BD15" s="307" t="s">
        <v>12</v>
      </c>
      <c r="BE15" s="294" t="s">
        <v>13</v>
      </c>
      <c r="BF15" s="462">
        <f t="shared" si="1"/>
        <v>7.1050000000000002E-2</v>
      </c>
      <c r="BH15" s="778"/>
    </row>
    <row r="16" spans="1:95" ht="15" thickBot="1" x14ac:dyDescent="0.35">
      <c r="A16" s="22" t="s">
        <v>36</v>
      </c>
      <c r="B16" s="22" t="s">
        <v>24</v>
      </c>
      <c r="C16" s="22" t="s">
        <v>28</v>
      </c>
      <c r="D16" s="22">
        <v>124.11</v>
      </c>
      <c r="E16" s="22">
        <v>0.05</v>
      </c>
      <c r="F16" s="22">
        <f t="shared" si="0"/>
        <v>6.2055000000000007</v>
      </c>
      <c r="G16" s="22">
        <v>1.17</v>
      </c>
      <c r="H16" s="2">
        <f t="shared" si="2"/>
        <v>5.3038461538461545</v>
      </c>
      <c r="I16" s="2"/>
      <c r="J16" s="2"/>
      <c r="K16" s="2"/>
      <c r="L16" s="2"/>
      <c r="M16" s="2"/>
      <c r="N16" s="2"/>
      <c r="O16" s="2"/>
      <c r="P16" s="2"/>
      <c r="R16" s="793"/>
      <c r="S16" s="470" t="s">
        <v>6</v>
      </c>
      <c r="T16" s="347" t="s">
        <v>6</v>
      </c>
      <c r="U16" s="471" t="s">
        <v>6</v>
      </c>
      <c r="V16" s="366" t="s">
        <v>6</v>
      </c>
      <c r="W16" s="472" t="s">
        <v>6</v>
      </c>
      <c r="X16" s="473" t="s">
        <v>6</v>
      </c>
      <c r="Y16" s="652" t="s">
        <v>6</v>
      </c>
      <c r="Z16" s="475" t="s">
        <v>6</v>
      </c>
      <c r="AB16" s="37"/>
      <c r="AC16" s="834"/>
      <c r="AD16" s="45" t="s">
        <v>4</v>
      </c>
      <c r="AE16" s="646" t="s">
        <v>9</v>
      </c>
      <c r="AF16" s="644" t="s">
        <v>9</v>
      </c>
      <c r="AG16" s="637"/>
      <c r="AH16" s="644" t="s">
        <v>9</v>
      </c>
      <c r="AI16" s="644" t="s">
        <v>9</v>
      </c>
      <c r="AJ16" s="340"/>
      <c r="AK16" s="654">
        <f xml:space="preserve"> ($D$38 * $G$14) + ($E$38 * $E$26)</f>
        <v>81.071718260869559</v>
      </c>
      <c r="AL16" s="644">
        <v>80</v>
      </c>
      <c r="AM16" s="655">
        <f>AL16 * $BF$29 / $D$14</f>
        <v>4.9339030747182995E-2</v>
      </c>
      <c r="AN16" s="644" t="s">
        <v>9</v>
      </c>
      <c r="AO16" s="644" t="s">
        <v>9</v>
      </c>
      <c r="AP16" s="340"/>
      <c r="AQ16" s="646" t="s">
        <v>9</v>
      </c>
      <c r="AR16" s="644" t="s">
        <v>9</v>
      </c>
      <c r="AS16" s="637"/>
      <c r="AT16" s="644" t="s">
        <v>9</v>
      </c>
      <c r="AU16" s="644" t="s">
        <v>9</v>
      </c>
      <c r="AV16" s="340"/>
      <c r="AW16" s="646" t="s">
        <v>9</v>
      </c>
      <c r="AX16" s="644" t="s">
        <v>9</v>
      </c>
      <c r="AY16" s="637"/>
      <c r="AZ16" s="657">
        <f xml:space="preserve"> ($D$38 * $G$14) + ($E$38 * $E$26)</f>
        <v>81.071718260869559</v>
      </c>
      <c r="BA16" s="644">
        <v>81</v>
      </c>
      <c r="BB16" s="659">
        <f>BA16 * $BF$29 / $D$14</f>
        <v>4.995576863152279E-2</v>
      </c>
      <c r="BD16" s="307" t="s">
        <v>36</v>
      </c>
      <c r="BE16" s="294" t="s">
        <v>24</v>
      </c>
      <c r="BF16" s="462">
        <f t="shared" si="1"/>
        <v>6.2054999999999999E-2</v>
      </c>
      <c r="BH16" s="778"/>
    </row>
    <row r="17" spans="1:93" ht="14.4" customHeight="1" x14ac:dyDescent="0.3">
      <c r="A17" s="22" t="s">
        <v>37</v>
      </c>
      <c r="B17" s="22" t="s">
        <v>25</v>
      </c>
      <c r="C17" s="22" t="s">
        <v>29</v>
      </c>
      <c r="D17" s="22">
        <v>136.15</v>
      </c>
      <c r="E17" s="22">
        <v>0.05</v>
      </c>
      <c r="F17" s="22">
        <f t="shared" si="0"/>
        <v>6.807500000000001</v>
      </c>
      <c r="G17" s="22">
        <v>1.119</v>
      </c>
      <c r="H17" s="2">
        <f t="shared" si="2"/>
        <v>6.0835567470956224</v>
      </c>
      <c r="I17" s="2"/>
      <c r="J17" s="2"/>
      <c r="K17" s="2"/>
      <c r="L17" s="2"/>
      <c r="M17" s="2"/>
      <c r="N17" s="2"/>
      <c r="O17" s="2"/>
      <c r="P17" s="2"/>
      <c r="R17" s="792" t="s">
        <v>49</v>
      </c>
      <c r="S17" s="483" t="s">
        <v>224</v>
      </c>
      <c r="T17" s="484" t="s">
        <v>224</v>
      </c>
      <c r="U17" s="485" t="s">
        <v>224</v>
      </c>
      <c r="V17" s="486" t="s">
        <v>224</v>
      </c>
      <c r="W17" s="487" t="s">
        <v>224</v>
      </c>
      <c r="X17" s="488" t="s">
        <v>224</v>
      </c>
      <c r="Y17" s="660" t="s">
        <v>224</v>
      </c>
      <c r="Z17" s="490" t="s">
        <v>224</v>
      </c>
      <c r="AB17" s="37"/>
      <c r="AC17" s="834"/>
      <c r="AD17" s="45" t="s">
        <v>12</v>
      </c>
      <c r="AE17" s="646" t="s">
        <v>9</v>
      </c>
      <c r="AF17" s="644" t="s">
        <v>9</v>
      </c>
      <c r="AG17" s="637"/>
      <c r="AH17" s="644" t="s">
        <v>9</v>
      </c>
      <c r="AI17" s="644" t="s">
        <v>9</v>
      </c>
      <c r="AJ17" s="340"/>
      <c r="AK17" s="646" t="s">
        <v>9</v>
      </c>
      <c r="AL17" s="644" t="s">
        <v>9</v>
      </c>
      <c r="AM17" s="637"/>
      <c r="AN17" s="657">
        <f xml:space="preserve"> ($D$39 * $G$15) + ($E$39 * $E$26)</f>
        <v>81.395949074074082</v>
      </c>
      <c r="AO17" s="644">
        <v>78</v>
      </c>
      <c r="AP17" s="658">
        <f>AO17 * $BF$30 / $D$15</f>
        <v>4.7913932380723522E-2</v>
      </c>
      <c r="AQ17" s="654" t="s">
        <v>9</v>
      </c>
      <c r="AR17" s="644" t="s">
        <v>9</v>
      </c>
      <c r="AS17" s="637"/>
      <c r="AT17" s="644" t="s">
        <v>9</v>
      </c>
      <c r="AU17" s="644" t="s">
        <v>9</v>
      </c>
      <c r="AV17" s="340"/>
      <c r="AW17" s="646" t="s">
        <v>9</v>
      </c>
      <c r="AX17" s="644" t="s">
        <v>9</v>
      </c>
      <c r="AY17" s="637"/>
      <c r="AZ17" s="644" t="s">
        <v>9</v>
      </c>
      <c r="BA17" s="644" t="s">
        <v>9</v>
      </c>
      <c r="BB17" s="656"/>
      <c r="BD17" s="307" t="s">
        <v>37</v>
      </c>
      <c r="BE17" s="294" t="s">
        <v>25</v>
      </c>
      <c r="BF17" s="462">
        <f t="shared" si="1"/>
        <v>6.8075000000000024E-2</v>
      </c>
      <c r="BH17" s="778"/>
    </row>
    <row r="18" spans="1:93" x14ac:dyDescent="0.3">
      <c r="A18" s="22" t="s">
        <v>34</v>
      </c>
      <c r="B18" s="22" t="s">
        <v>35</v>
      </c>
      <c r="C18" s="22" t="s">
        <v>41</v>
      </c>
      <c r="D18" s="22">
        <v>138.59</v>
      </c>
      <c r="E18" s="22">
        <v>7.4999999999999997E-2</v>
      </c>
      <c r="F18" s="22">
        <f t="shared" si="0"/>
        <v>10.39425</v>
      </c>
      <c r="G18" s="22">
        <v>0.90900000000000003</v>
      </c>
      <c r="H18" s="2">
        <f t="shared" si="2"/>
        <v>11.434818481848184</v>
      </c>
      <c r="I18" s="2"/>
      <c r="J18" s="2"/>
      <c r="K18" s="2"/>
      <c r="L18" s="2"/>
      <c r="M18" s="2"/>
      <c r="N18" s="2"/>
      <c r="O18" s="2"/>
      <c r="P18" s="2"/>
      <c r="R18" s="793"/>
      <c r="S18" s="449" t="s">
        <v>1</v>
      </c>
      <c r="T18" s="342" t="s">
        <v>2</v>
      </c>
      <c r="U18" s="450" t="s">
        <v>4</v>
      </c>
      <c r="V18" s="359" t="s">
        <v>12</v>
      </c>
      <c r="W18" s="451" t="s">
        <v>36</v>
      </c>
      <c r="X18" s="452" t="s">
        <v>37</v>
      </c>
      <c r="Y18" s="639" t="s">
        <v>1</v>
      </c>
      <c r="Z18" s="454" t="s">
        <v>4</v>
      </c>
      <c r="AB18" s="37"/>
      <c r="AC18" s="834"/>
      <c r="AD18" s="45" t="s">
        <v>36</v>
      </c>
      <c r="AE18" s="646" t="s">
        <v>9</v>
      </c>
      <c r="AF18" s="644" t="s">
        <v>9</v>
      </c>
      <c r="AG18" s="637"/>
      <c r="AH18" s="644" t="s">
        <v>9</v>
      </c>
      <c r="AI18" s="644" t="s">
        <v>9</v>
      </c>
      <c r="AJ18" s="340"/>
      <c r="AK18" s="646" t="s">
        <v>9</v>
      </c>
      <c r="AL18" s="644" t="s">
        <v>9</v>
      </c>
      <c r="AM18" s="637"/>
      <c r="AN18" s="644" t="s">
        <v>9</v>
      </c>
      <c r="AO18" s="644" t="s">
        <v>9</v>
      </c>
      <c r="AP18" s="340"/>
      <c r="AQ18" s="654">
        <f xml:space="preserve"> ($D$40 * $G$16) + ($E$40 * $E$26)</f>
        <v>80.636676923076934</v>
      </c>
      <c r="AR18" s="644">
        <v>81</v>
      </c>
      <c r="AS18" s="655">
        <f>AR18 * $BF$31 / $D$16</f>
        <v>5.0225284008956414E-2</v>
      </c>
      <c r="AT18" s="657" t="s">
        <v>9</v>
      </c>
      <c r="AU18" s="644" t="s">
        <v>9</v>
      </c>
      <c r="AV18" s="340"/>
      <c r="AW18" s="646" t="s">
        <v>9</v>
      </c>
      <c r="AX18" s="644" t="s">
        <v>9</v>
      </c>
      <c r="AY18" s="637"/>
      <c r="AZ18" s="644" t="s">
        <v>9</v>
      </c>
      <c r="BA18" s="644" t="s">
        <v>9</v>
      </c>
      <c r="BB18" s="656"/>
      <c r="BD18" s="307" t="s">
        <v>34</v>
      </c>
      <c r="BE18" s="294" t="s">
        <v>35</v>
      </c>
      <c r="BF18" s="462">
        <f xml:space="preserve"> (K47 * G18) / (K47 + L47)</f>
        <v>0.10394249999999999</v>
      </c>
      <c r="BH18" s="778"/>
    </row>
    <row r="19" spans="1:93" x14ac:dyDescent="0.3">
      <c r="A19" s="22" t="s">
        <v>7</v>
      </c>
      <c r="B19" s="22" t="s">
        <v>11</v>
      </c>
      <c r="C19" s="22" t="s">
        <v>17</v>
      </c>
      <c r="D19" s="22">
        <v>104.15</v>
      </c>
      <c r="E19" s="22">
        <v>7.4999999999999997E-2</v>
      </c>
      <c r="F19" s="22">
        <f t="shared" si="0"/>
        <v>7.8112500000000002</v>
      </c>
      <c r="G19" s="22">
        <v>1.0900000000000001</v>
      </c>
      <c r="H19" s="2">
        <f t="shared" si="2"/>
        <v>7.1662844036697244</v>
      </c>
      <c r="I19" s="2"/>
      <c r="J19" s="2"/>
      <c r="K19" s="2"/>
      <c r="L19" s="2"/>
      <c r="M19" s="2"/>
      <c r="N19" s="2"/>
      <c r="O19" s="2"/>
      <c r="P19" s="2"/>
      <c r="R19" s="793"/>
      <c r="S19" s="449" t="s">
        <v>34</v>
      </c>
      <c r="T19" s="342" t="s">
        <v>34</v>
      </c>
      <c r="U19" s="450" t="s">
        <v>34</v>
      </c>
      <c r="V19" s="359" t="s">
        <v>34</v>
      </c>
      <c r="W19" s="451" t="s">
        <v>34</v>
      </c>
      <c r="X19" s="452" t="s">
        <v>34</v>
      </c>
      <c r="Y19" s="639" t="s">
        <v>75</v>
      </c>
      <c r="Z19" s="454" t="s">
        <v>75</v>
      </c>
      <c r="AB19" s="37"/>
      <c r="AC19" s="834"/>
      <c r="AD19" s="661" t="s">
        <v>37</v>
      </c>
      <c r="AE19" s="646" t="s">
        <v>9</v>
      </c>
      <c r="AF19" s="644" t="s">
        <v>9</v>
      </c>
      <c r="AG19" s="637"/>
      <c r="AH19" s="644" t="s">
        <v>9</v>
      </c>
      <c r="AI19" s="644" t="s">
        <v>9</v>
      </c>
      <c r="AJ19" s="340"/>
      <c r="AK19" s="646" t="s">
        <v>9</v>
      </c>
      <c r="AL19" s="644" t="s">
        <v>9</v>
      </c>
      <c r="AM19" s="637"/>
      <c r="AN19" s="657" t="s">
        <v>9</v>
      </c>
      <c r="AO19" s="644" t="s">
        <v>9</v>
      </c>
      <c r="AP19" s="340"/>
      <c r="AQ19" s="646" t="s">
        <v>9</v>
      </c>
      <c r="AR19" s="644" t="s">
        <v>9</v>
      </c>
      <c r="AS19" s="637"/>
      <c r="AT19" s="657">
        <f xml:space="preserve"> ($D$41 * $G$17) + ($E$41 * $E$26)</f>
        <v>80.625824396782846</v>
      </c>
      <c r="AU19" s="644">
        <v>82</v>
      </c>
      <c r="AV19" s="658">
        <f>AU19 * $BF$32 / $D$17</f>
        <v>5.0852193210735114E-2</v>
      </c>
      <c r="AW19" s="646" t="s">
        <v>9</v>
      </c>
      <c r="AX19" s="644" t="s">
        <v>9</v>
      </c>
      <c r="AY19" s="637"/>
      <c r="AZ19" s="644" t="s">
        <v>9</v>
      </c>
      <c r="BA19" s="644" t="s">
        <v>9</v>
      </c>
      <c r="BB19" s="656"/>
      <c r="BD19" s="307" t="s">
        <v>7</v>
      </c>
      <c r="BE19" s="294" t="s">
        <v>11</v>
      </c>
      <c r="BF19" s="462">
        <f xml:space="preserve"> (K48 * G19) / (K48 + L48)</f>
        <v>7.8112499999999974E-2</v>
      </c>
      <c r="BH19" s="778"/>
    </row>
    <row r="20" spans="1:93" x14ac:dyDescent="0.3">
      <c r="A20" s="22" t="s">
        <v>75</v>
      </c>
      <c r="B20" s="22" t="s">
        <v>340</v>
      </c>
      <c r="C20" s="22" t="s">
        <v>341</v>
      </c>
      <c r="D20" s="22">
        <v>134.17500000000001</v>
      </c>
      <c r="E20" s="22">
        <v>7.4999999999999997E-2</v>
      </c>
      <c r="F20" s="22">
        <f t="shared" si="0"/>
        <v>10.063125000000001</v>
      </c>
      <c r="G20" s="22">
        <v>1</v>
      </c>
      <c r="H20" s="2">
        <f t="shared" si="2"/>
        <v>10.063125000000001</v>
      </c>
      <c r="I20" s="2"/>
      <c r="J20" s="2"/>
      <c r="K20" s="2"/>
      <c r="L20" s="2"/>
      <c r="M20" s="2"/>
      <c r="N20" s="2"/>
      <c r="O20" s="2"/>
      <c r="P20" s="2"/>
      <c r="R20" s="793"/>
      <c r="S20" s="470" t="s">
        <v>3</v>
      </c>
      <c r="T20" s="347" t="s">
        <v>3</v>
      </c>
      <c r="U20" s="471" t="s">
        <v>3</v>
      </c>
      <c r="V20" s="366" t="s">
        <v>3</v>
      </c>
      <c r="W20" s="472" t="s">
        <v>3</v>
      </c>
      <c r="X20" s="473" t="s">
        <v>3</v>
      </c>
      <c r="Y20" s="652" t="s">
        <v>3</v>
      </c>
      <c r="Z20" s="475" t="s">
        <v>3</v>
      </c>
      <c r="AB20" s="37"/>
      <c r="AC20" s="834"/>
      <c r="AD20" s="653" t="s">
        <v>34</v>
      </c>
      <c r="AE20" s="654">
        <f xml:space="preserve"> ($D$47 * $G$18) + ($E$47 * $E$26)</f>
        <v>80.006482673267328</v>
      </c>
      <c r="AF20" s="644">
        <v>78</v>
      </c>
      <c r="AG20" s="655">
        <f>AF20 * $BF$33 / $D$18</f>
        <v>7.3119074911596735E-2</v>
      </c>
      <c r="AH20" s="657">
        <f xml:space="preserve"> ($D$47 * $G$18) + ($E$47 * $E$26)</f>
        <v>80.006482673267328</v>
      </c>
      <c r="AI20" s="644">
        <v>75</v>
      </c>
      <c r="AJ20" s="658">
        <f>AI20 * $BF$33 / $D$18</f>
        <v>7.0306802799612253E-2</v>
      </c>
      <c r="AK20" s="654">
        <f xml:space="preserve"> ($D$47 * $G$18) + ($E$47 * $E$26)</f>
        <v>80.006482673267328</v>
      </c>
      <c r="AL20" s="644">
        <v>3</v>
      </c>
      <c r="AM20" s="655">
        <f>AL20 * $BF$33 / $D$18</f>
        <v>2.81227211198449E-3</v>
      </c>
      <c r="AN20" s="657">
        <f xml:space="preserve"> ($D$47 * $G$18) + ($E$47 * $E$26)</f>
        <v>80.006482673267328</v>
      </c>
      <c r="AO20" s="644">
        <v>75</v>
      </c>
      <c r="AP20" s="658">
        <f>AO20 * $BF$33 / $D$18</f>
        <v>7.0306802799612253E-2</v>
      </c>
      <c r="AQ20" s="654">
        <f xml:space="preserve"> ($D$47 * $G$18) + ($E$47 * $E$26)</f>
        <v>80.006482673267328</v>
      </c>
      <c r="AR20" s="644">
        <v>74</v>
      </c>
      <c r="AS20" s="655">
        <f>AR20 * $BF$33 / $D$18</f>
        <v>6.9369378762284079E-2</v>
      </c>
      <c r="AT20" s="657">
        <f xml:space="preserve"> ($D$47 * $G$18) + ($E$47 * $E$26)</f>
        <v>80.006482673267328</v>
      </c>
      <c r="AU20" s="644">
        <v>75</v>
      </c>
      <c r="AV20" s="658">
        <f>AU20 * $BF$33 / $D$18</f>
        <v>7.0306802799612253E-2</v>
      </c>
      <c r="AW20" s="646" t="s">
        <v>9</v>
      </c>
      <c r="AX20" s="644" t="s">
        <v>9</v>
      </c>
      <c r="AY20" s="637"/>
      <c r="AZ20" s="644" t="s">
        <v>9</v>
      </c>
      <c r="BA20" s="644" t="s">
        <v>9</v>
      </c>
      <c r="BB20" s="662"/>
      <c r="BD20" s="307" t="s">
        <v>75</v>
      </c>
      <c r="BE20" s="294" t="s">
        <v>340</v>
      </c>
      <c r="BF20" s="462">
        <f xml:space="preserve"> (K49 * G20) / (K49 + L49)</f>
        <v>0.10063125000000001</v>
      </c>
      <c r="BH20" s="778"/>
    </row>
    <row r="21" spans="1:93" x14ac:dyDescent="0.3">
      <c r="A21" s="22" t="s">
        <v>5</v>
      </c>
      <c r="B21" s="22" t="s">
        <v>30</v>
      </c>
      <c r="C21" s="22" t="s">
        <v>31</v>
      </c>
      <c r="D21" s="22">
        <v>202.98</v>
      </c>
      <c r="E21" s="294" t="s">
        <v>9</v>
      </c>
      <c r="F21" s="22">
        <f>G21*H21</f>
        <v>16.742920000000002</v>
      </c>
      <c r="G21" s="22">
        <v>1.306</v>
      </c>
      <c r="H21" s="2">
        <v>12.82</v>
      </c>
      <c r="I21" s="2"/>
      <c r="J21" s="2"/>
      <c r="K21" s="2"/>
      <c r="L21" s="2"/>
      <c r="M21" s="2"/>
      <c r="Q21" s="338"/>
      <c r="R21" s="793"/>
      <c r="S21" s="470" t="s">
        <v>5</v>
      </c>
      <c r="T21" s="347" t="s">
        <v>5</v>
      </c>
      <c r="U21" s="471" t="s">
        <v>5</v>
      </c>
      <c r="V21" s="366" t="s">
        <v>5</v>
      </c>
      <c r="W21" s="472" t="s">
        <v>5</v>
      </c>
      <c r="X21" s="473" t="s">
        <v>5</v>
      </c>
      <c r="Y21" s="652" t="s">
        <v>5</v>
      </c>
      <c r="Z21" s="475" t="s">
        <v>5</v>
      </c>
      <c r="AB21" s="37"/>
      <c r="AC21" s="834"/>
      <c r="AD21" s="45" t="s">
        <v>7</v>
      </c>
      <c r="AE21" s="646" t="s">
        <v>9</v>
      </c>
      <c r="AF21" s="644" t="s">
        <v>9</v>
      </c>
      <c r="AG21" s="637"/>
      <c r="AH21" s="644" t="s">
        <v>9</v>
      </c>
      <c r="AI21" s="644" t="s">
        <v>9</v>
      </c>
      <c r="AJ21" s="340"/>
      <c r="AK21" s="646" t="s">
        <v>9</v>
      </c>
      <c r="AL21" s="644" t="s">
        <v>9</v>
      </c>
      <c r="AM21" s="637"/>
      <c r="AN21" s="644" t="s">
        <v>9</v>
      </c>
      <c r="AO21" s="644" t="s">
        <v>9</v>
      </c>
      <c r="AP21" s="340"/>
      <c r="AQ21" s="646" t="s">
        <v>9</v>
      </c>
      <c r="AR21" s="644" t="s">
        <v>9</v>
      </c>
      <c r="AS21" s="637"/>
      <c r="AT21" s="644" t="s">
        <v>9</v>
      </c>
      <c r="AU21" s="644" t="s">
        <v>9</v>
      </c>
      <c r="AV21" s="340"/>
      <c r="AW21" s="646" t="s">
        <v>9</v>
      </c>
      <c r="AX21" s="644" t="s">
        <v>9</v>
      </c>
      <c r="AY21" s="637"/>
      <c r="AZ21" s="644" t="s">
        <v>9</v>
      </c>
      <c r="BA21" s="644" t="s">
        <v>9</v>
      </c>
      <c r="BB21" s="662"/>
      <c r="BD21" s="308" t="s">
        <v>238</v>
      </c>
      <c r="BE21" s="309" t="s">
        <v>342</v>
      </c>
      <c r="BF21" s="502">
        <f xml:space="preserve"> (I55 * G21) / (I55 + J55)</f>
        <v>0.20928649999999999</v>
      </c>
      <c r="BH21" s="778"/>
    </row>
    <row r="22" spans="1:93" ht="15" thickBot="1" x14ac:dyDescent="0.35">
      <c r="A22" s="22" t="s">
        <v>6</v>
      </c>
      <c r="B22" s="22" t="s">
        <v>8</v>
      </c>
      <c r="C22" s="22" t="s">
        <v>18</v>
      </c>
      <c r="D22" s="22">
        <v>325.81900000000002</v>
      </c>
      <c r="E22" s="294" t="s">
        <v>9</v>
      </c>
      <c r="F22" s="22">
        <v>25</v>
      </c>
      <c r="G22" s="22" t="s">
        <v>9</v>
      </c>
      <c r="H22" s="2" t="s">
        <v>9</v>
      </c>
      <c r="I22" s="338"/>
      <c r="J22" s="2"/>
      <c r="K22" s="2"/>
      <c r="L22" s="2"/>
      <c r="M22" s="2"/>
      <c r="Q22" s="338"/>
      <c r="R22" s="794"/>
      <c r="S22" s="504" t="s">
        <v>6</v>
      </c>
      <c r="T22" s="505" t="s">
        <v>6</v>
      </c>
      <c r="U22" s="506" t="s">
        <v>6</v>
      </c>
      <c r="V22" s="507" t="s">
        <v>6</v>
      </c>
      <c r="W22" s="508" t="s">
        <v>6</v>
      </c>
      <c r="X22" s="509" t="s">
        <v>6</v>
      </c>
      <c r="Y22" s="663" t="s">
        <v>6</v>
      </c>
      <c r="Z22" s="511" t="s">
        <v>6</v>
      </c>
      <c r="AB22" s="37"/>
      <c r="AC22" s="834"/>
      <c r="AD22" s="661" t="s">
        <v>75</v>
      </c>
      <c r="AE22" s="646" t="s">
        <v>9</v>
      </c>
      <c r="AF22" s="644" t="s">
        <v>9</v>
      </c>
      <c r="AG22" s="637"/>
      <c r="AH22" s="644" t="s">
        <v>9</v>
      </c>
      <c r="AI22" s="644" t="s">
        <v>9</v>
      </c>
      <c r="AJ22" s="340"/>
      <c r="AK22" s="646" t="s">
        <v>9</v>
      </c>
      <c r="AL22" s="644" t="s">
        <v>9</v>
      </c>
      <c r="AM22" s="637"/>
      <c r="AN22" s="644" t="s">
        <v>9</v>
      </c>
      <c r="AO22" s="644" t="s">
        <v>9</v>
      </c>
      <c r="AP22" s="340"/>
      <c r="AQ22" s="646" t="s">
        <v>9</v>
      </c>
      <c r="AR22" s="644" t="s">
        <v>9</v>
      </c>
      <c r="AS22" s="637"/>
      <c r="AT22" s="644" t="s">
        <v>9</v>
      </c>
      <c r="AU22" s="644" t="s">
        <v>9</v>
      </c>
      <c r="AV22" s="340"/>
      <c r="AW22" s="654">
        <f xml:space="preserve"> ($D$49 * $G$20) + ($E$49 * $E$26)</f>
        <v>80.753508750000009</v>
      </c>
      <c r="AX22" s="644">
        <v>77</v>
      </c>
      <c r="AY22" s="655">
        <f>AX22 * $BF$35 / $D$20</f>
        <v>7.1513920440020501E-2</v>
      </c>
      <c r="AZ22" s="657">
        <f xml:space="preserve"> ($D$49 * $G$20) + ($E$49 * $E$26)</f>
        <v>80.753508750000009</v>
      </c>
      <c r="BA22" s="644">
        <v>75</v>
      </c>
      <c r="BB22" s="659">
        <f>BA22 * $BF$35 / $D$20</f>
        <v>6.9656416013006983E-2</v>
      </c>
      <c r="BH22" s="778"/>
    </row>
    <row r="23" spans="1:93" x14ac:dyDescent="0.3">
      <c r="N23" s="22" t="s">
        <v>242</v>
      </c>
      <c r="R23" s="793" t="s">
        <v>50</v>
      </c>
      <c r="S23" s="470" t="s">
        <v>224</v>
      </c>
      <c r="T23" s="347" t="s">
        <v>224</v>
      </c>
      <c r="U23" s="471" t="s">
        <v>224</v>
      </c>
      <c r="V23" s="366" t="s">
        <v>224</v>
      </c>
      <c r="W23" s="472" t="s">
        <v>224</v>
      </c>
      <c r="X23" s="473" t="s">
        <v>224</v>
      </c>
      <c r="Y23" s="652" t="s">
        <v>224</v>
      </c>
      <c r="Z23" s="475" t="s">
        <v>224</v>
      </c>
      <c r="AB23" s="37"/>
      <c r="AC23" s="834"/>
      <c r="AD23" s="305" t="s">
        <v>3</v>
      </c>
      <c r="AE23" s="654">
        <f xml:space="preserve"> $E$64 * $E$26</f>
        <v>683.82</v>
      </c>
      <c r="AF23" s="644">
        <v>668</v>
      </c>
      <c r="AG23" s="637"/>
      <c r="AH23" s="657">
        <f xml:space="preserve"> $E$64 * $E$26</f>
        <v>683.82</v>
      </c>
      <c r="AI23" s="644">
        <v>681</v>
      </c>
      <c r="AJ23" s="340"/>
      <c r="AK23" s="654">
        <f xml:space="preserve"> $E$64 * $E$26</f>
        <v>683.82</v>
      </c>
      <c r="AL23" s="644">
        <v>681</v>
      </c>
      <c r="AM23" s="637"/>
      <c r="AN23" s="657">
        <f xml:space="preserve"> $E$64 * $E$26</f>
        <v>683.82</v>
      </c>
      <c r="AO23" s="644">
        <v>680</v>
      </c>
      <c r="AP23" s="340"/>
      <c r="AQ23" s="654">
        <f xml:space="preserve"> $E$64 * $E$26</f>
        <v>683.82</v>
      </c>
      <c r="AR23" s="644">
        <v>680</v>
      </c>
      <c r="AS23" s="637"/>
      <c r="AT23" s="657">
        <f xml:space="preserve"> $E$64 * $E$26</f>
        <v>683.82</v>
      </c>
      <c r="AU23" s="644">
        <v>680</v>
      </c>
      <c r="AV23" s="340"/>
      <c r="AW23" s="654">
        <f xml:space="preserve"> $E$64 * $E$26</f>
        <v>683.82</v>
      </c>
      <c r="AX23" s="644">
        <v>677</v>
      </c>
      <c r="AY23" s="637"/>
      <c r="AZ23" s="657">
        <f xml:space="preserve"> $E$64 * $E$26</f>
        <v>683.82</v>
      </c>
      <c r="BA23" s="644">
        <v>680</v>
      </c>
      <c r="BB23" s="662"/>
      <c r="BH23" s="778"/>
    </row>
    <row r="24" spans="1:93" x14ac:dyDescent="0.3">
      <c r="F24" s="791" t="s">
        <v>343</v>
      </c>
      <c r="G24" s="791"/>
      <c r="H24" s="779"/>
      <c r="I24" s="779"/>
      <c r="R24" s="793"/>
      <c r="S24" s="449" t="s">
        <v>1</v>
      </c>
      <c r="T24" s="342" t="s">
        <v>2</v>
      </c>
      <c r="U24" s="450" t="s">
        <v>4</v>
      </c>
      <c r="V24" s="359" t="s">
        <v>12</v>
      </c>
      <c r="W24" s="451" t="s">
        <v>36</v>
      </c>
      <c r="X24" s="452" t="s">
        <v>37</v>
      </c>
      <c r="Y24" s="639" t="s">
        <v>37</v>
      </c>
      <c r="Z24" s="454" t="s">
        <v>4</v>
      </c>
      <c r="AB24" s="37"/>
      <c r="AC24" s="834"/>
      <c r="AD24" s="305" t="s">
        <v>238</v>
      </c>
      <c r="AE24" s="654">
        <f xml:space="preserve"> ( $E$55 * $G$21 ) + ( $F$55 * $E$26 )</f>
        <v>69.546400000000006</v>
      </c>
      <c r="AF24" s="644">
        <v>74</v>
      </c>
      <c r="AG24" s="655">
        <f>AF24 * $BF$36 / $D$21</f>
        <v>8.7767761033532399E-2</v>
      </c>
      <c r="AH24" s="657">
        <f xml:space="preserve"> ( $E$55 * $G$21 ) + ( $F$55 * $E$26 )</f>
        <v>69.546400000000006</v>
      </c>
      <c r="AI24" s="644">
        <v>65</v>
      </c>
      <c r="AJ24" s="658">
        <f>AI24 * $BF$36 / $D$21</f>
        <v>7.7093303610535222E-2</v>
      </c>
      <c r="AK24" s="654">
        <f xml:space="preserve"> ( $E$55 * $G$21 ) + ( $F$55 * $E$26 )</f>
        <v>69.546400000000006</v>
      </c>
      <c r="AL24" s="644">
        <v>67</v>
      </c>
      <c r="AM24" s="655">
        <f>AL24 * $BF$36 / $D$21</f>
        <v>7.9465405260090147E-2</v>
      </c>
      <c r="AN24" s="657">
        <f xml:space="preserve"> ( $E$55 * $G$21 ) + ( $F$55 * $E$26 )</f>
        <v>69.546400000000006</v>
      </c>
      <c r="AO24" s="644">
        <v>67</v>
      </c>
      <c r="AP24" s="658">
        <f>AO24 * $BF$36 / $D$21</f>
        <v>7.9465405260090147E-2</v>
      </c>
      <c r="AQ24" s="654">
        <f xml:space="preserve"> ( $E$55 * $G$21 ) + ( $F$55 * $E$26 )</f>
        <v>69.546400000000006</v>
      </c>
      <c r="AR24" s="644">
        <v>77</v>
      </c>
      <c r="AS24" s="655">
        <f>AR24 * $BF$36 / $D$21</f>
        <v>9.13259135078648E-2</v>
      </c>
      <c r="AT24" s="657">
        <f xml:space="preserve"> ( $E$55 * $G$21 ) + ( $F$55 * $E$26 )</f>
        <v>69.546400000000006</v>
      </c>
      <c r="AU24" s="644">
        <v>71</v>
      </c>
      <c r="AV24" s="658">
        <f>AU24 * $BF$36 / $D$21</f>
        <v>8.4209608559199997E-2</v>
      </c>
      <c r="AW24" s="654">
        <f xml:space="preserve"> ( $E$55 * $G$21 ) + ( $F$55 * $E$26 )</f>
        <v>69.546400000000006</v>
      </c>
      <c r="AX24" s="644">
        <v>64</v>
      </c>
      <c r="AY24" s="655">
        <f>AX24 * $BF$36 / $D$21</f>
        <v>7.5907252785757745E-2</v>
      </c>
      <c r="AZ24" s="657">
        <f xml:space="preserve"> ( $E$55 * $G$21 ) + ( $F$55 * $E$26 )</f>
        <v>69.546400000000006</v>
      </c>
      <c r="BA24" s="644">
        <v>72</v>
      </c>
      <c r="BB24" s="659">
        <f>BA24 * $BF$36 / $D$21</f>
        <v>8.539565938397746E-2</v>
      </c>
      <c r="BD24" s="786" t="s">
        <v>422</v>
      </c>
      <c r="BE24" s="787"/>
      <c r="BF24" s="788"/>
      <c r="BH24" s="778"/>
    </row>
    <row r="25" spans="1:93" x14ac:dyDescent="0.3">
      <c r="C25" s="22" t="s">
        <v>14</v>
      </c>
      <c r="D25" s="22" t="s">
        <v>0</v>
      </c>
      <c r="E25" s="22" t="s">
        <v>215</v>
      </c>
      <c r="F25" s="22" t="s">
        <v>26</v>
      </c>
      <c r="G25" s="22" t="s">
        <v>27</v>
      </c>
      <c r="R25" s="793"/>
      <c r="S25" s="449" t="s">
        <v>34</v>
      </c>
      <c r="T25" s="342" t="s">
        <v>34</v>
      </c>
      <c r="U25" s="450" t="s">
        <v>34</v>
      </c>
      <c r="V25" s="359" t="s">
        <v>34</v>
      </c>
      <c r="W25" s="451" t="s">
        <v>34</v>
      </c>
      <c r="X25" s="452" t="s">
        <v>34</v>
      </c>
      <c r="Y25" s="639" t="s">
        <v>34</v>
      </c>
      <c r="Z25" s="454" t="s">
        <v>75</v>
      </c>
      <c r="AB25" s="37"/>
      <c r="AC25" s="836"/>
      <c r="AD25" s="50" t="s">
        <v>6</v>
      </c>
      <c r="AE25" s="664">
        <f>$F$22</f>
        <v>25</v>
      </c>
      <c r="AF25" s="665">
        <v>24.9</v>
      </c>
      <c r="AG25" s="666">
        <f>AF25 / $D$22</f>
        <v>7.6422799161497634E-2</v>
      </c>
      <c r="AH25" s="667">
        <f>$F$22</f>
        <v>25</v>
      </c>
      <c r="AI25" s="665">
        <v>24.5</v>
      </c>
      <c r="AJ25" s="666">
        <f>AI25 / $D$22</f>
        <v>7.5195123672959524E-2</v>
      </c>
      <c r="AK25" s="664">
        <f>$F$22</f>
        <v>25</v>
      </c>
      <c r="AL25" s="665">
        <v>24.5</v>
      </c>
      <c r="AM25" s="666">
        <f>AL25 / $D$22</f>
        <v>7.5195123672959524E-2</v>
      </c>
      <c r="AN25" s="667">
        <f>$F$22</f>
        <v>25</v>
      </c>
      <c r="AO25" s="665">
        <v>24.5</v>
      </c>
      <c r="AP25" s="666">
        <f>AO25 / $D$22</f>
        <v>7.5195123672959524E-2</v>
      </c>
      <c r="AQ25" s="664">
        <f>$F$22</f>
        <v>25</v>
      </c>
      <c r="AR25" s="665">
        <v>24.5</v>
      </c>
      <c r="AS25" s="666">
        <f>AR25 / $D$22</f>
        <v>7.5195123672959524E-2</v>
      </c>
      <c r="AT25" s="667">
        <f>$F$22</f>
        <v>25</v>
      </c>
      <c r="AU25" s="665">
        <v>24.9</v>
      </c>
      <c r="AV25" s="666">
        <f>AU25 / $D$22</f>
        <v>7.6422799161497634E-2</v>
      </c>
      <c r="AW25" s="664">
        <f>$F$22</f>
        <v>25</v>
      </c>
      <c r="AX25" s="665">
        <v>27.2</v>
      </c>
      <c r="AY25" s="666">
        <f>AX25 / $D$22</f>
        <v>8.3481933220591789E-2</v>
      </c>
      <c r="AZ25" s="667">
        <f>$F$22</f>
        <v>25</v>
      </c>
      <c r="BA25" s="665">
        <v>24.5</v>
      </c>
      <c r="BB25" s="668">
        <f>BA25 / $D$22</f>
        <v>7.5195123672959524E-2</v>
      </c>
      <c r="BD25" s="786" t="s">
        <v>331</v>
      </c>
      <c r="BE25" s="787"/>
      <c r="BF25" s="669" t="s">
        <v>423</v>
      </c>
      <c r="BH25" s="778"/>
    </row>
    <row r="26" spans="1:93" x14ac:dyDescent="0.3">
      <c r="A26" s="22" t="s">
        <v>3</v>
      </c>
      <c r="B26" s="22" t="s">
        <v>160</v>
      </c>
      <c r="E26" s="22">
        <v>0.78600000000000003</v>
      </c>
      <c r="F26" s="22">
        <v>500</v>
      </c>
      <c r="G26" s="22">
        <f t="shared" ref="G26" si="3">E26*F26</f>
        <v>393</v>
      </c>
      <c r="H26" s="2"/>
      <c r="J26" s="2"/>
      <c r="K26" s="2"/>
      <c r="L26" s="2"/>
      <c r="M26" s="2"/>
      <c r="N26" s="2"/>
      <c r="O26" s="2"/>
      <c r="P26" s="2"/>
      <c r="R26" s="793"/>
      <c r="S26" s="470" t="s">
        <v>3</v>
      </c>
      <c r="T26" s="347" t="s">
        <v>3</v>
      </c>
      <c r="U26" s="471" t="s">
        <v>3</v>
      </c>
      <c r="V26" s="366" t="s">
        <v>3</v>
      </c>
      <c r="W26" s="472" t="s">
        <v>3</v>
      </c>
      <c r="X26" s="473" t="s">
        <v>3</v>
      </c>
      <c r="Y26" s="652" t="s">
        <v>3</v>
      </c>
      <c r="Z26" s="475" t="s">
        <v>3</v>
      </c>
      <c r="AB26" s="37"/>
      <c r="AC26" s="834" t="s">
        <v>49</v>
      </c>
      <c r="AD26" s="305" t="s">
        <v>339</v>
      </c>
      <c r="AE26" s="654">
        <f>$A$31 + ($C$31 * $E$26)</f>
        <v>40.300000000000004</v>
      </c>
      <c r="AF26" s="644">
        <v>38</v>
      </c>
      <c r="AG26" s="637"/>
      <c r="AH26" s="657">
        <f>$A$31 + ($C$31 * $E$26)</f>
        <v>40.300000000000004</v>
      </c>
      <c r="AI26" s="644">
        <v>45</v>
      </c>
      <c r="AJ26" s="340"/>
      <c r="AK26" s="654">
        <f>$A$31 + ($C$31 * $E$26)</f>
        <v>40.300000000000004</v>
      </c>
      <c r="AL26" s="644">
        <v>41</v>
      </c>
      <c r="AM26" s="637"/>
      <c r="AN26" s="657">
        <f>$A$31 + ($C$31 * $E$26)</f>
        <v>40.300000000000004</v>
      </c>
      <c r="AO26" s="644">
        <v>44</v>
      </c>
      <c r="AP26" s="340"/>
      <c r="AQ26" s="654">
        <f>$A$31 + ($C$31 * $E$26)</f>
        <v>40.300000000000004</v>
      </c>
      <c r="AR26" s="644">
        <v>35</v>
      </c>
      <c r="AS26" s="637"/>
      <c r="AT26" s="657">
        <f>$A$31 + ($C$31 * $E$26)</f>
        <v>40.300000000000004</v>
      </c>
      <c r="AU26" s="644">
        <v>30</v>
      </c>
      <c r="AV26" s="340"/>
      <c r="AW26" s="654">
        <f>$A$31 + ($C$31 * $E$26)</f>
        <v>40.300000000000004</v>
      </c>
      <c r="AX26" s="644">
        <v>32</v>
      </c>
      <c r="AY26" s="637"/>
      <c r="AZ26" s="657">
        <f>$A$31 + ($C$31 * $E$26)</f>
        <v>40.300000000000004</v>
      </c>
      <c r="BA26" s="644">
        <v>34</v>
      </c>
      <c r="BB26" s="662"/>
      <c r="BD26" s="307" t="s">
        <v>19</v>
      </c>
      <c r="BE26" s="294" t="s">
        <v>19</v>
      </c>
      <c r="BF26" s="448">
        <f>J31/( (J31) + (K31 * E26) )</f>
        <v>2.4813895781637719E-2</v>
      </c>
      <c r="BH26" s="778"/>
    </row>
    <row r="27" spans="1:93" x14ac:dyDescent="0.3">
      <c r="R27" s="793"/>
      <c r="S27" s="470" t="s">
        <v>5</v>
      </c>
      <c r="T27" s="347" t="s">
        <v>5</v>
      </c>
      <c r="U27" s="471" t="s">
        <v>5</v>
      </c>
      <c r="V27" s="366" t="s">
        <v>5</v>
      </c>
      <c r="W27" s="472" t="s">
        <v>5</v>
      </c>
      <c r="X27" s="473" t="s">
        <v>5</v>
      </c>
      <c r="Y27" s="652" t="s">
        <v>5</v>
      </c>
      <c r="Z27" s="475" t="s">
        <v>5</v>
      </c>
      <c r="AB27" s="37"/>
      <c r="AC27" s="834"/>
      <c r="AD27" s="653" t="s">
        <v>1</v>
      </c>
      <c r="AE27" s="654">
        <f xml:space="preserve"> ($D$36 * $G$12) + ($E$36 * $E$26)</f>
        <v>80.148875862068962</v>
      </c>
      <c r="AF27" s="644">
        <v>76</v>
      </c>
      <c r="AG27" s="655">
        <f>AF27 * $BF$27 / $D$12</f>
        <v>4.7411769149944841E-2</v>
      </c>
      <c r="AH27" s="644" t="s">
        <v>9</v>
      </c>
      <c r="AI27" s="644" t="s">
        <v>9</v>
      </c>
      <c r="AJ27" s="340"/>
      <c r="AK27" s="646" t="s">
        <v>9</v>
      </c>
      <c r="AL27" s="644" t="s">
        <v>9</v>
      </c>
      <c r="AM27" s="637"/>
      <c r="AN27" s="644" t="s">
        <v>9</v>
      </c>
      <c r="AO27" s="644" t="s">
        <v>9</v>
      </c>
      <c r="AP27" s="340"/>
      <c r="AQ27" s="646" t="s">
        <v>9</v>
      </c>
      <c r="AR27" s="644" t="s">
        <v>9</v>
      </c>
      <c r="AS27" s="637"/>
      <c r="AT27" s="644" t="s">
        <v>9</v>
      </c>
      <c r="AU27" s="644" t="s">
        <v>9</v>
      </c>
      <c r="AV27" s="340"/>
      <c r="AW27" s="654">
        <f xml:space="preserve"> ($D$36 * $G$12) + ($E$36 * $E$26)</f>
        <v>80.148875862068962</v>
      </c>
      <c r="AX27" s="644">
        <v>78</v>
      </c>
      <c r="AY27" s="655">
        <f>AX27 * $BF$27 / $D$12</f>
        <v>4.8659447285469712E-2</v>
      </c>
      <c r="AZ27" s="644" t="s">
        <v>9</v>
      </c>
      <c r="BA27" s="644" t="s">
        <v>9</v>
      </c>
      <c r="BB27" s="662"/>
      <c r="BD27" s="307" t="s">
        <v>1</v>
      </c>
      <c r="BE27" s="294" t="s">
        <v>10</v>
      </c>
      <c r="BF27" s="462">
        <f t="shared" ref="BF27:BF32" si="4">(K36 * G12 ) / ((K36 * G12) + (L36 * E$26))</f>
        <v>5.9938457630614478E-2</v>
      </c>
      <c r="BH27" s="778"/>
      <c r="BK27" s="21" t="s">
        <v>345</v>
      </c>
      <c r="BQ27" s="21" t="s">
        <v>346</v>
      </c>
      <c r="BU27" s="21" t="s">
        <v>347</v>
      </c>
      <c r="CA27" s="21" t="s">
        <v>424</v>
      </c>
      <c r="CI27" s="21" t="s">
        <v>348</v>
      </c>
      <c r="CO27" s="21" t="s">
        <v>344</v>
      </c>
    </row>
    <row r="28" spans="1:93" ht="15" thickBot="1" x14ac:dyDescent="0.35">
      <c r="R28" s="794"/>
      <c r="S28" s="518" t="s">
        <v>6</v>
      </c>
      <c r="T28" s="519" t="s">
        <v>6</v>
      </c>
      <c r="U28" s="520" t="s">
        <v>6</v>
      </c>
      <c r="V28" s="372" t="s">
        <v>6</v>
      </c>
      <c r="W28" s="521" t="s">
        <v>6</v>
      </c>
      <c r="X28" s="522" t="s">
        <v>6</v>
      </c>
      <c r="Y28" s="670" t="s">
        <v>6</v>
      </c>
      <c r="Z28" s="524" t="s">
        <v>6</v>
      </c>
      <c r="AB28" s="37"/>
      <c r="AC28" s="834"/>
      <c r="AD28" s="45" t="s">
        <v>2</v>
      </c>
      <c r="AE28" s="646" t="s">
        <v>9</v>
      </c>
      <c r="AF28" s="644" t="s">
        <v>9</v>
      </c>
      <c r="AG28" s="637"/>
      <c r="AH28" s="657">
        <f xml:space="preserve"> ($D$37 * $G$13) + ($E$37 * $E$26)</f>
        <v>80.630093750000015</v>
      </c>
      <c r="AI28" s="644">
        <v>73</v>
      </c>
      <c r="AJ28" s="658">
        <f>AI28 * $BF$28 / $D$13</f>
        <v>4.5268457845492709E-2</v>
      </c>
      <c r="AK28" s="646" t="s">
        <v>9</v>
      </c>
      <c r="AL28" s="644" t="s">
        <v>9</v>
      </c>
      <c r="AM28" s="637"/>
      <c r="AN28" s="644" t="s">
        <v>9</v>
      </c>
      <c r="AO28" s="644" t="s">
        <v>9</v>
      </c>
      <c r="AP28" s="340"/>
      <c r="AQ28" s="646" t="s">
        <v>9</v>
      </c>
      <c r="AR28" s="644" t="s">
        <v>9</v>
      </c>
      <c r="AS28" s="637"/>
      <c r="AT28" s="644" t="s">
        <v>9</v>
      </c>
      <c r="AU28" s="644" t="s">
        <v>9</v>
      </c>
      <c r="AV28" s="340"/>
      <c r="AW28" s="646" t="s">
        <v>9</v>
      </c>
      <c r="AX28" s="644" t="s">
        <v>9</v>
      </c>
      <c r="AY28" s="637"/>
      <c r="AZ28" s="644" t="s">
        <v>9</v>
      </c>
      <c r="BA28" s="644" t="s">
        <v>9</v>
      </c>
      <c r="BB28" s="662"/>
      <c r="BD28" s="307" t="s">
        <v>2</v>
      </c>
      <c r="BE28" s="294" t="s">
        <v>73</v>
      </c>
      <c r="BF28" s="462">
        <f t="shared" si="4"/>
        <v>8.4428774461148395E-2</v>
      </c>
      <c r="BH28" s="778"/>
      <c r="BK28" s="22" t="s">
        <v>170</v>
      </c>
      <c r="BQ28" s="22" t="s">
        <v>171</v>
      </c>
      <c r="BU28" s="22" t="s">
        <v>291</v>
      </c>
      <c r="CA28" s="22" t="s">
        <v>293</v>
      </c>
      <c r="CI28" s="22">
        <v>350.113</v>
      </c>
      <c r="CO28" s="22">
        <v>362.37279999999998</v>
      </c>
    </row>
    <row r="29" spans="1:93" x14ac:dyDescent="0.3">
      <c r="J29" s="550" t="s">
        <v>425</v>
      </c>
      <c r="K29" s="551"/>
      <c r="L29" s="550"/>
      <c r="M29" s="551"/>
      <c r="R29" s="792" t="s">
        <v>51</v>
      </c>
      <c r="S29" s="525" t="s">
        <v>224</v>
      </c>
      <c r="T29" s="526" t="s">
        <v>224</v>
      </c>
      <c r="U29" s="527" t="s">
        <v>224</v>
      </c>
      <c r="V29" s="528" t="s">
        <v>224</v>
      </c>
      <c r="W29" s="529" t="s">
        <v>224</v>
      </c>
      <c r="X29" s="530" t="s">
        <v>224</v>
      </c>
      <c r="Y29" s="671" t="s">
        <v>224</v>
      </c>
      <c r="Z29" s="532" t="s">
        <v>224</v>
      </c>
      <c r="AB29" s="37"/>
      <c r="AC29" s="834"/>
      <c r="AD29" s="45" t="s">
        <v>4</v>
      </c>
      <c r="AE29" s="646" t="s">
        <v>9</v>
      </c>
      <c r="AF29" s="644" t="s">
        <v>9</v>
      </c>
      <c r="AG29" s="637"/>
      <c r="AH29" s="644" t="s">
        <v>9</v>
      </c>
      <c r="AI29" s="644" t="s">
        <v>9</v>
      </c>
      <c r="AJ29" s="340"/>
      <c r="AK29" s="654">
        <f xml:space="preserve"> ($D$38 * $G$14) + ($E$38 * $E$26)</f>
        <v>81.071718260869559</v>
      </c>
      <c r="AL29" s="644">
        <v>76</v>
      </c>
      <c r="AM29" s="655">
        <f>AL29 * $BF$29 / $D$14</f>
        <v>4.6872079209823843E-2</v>
      </c>
      <c r="AN29" s="644" t="s">
        <v>9</v>
      </c>
      <c r="AO29" s="644" t="s">
        <v>9</v>
      </c>
      <c r="AP29" s="340"/>
      <c r="AQ29" s="646" t="s">
        <v>9</v>
      </c>
      <c r="AR29" s="644" t="s">
        <v>9</v>
      </c>
      <c r="AS29" s="637"/>
      <c r="AT29" s="644" t="s">
        <v>9</v>
      </c>
      <c r="AU29" s="644" t="s">
        <v>9</v>
      </c>
      <c r="AV29" s="340"/>
      <c r="AW29" s="646" t="s">
        <v>9</v>
      </c>
      <c r="AX29" s="644" t="s">
        <v>9</v>
      </c>
      <c r="AY29" s="637"/>
      <c r="AZ29" s="657">
        <f xml:space="preserve"> ($D$38 * $G$14) + ($E$38 * $E$26)</f>
        <v>81.071718260869559</v>
      </c>
      <c r="BA29" s="644">
        <v>81</v>
      </c>
      <c r="BB29" s="659">
        <f>BA29 * $BF$29 / $D$14</f>
        <v>4.995576863152279E-2</v>
      </c>
      <c r="BD29" s="307" t="s">
        <v>4</v>
      </c>
      <c r="BE29" s="294" t="s">
        <v>227</v>
      </c>
      <c r="BF29" s="462">
        <f t="shared" si="4"/>
        <v>9.6322122776188013E-2</v>
      </c>
      <c r="BH29" s="778"/>
      <c r="BK29" s="22">
        <f>323.11*0.05</f>
        <v>16.1555</v>
      </c>
      <c r="BQ29" s="22">
        <f>362.11*0.05</f>
        <v>18.105500000000003</v>
      </c>
      <c r="BU29" s="22" t="s">
        <v>296</v>
      </c>
      <c r="CA29" s="22" t="s">
        <v>298</v>
      </c>
    </row>
    <row r="30" spans="1:93" x14ac:dyDescent="0.3">
      <c r="A30" s="22" t="s">
        <v>350</v>
      </c>
      <c r="C30" s="22" t="s">
        <v>351</v>
      </c>
      <c r="E30" s="22" t="s">
        <v>352</v>
      </c>
      <c r="G30" s="22" t="s">
        <v>426</v>
      </c>
      <c r="H30" s="22" t="s">
        <v>427</v>
      </c>
      <c r="J30" s="552" t="s">
        <v>428</v>
      </c>
      <c r="K30" s="553" t="s">
        <v>429</v>
      </c>
      <c r="L30" s="552" t="s">
        <v>430</v>
      </c>
      <c r="M30" s="553" t="s">
        <v>431</v>
      </c>
      <c r="R30" s="793"/>
      <c r="S30" s="533" t="s">
        <v>1</v>
      </c>
      <c r="T30" s="534" t="s">
        <v>2</v>
      </c>
      <c r="U30" s="535" t="s">
        <v>4</v>
      </c>
      <c r="V30" s="536" t="s">
        <v>12</v>
      </c>
      <c r="W30" s="537" t="s">
        <v>36</v>
      </c>
      <c r="X30" s="538" t="s">
        <v>37</v>
      </c>
      <c r="Y30" s="672" t="s">
        <v>2</v>
      </c>
      <c r="Z30" s="540" t="s">
        <v>12</v>
      </c>
      <c r="AB30" s="37"/>
      <c r="AC30" s="834"/>
      <c r="AD30" s="45" t="s">
        <v>12</v>
      </c>
      <c r="AE30" s="646" t="s">
        <v>9</v>
      </c>
      <c r="AF30" s="644" t="s">
        <v>9</v>
      </c>
      <c r="AG30" s="637"/>
      <c r="AH30" s="644" t="s">
        <v>9</v>
      </c>
      <c r="AI30" s="644" t="s">
        <v>9</v>
      </c>
      <c r="AJ30" s="340"/>
      <c r="AK30" s="646" t="s">
        <v>9</v>
      </c>
      <c r="AL30" s="644" t="s">
        <v>9</v>
      </c>
      <c r="AM30" s="637"/>
      <c r="AN30" s="657">
        <f xml:space="preserve"> ($D$39 * $G$15) + ($E$39 * $E$26)</f>
        <v>81.395949074074082</v>
      </c>
      <c r="AO30" s="644">
        <v>82</v>
      </c>
      <c r="AP30" s="658">
        <f>AO30 * $BF$30 / $D$15</f>
        <v>5.0371057118196526E-2</v>
      </c>
      <c r="AQ30" s="654" t="s">
        <v>9</v>
      </c>
      <c r="AR30" s="644" t="s">
        <v>9</v>
      </c>
      <c r="AS30" s="637"/>
      <c r="AT30" s="644" t="s">
        <v>9</v>
      </c>
      <c r="AU30" s="644" t="s">
        <v>9</v>
      </c>
      <c r="AV30" s="340"/>
      <c r="AW30" s="646" t="s">
        <v>9</v>
      </c>
      <c r="AX30" s="644" t="s">
        <v>9</v>
      </c>
      <c r="AY30" s="637"/>
      <c r="AZ30" s="644" t="s">
        <v>9</v>
      </c>
      <c r="BA30" s="644" t="s">
        <v>9</v>
      </c>
      <c r="BB30" s="662"/>
      <c r="BD30" s="307" t="s">
        <v>12</v>
      </c>
      <c r="BE30" s="294" t="s">
        <v>13</v>
      </c>
      <c r="BF30" s="462">
        <f t="shared" si="4"/>
        <v>8.728935629872836E-2</v>
      </c>
      <c r="BU30" s="22" t="s">
        <v>300</v>
      </c>
      <c r="CA30" s="22" t="s">
        <v>302</v>
      </c>
    </row>
    <row r="31" spans="1:93" x14ac:dyDescent="0.3">
      <c r="A31" s="22">
        <f>1</f>
        <v>1</v>
      </c>
      <c r="B31" s="22" t="s">
        <v>27</v>
      </c>
      <c r="C31" s="541">
        <v>50</v>
      </c>
      <c r="D31" s="22" t="s">
        <v>26</v>
      </c>
      <c r="E31" s="22">
        <f>A31/C31</f>
        <v>0.02</v>
      </c>
      <c r="F31" s="22" t="s">
        <v>355</v>
      </c>
      <c r="G31" s="22">
        <f>A31*48</f>
        <v>48</v>
      </c>
      <c r="H31" s="22">
        <f>C31*48</f>
        <v>2400</v>
      </c>
      <c r="J31" s="673">
        <f>G31*1.1</f>
        <v>52.800000000000004</v>
      </c>
      <c r="K31" s="674">
        <f>H31*1.1</f>
        <v>2640</v>
      </c>
      <c r="L31" s="673">
        <v>53.9</v>
      </c>
      <c r="M31" s="674">
        <f>L31 * (K31 / J31)</f>
        <v>2694.9999999999995</v>
      </c>
      <c r="R31" s="793"/>
      <c r="S31" s="533" t="s">
        <v>7</v>
      </c>
      <c r="T31" s="534" t="s">
        <v>7</v>
      </c>
      <c r="U31" s="535" t="s">
        <v>7</v>
      </c>
      <c r="V31" s="536" t="s">
        <v>7</v>
      </c>
      <c r="W31" s="537" t="s">
        <v>7</v>
      </c>
      <c r="X31" s="538" t="s">
        <v>7</v>
      </c>
      <c r="Y31" s="672" t="s">
        <v>75</v>
      </c>
      <c r="Z31" s="540" t="s">
        <v>75</v>
      </c>
      <c r="AB31" s="37"/>
      <c r="AC31" s="834"/>
      <c r="AD31" s="45" t="s">
        <v>36</v>
      </c>
      <c r="AE31" s="646" t="s">
        <v>9</v>
      </c>
      <c r="AF31" s="644" t="s">
        <v>9</v>
      </c>
      <c r="AG31" s="637"/>
      <c r="AH31" s="644" t="s">
        <v>9</v>
      </c>
      <c r="AI31" s="644" t="s">
        <v>9</v>
      </c>
      <c r="AJ31" s="340"/>
      <c r="AK31" s="646" t="s">
        <v>9</v>
      </c>
      <c r="AL31" s="644" t="s">
        <v>9</v>
      </c>
      <c r="AM31" s="637"/>
      <c r="AN31" s="644" t="s">
        <v>9</v>
      </c>
      <c r="AO31" s="644" t="s">
        <v>9</v>
      </c>
      <c r="AP31" s="340"/>
      <c r="AQ31" s="654">
        <f xml:space="preserve"> ($D$40 * $G$16) + ($E$40 * $E$26)</f>
        <v>80.636676923076934</v>
      </c>
      <c r="AR31" s="644">
        <v>81</v>
      </c>
      <c r="AS31" s="655">
        <f>AR31 * $BF$31 / $D$16</f>
        <v>5.0225284008956414E-2</v>
      </c>
      <c r="AT31" s="657" t="s">
        <v>9</v>
      </c>
      <c r="AU31" s="644" t="s">
        <v>9</v>
      </c>
      <c r="AV31" s="340"/>
      <c r="AW31" s="646" t="s">
        <v>9</v>
      </c>
      <c r="AX31" s="644" t="s">
        <v>9</v>
      </c>
      <c r="AY31" s="637"/>
      <c r="AZ31" s="644" t="s">
        <v>9</v>
      </c>
      <c r="BA31" s="644" t="s">
        <v>9</v>
      </c>
      <c r="BB31" s="662"/>
      <c r="BD31" s="307" t="s">
        <v>36</v>
      </c>
      <c r="BE31" s="294" t="s">
        <v>24</v>
      </c>
      <c r="BF31" s="462">
        <f t="shared" si="4"/>
        <v>7.6956296275945441E-2</v>
      </c>
      <c r="BU31" s="22" t="s">
        <v>304</v>
      </c>
      <c r="CA31" s="22" t="s">
        <v>306</v>
      </c>
    </row>
    <row r="32" spans="1:93" x14ac:dyDescent="0.3">
      <c r="I32" s="22">
        <f>H31/1000</f>
        <v>2.4</v>
      </c>
      <c r="R32" s="793"/>
      <c r="S32" s="542" t="s">
        <v>3</v>
      </c>
      <c r="T32" s="543" t="s">
        <v>3</v>
      </c>
      <c r="U32" s="544" t="s">
        <v>3</v>
      </c>
      <c r="V32" s="545" t="s">
        <v>3</v>
      </c>
      <c r="W32" s="546" t="s">
        <v>3</v>
      </c>
      <c r="X32" s="547" t="s">
        <v>3</v>
      </c>
      <c r="Y32" s="675" t="s">
        <v>3</v>
      </c>
      <c r="Z32" s="549" t="s">
        <v>3</v>
      </c>
      <c r="AB32" s="37"/>
      <c r="AC32" s="834"/>
      <c r="AD32" s="45" t="s">
        <v>37</v>
      </c>
      <c r="AE32" s="646" t="s">
        <v>9</v>
      </c>
      <c r="AF32" s="644" t="s">
        <v>9</v>
      </c>
      <c r="AG32" s="637"/>
      <c r="AH32" s="644" t="s">
        <v>9</v>
      </c>
      <c r="AI32" s="644" t="s">
        <v>9</v>
      </c>
      <c r="AJ32" s="340"/>
      <c r="AK32" s="646" t="s">
        <v>9</v>
      </c>
      <c r="AL32" s="644" t="s">
        <v>9</v>
      </c>
      <c r="AM32" s="637"/>
      <c r="AN32" s="657" t="s">
        <v>9</v>
      </c>
      <c r="AO32" s="644" t="s">
        <v>9</v>
      </c>
      <c r="AP32" s="340"/>
      <c r="AQ32" s="646" t="s">
        <v>9</v>
      </c>
      <c r="AR32" s="644" t="s">
        <v>9</v>
      </c>
      <c r="AS32" s="637"/>
      <c r="AT32" s="657">
        <f xml:space="preserve"> ($D$41 * $G$17) + ($E$41 * $E$26)</f>
        <v>80.625824396782846</v>
      </c>
      <c r="AU32" s="644">
        <v>80</v>
      </c>
      <c r="AV32" s="658">
        <f>AU32 * $BF$32 / $D$17</f>
        <v>4.9611895815351324E-2</v>
      </c>
      <c r="AW32" s="646" t="s">
        <v>9</v>
      </c>
      <c r="AX32" s="644" t="s">
        <v>9</v>
      </c>
      <c r="AY32" s="637"/>
      <c r="AZ32" s="644" t="s">
        <v>9</v>
      </c>
      <c r="BA32" s="644" t="s">
        <v>9</v>
      </c>
      <c r="BB32" s="662"/>
      <c r="BD32" s="307" t="s">
        <v>37</v>
      </c>
      <c r="BE32" s="294" t="s">
        <v>25</v>
      </c>
      <c r="BF32" s="462">
        <f t="shared" si="4"/>
        <v>8.4433245190751044E-2</v>
      </c>
    </row>
    <row r="33" spans="1:95" x14ac:dyDescent="0.3">
      <c r="R33" s="793"/>
      <c r="S33" s="542" t="s">
        <v>5</v>
      </c>
      <c r="T33" s="543" t="s">
        <v>5</v>
      </c>
      <c r="U33" s="544" t="s">
        <v>5</v>
      </c>
      <c r="V33" s="545" t="s">
        <v>5</v>
      </c>
      <c r="W33" s="546" t="s">
        <v>5</v>
      </c>
      <c r="X33" s="547" t="s">
        <v>5</v>
      </c>
      <c r="Y33" s="675" t="s">
        <v>5</v>
      </c>
      <c r="Z33" s="549" t="s">
        <v>5</v>
      </c>
      <c r="AB33" s="37"/>
      <c r="AC33" s="834"/>
      <c r="AD33" s="653" t="s">
        <v>34</v>
      </c>
      <c r="AE33" s="654">
        <f xml:space="preserve"> ($D$47 * $G$18) + ($E$47 * $E$26)</f>
        <v>80.006482673267328</v>
      </c>
      <c r="AF33" s="644">
        <v>74</v>
      </c>
      <c r="AG33" s="655">
        <f>AF33 * $BF$33 / $D$18</f>
        <v>6.9369378762284079E-2</v>
      </c>
      <c r="AH33" s="657">
        <f xml:space="preserve"> ($D$47 * $G$18) + ($E$47 * $E$26)</f>
        <v>80.006482673267328</v>
      </c>
      <c r="AI33" s="644">
        <v>30</v>
      </c>
      <c r="AJ33" s="658">
        <f>AI33 * $BF$33 / $D$18</f>
        <v>2.8122721119844898E-2</v>
      </c>
      <c r="AK33" s="654">
        <f xml:space="preserve"> ($D$47 * $G$18) + ($E$47 * $E$26)</f>
        <v>80.006482673267328</v>
      </c>
      <c r="AL33" s="644">
        <v>76</v>
      </c>
      <c r="AM33" s="655">
        <f>AL33 * $BF$33 / $D$18</f>
        <v>7.1244226836940414E-2</v>
      </c>
      <c r="AN33" s="657">
        <f xml:space="preserve"> ($D$47 * $G$18) + ($E$47 * $E$26)</f>
        <v>80.006482673267328</v>
      </c>
      <c r="AO33" s="644">
        <v>75</v>
      </c>
      <c r="AP33" s="658">
        <f>AO33 * $BF$33 / $D$18</f>
        <v>7.0306802799612253E-2</v>
      </c>
      <c r="AQ33" s="654">
        <f xml:space="preserve"> ($D$47 * $G$18) + ($E$47 * $E$26)</f>
        <v>80.006482673267328</v>
      </c>
      <c r="AR33" s="644">
        <v>76</v>
      </c>
      <c r="AS33" s="655">
        <f>AR33 * $BF$33 / $D$18</f>
        <v>7.1244226836940414E-2</v>
      </c>
      <c r="AT33" s="657">
        <f xml:space="preserve"> ($D$47 * $G$18) + ($E$47 * $E$26)</f>
        <v>80.006482673267328</v>
      </c>
      <c r="AU33" s="644">
        <v>75</v>
      </c>
      <c r="AV33" s="658">
        <f>AU33 * $BF$33 / $D$18</f>
        <v>7.0306802799612253E-2</v>
      </c>
      <c r="AW33" s="646" t="s">
        <v>9</v>
      </c>
      <c r="AX33" s="644" t="s">
        <v>9</v>
      </c>
      <c r="AY33" s="637"/>
      <c r="AZ33" s="644" t="s">
        <v>9</v>
      </c>
      <c r="BA33" s="644" t="s">
        <v>9</v>
      </c>
      <c r="BB33" s="662"/>
      <c r="BD33" s="307" t="s">
        <v>34</v>
      </c>
      <c r="BE33" s="294" t="s">
        <v>35</v>
      </c>
      <c r="BF33" s="462">
        <f>(K47 * G18 ) / ((K47 * G18) + (L47 * E$26))</f>
        <v>0.12991759733331015</v>
      </c>
    </row>
    <row r="34" spans="1:95" ht="15" customHeight="1" thickBot="1" x14ac:dyDescent="0.35">
      <c r="A34" s="22" t="s">
        <v>357</v>
      </c>
      <c r="H34" s="22" t="s">
        <v>22</v>
      </c>
      <c r="K34" s="550" t="s">
        <v>432</v>
      </c>
      <c r="L34" s="434"/>
      <c r="M34" s="551"/>
      <c r="R34" s="794"/>
      <c r="S34" s="542" t="s">
        <v>6</v>
      </c>
      <c r="T34" s="543" t="s">
        <v>6</v>
      </c>
      <c r="U34" s="544" t="s">
        <v>6</v>
      </c>
      <c r="V34" s="545" t="s">
        <v>6</v>
      </c>
      <c r="W34" s="546" t="s">
        <v>6</v>
      </c>
      <c r="X34" s="547" t="s">
        <v>6</v>
      </c>
      <c r="Y34" s="675" t="s">
        <v>6</v>
      </c>
      <c r="Z34" s="549" t="s">
        <v>6</v>
      </c>
      <c r="AB34" s="37"/>
      <c r="AC34" s="834"/>
      <c r="AD34" s="45" t="s">
        <v>7</v>
      </c>
      <c r="AE34" s="646" t="s">
        <v>9</v>
      </c>
      <c r="AF34" s="644" t="s">
        <v>9</v>
      </c>
      <c r="AG34" s="637"/>
      <c r="AH34" s="644" t="s">
        <v>9</v>
      </c>
      <c r="AI34" s="644" t="s">
        <v>9</v>
      </c>
      <c r="AJ34" s="340"/>
      <c r="AK34" s="646" t="s">
        <v>9</v>
      </c>
      <c r="AL34" s="644" t="s">
        <v>9</v>
      </c>
      <c r="AM34" s="637"/>
      <c r="AN34" s="644" t="s">
        <v>9</v>
      </c>
      <c r="AO34" s="644" t="s">
        <v>9</v>
      </c>
      <c r="AP34" s="340"/>
      <c r="AQ34" s="646" t="s">
        <v>9</v>
      </c>
      <c r="AR34" s="644" t="s">
        <v>9</v>
      </c>
      <c r="AS34" s="655"/>
      <c r="AT34" s="644" t="s">
        <v>9</v>
      </c>
      <c r="AU34" s="644" t="s">
        <v>9</v>
      </c>
      <c r="AV34" s="340"/>
      <c r="AW34" s="646" t="s">
        <v>9</v>
      </c>
      <c r="AX34" s="644" t="s">
        <v>9</v>
      </c>
      <c r="AY34" s="637"/>
      <c r="AZ34" s="644" t="s">
        <v>9</v>
      </c>
      <c r="BA34" s="644" t="s">
        <v>9</v>
      </c>
      <c r="BB34" s="662"/>
      <c r="BD34" s="307" t="s">
        <v>7</v>
      </c>
      <c r="BE34" s="294" t="s">
        <v>11</v>
      </c>
      <c r="BF34" s="462">
        <f>(K48 * G19 ) / ((K48 * G19) + (L48 * E$26))</f>
        <v>9.669955644960701E-2</v>
      </c>
    </row>
    <row r="35" spans="1:95" x14ac:dyDescent="0.3">
      <c r="C35" s="22" t="s">
        <v>214</v>
      </c>
      <c r="D35" s="22" t="s">
        <v>360</v>
      </c>
      <c r="E35" s="22" t="s">
        <v>361</v>
      </c>
      <c r="F35" s="22" t="s">
        <v>362</v>
      </c>
      <c r="G35" s="22" t="s">
        <v>363</v>
      </c>
      <c r="H35" s="22" t="s">
        <v>364</v>
      </c>
      <c r="I35" s="22" t="s">
        <v>365</v>
      </c>
      <c r="J35" s="22" t="s">
        <v>366</v>
      </c>
      <c r="K35" s="552" t="s">
        <v>367</v>
      </c>
      <c r="L35" s="22" t="s">
        <v>365</v>
      </c>
      <c r="M35" s="553" t="s">
        <v>366</v>
      </c>
      <c r="R35" s="793" t="s">
        <v>52</v>
      </c>
      <c r="S35" s="554" t="s">
        <v>224</v>
      </c>
      <c r="T35" s="555" t="s">
        <v>224</v>
      </c>
      <c r="U35" s="556" t="s">
        <v>224</v>
      </c>
      <c r="V35" s="557" t="s">
        <v>224</v>
      </c>
      <c r="W35" s="558" t="s">
        <v>224</v>
      </c>
      <c r="X35" s="559" t="s">
        <v>224</v>
      </c>
      <c r="Y35" s="676" t="s">
        <v>224</v>
      </c>
      <c r="Z35" s="561" t="s">
        <v>224</v>
      </c>
      <c r="AB35" s="37"/>
      <c r="AC35" s="834"/>
      <c r="AD35" s="661" t="s">
        <v>75</v>
      </c>
      <c r="AE35" s="646" t="s">
        <v>9</v>
      </c>
      <c r="AF35" s="644" t="s">
        <v>9</v>
      </c>
      <c r="AG35" s="637"/>
      <c r="AH35" s="644" t="s">
        <v>9</v>
      </c>
      <c r="AI35" s="644" t="s">
        <v>9</v>
      </c>
      <c r="AJ35" s="340"/>
      <c r="AK35" s="646" t="s">
        <v>9</v>
      </c>
      <c r="AL35" s="644" t="s">
        <v>9</v>
      </c>
      <c r="AM35" s="637"/>
      <c r="AN35" s="644" t="s">
        <v>9</v>
      </c>
      <c r="AO35" s="644" t="s">
        <v>9</v>
      </c>
      <c r="AP35" s="340"/>
      <c r="AQ35" s="646" t="s">
        <v>9</v>
      </c>
      <c r="AR35" s="644" t="s">
        <v>9</v>
      </c>
      <c r="AS35" s="637"/>
      <c r="AT35" s="644" t="s">
        <v>9</v>
      </c>
      <c r="AU35" s="644" t="s">
        <v>9</v>
      </c>
      <c r="AV35" s="340"/>
      <c r="AW35" s="654">
        <f xml:space="preserve"> ($D$49 * $G$20) + ($E$49 * $E$26)</f>
        <v>80.753508750000009</v>
      </c>
      <c r="AX35" s="644">
        <v>78</v>
      </c>
      <c r="AY35" s="655">
        <f>AX35 * $BF$35 / $D$20</f>
        <v>7.244267265352726E-2</v>
      </c>
      <c r="AZ35" s="657">
        <f xml:space="preserve"> ($D$49 * $G$20) + ($E$49 * $E$26)</f>
        <v>80.753508750000009</v>
      </c>
      <c r="BA35" s="644">
        <v>80</v>
      </c>
      <c r="BB35" s="659">
        <f>BA35 * $BF$35 / $D$20</f>
        <v>7.4300177080540777E-2</v>
      </c>
      <c r="BD35" s="307" t="s">
        <v>75</v>
      </c>
      <c r="BE35" s="294" t="s">
        <v>340</v>
      </c>
      <c r="BF35" s="462">
        <f>(K49 * G20 ) / ((K49 * G20) + (L49 * E$26))</f>
        <v>0.12461532824726949</v>
      </c>
    </row>
    <row r="36" spans="1:95" x14ac:dyDescent="0.3">
      <c r="A36" s="22" t="s">
        <v>1</v>
      </c>
      <c r="B36" s="22" t="s">
        <v>10</v>
      </c>
      <c r="C36" s="22">
        <f>D12*E12</f>
        <v>4.8040000000000003</v>
      </c>
      <c r="D36" s="338">
        <f>C36/G12</f>
        <v>4.1413793103448278</v>
      </c>
      <c r="E36" s="338">
        <f>F36-D36</f>
        <v>95.858620689655169</v>
      </c>
      <c r="F36" s="503">
        <v>100</v>
      </c>
      <c r="G36" s="22">
        <v>9</v>
      </c>
      <c r="H36" s="22">
        <f>D36*G36</f>
        <v>37.272413793103453</v>
      </c>
      <c r="I36" s="22">
        <f>E36*G36</f>
        <v>862.72758620689649</v>
      </c>
      <c r="J36" s="22">
        <f>H36+I36</f>
        <v>900</v>
      </c>
      <c r="K36" s="570">
        <f>H36*1.25</f>
        <v>46.590517241379317</v>
      </c>
      <c r="L36" s="338">
        <f t="shared" ref="L36:M41" si="5">I36*1.25</f>
        <v>1078.4094827586207</v>
      </c>
      <c r="M36" s="571">
        <f t="shared" si="5"/>
        <v>1125</v>
      </c>
      <c r="R36" s="793"/>
      <c r="S36" s="533" t="s">
        <v>1</v>
      </c>
      <c r="T36" s="534" t="s">
        <v>2</v>
      </c>
      <c r="U36" s="535" t="s">
        <v>4</v>
      </c>
      <c r="V36" s="536" t="s">
        <v>12</v>
      </c>
      <c r="W36" s="537" t="s">
        <v>36</v>
      </c>
      <c r="X36" s="538" t="s">
        <v>37</v>
      </c>
      <c r="Y36" s="672" t="s">
        <v>2</v>
      </c>
      <c r="Z36" s="540" t="s">
        <v>12</v>
      </c>
      <c r="AB36" s="37"/>
      <c r="AC36" s="834"/>
      <c r="AD36" s="661" t="s">
        <v>3</v>
      </c>
      <c r="AE36" s="654">
        <f xml:space="preserve"> $E$64 * $E$26</f>
        <v>683.82</v>
      </c>
      <c r="AF36" s="644">
        <v>680</v>
      </c>
      <c r="AG36" s="637"/>
      <c r="AH36" s="657">
        <f xml:space="preserve"> $E$64 * $E$26</f>
        <v>683.82</v>
      </c>
      <c r="AI36" s="644">
        <v>679</v>
      </c>
      <c r="AJ36" s="340"/>
      <c r="AK36" s="654">
        <f xml:space="preserve"> $E$64 * $E$26</f>
        <v>683.82</v>
      </c>
      <c r="AL36" s="644">
        <v>679</v>
      </c>
      <c r="AM36" s="637"/>
      <c r="AN36" s="657">
        <f xml:space="preserve"> $E$64 * $E$26</f>
        <v>683.82</v>
      </c>
      <c r="AO36" s="644">
        <v>379</v>
      </c>
      <c r="AP36" s="340"/>
      <c r="AQ36" s="654">
        <f xml:space="preserve"> $E$64 * $E$26</f>
        <v>683.82</v>
      </c>
      <c r="AR36" s="644">
        <v>679</v>
      </c>
      <c r="AS36" s="637"/>
      <c r="AT36" s="657">
        <f xml:space="preserve"> $E$64 * $E$26</f>
        <v>683.82</v>
      </c>
      <c r="AU36" s="644">
        <v>679</v>
      </c>
      <c r="AV36" s="340"/>
      <c r="AW36" s="654">
        <f xml:space="preserve"> $E$64 * $E$26</f>
        <v>683.82</v>
      </c>
      <c r="AX36" s="644">
        <v>681</v>
      </c>
      <c r="AY36" s="637"/>
      <c r="AZ36" s="657">
        <f xml:space="preserve"> $E$64 * $E$26</f>
        <v>683.82</v>
      </c>
      <c r="BA36" s="644">
        <v>679</v>
      </c>
      <c r="BB36" s="662"/>
      <c r="BD36" s="308" t="s">
        <v>238</v>
      </c>
      <c r="BE36" s="309" t="s">
        <v>342</v>
      </c>
      <c r="BF36" s="502">
        <f>(I55 * G21 ) / ((I55 * G21) + (J55 * E$26))</f>
        <v>0.24074459641332979</v>
      </c>
    </row>
    <row r="37" spans="1:95" x14ac:dyDescent="0.3">
      <c r="A37" s="22" t="s">
        <v>2</v>
      </c>
      <c r="B37" s="22" t="s">
        <v>73</v>
      </c>
      <c r="C37" s="22">
        <f t="shared" ref="C37:C41" si="6">D13*E13</f>
        <v>6.807500000000001</v>
      </c>
      <c r="D37" s="338">
        <f t="shared" ref="D37:D41" si="7">C37/G13</f>
        <v>6.078125</v>
      </c>
      <c r="E37" s="338">
        <f t="shared" ref="E37:E41" si="8">F37-D37</f>
        <v>93.921875</v>
      </c>
      <c r="F37" s="503">
        <v>100</v>
      </c>
      <c r="G37" s="22">
        <v>9</v>
      </c>
      <c r="H37" s="22">
        <f t="shared" ref="H37:H41" si="9">D37*G37</f>
        <v>54.703125</v>
      </c>
      <c r="I37" s="22">
        <f t="shared" ref="I37:I41" si="10">E37*G37</f>
        <v>845.296875</v>
      </c>
      <c r="J37" s="22">
        <f t="shared" ref="J37:J41" si="11">H37+I37</f>
        <v>900</v>
      </c>
      <c r="K37" s="570">
        <f t="shared" ref="K37:K41" si="12">H37*1.25</f>
        <v>68.37890625</v>
      </c>
      <c r="L37" s="338">
        <f t="shared" si="5"/>
        <v>1056.62109375</v>
      </c>
      <c r="M37" s="571">
        <f t="shared" si="5"/>
        <v>1125</v>
      </c>
      <c r="R37" s="793"/>
      <c r="S37" s="533" t="s">
        <v>7</v>
      </c>
      <c r="T37" s="534" t="s">
        <v>7</v>
      </c>
      <c r="U37" s="535" t="s">
        <v>7</v>
      </c>
      <c r="V37" s="536" t="s">
        <v>7</v>
      </c>
      <c r="W37" s="537" t="s">
        <v>7</v>
      </c>
      <c r="X37" s="538" t="s">
        <v>7</v>
      </c>
      <c r="Y37" s="672" t="s">
        <v>75</v>
      </c>
      <c r="Z37" s="540" t="s">
        <v>75</v>
      </c>
      <c r="AB37" s="37"/>
      <c r="AC37" s="834"/>
      <c r="AD37" s="305" t="s">
        <v>238</v>
      </c>
      <c r="AE37" s="654">
        <f xml:space="preserve"> ( $E$55 * $G$21 ) + ( $F$55 * $E$26 )</f>
        <v>69.546400000000006</v>
      </c>
      <c r="AF37" s="644">
        <v>69</v>
      </c>
      <c r="AG37" s="655">
        <f>AF37 * $BF$36 / $D$21</f>
        <v>8.1837506909645058E-2</v>
      </c>
      <c r="AH37" s="657">
        <f xml:space="preserve"> ( $E$55 * $G$21 ) + ( $F$55 * $E$26 )</f>
        <v>69.546400000000006</v>
      </c>
      <c r="AI37" s="644">
        <v>71</v>
      </c>
      <c r="AJ37" s="658">
        <f>AI37 * $BF$36 / $D$21</f>
        <v>8.4209608559199997E-2</v>
      </c>
      <c r="AK37" s="654">
        <f xml:space="preserve"> ( $E$55 * $G$21 ) + ( $F$55 * $E$26 )</f>
        <v>69.546400000000006</v>
      </c>
      <c r="AL37" s="644">
        <v>70</v>
      </c>
      <c r="AM37" s="655">
        <f>AL37 * $BF$36 / $D$21</f>
        <v>8.3023557734422535E-2</v>
      </c>
      <c r="AN37" s="657">
        <f xml:space="preserve"> ( $E$55 * $G$21 ) + ( $F$55 * $E$26 )</f>
        <v>69.546400000000006</v>
      </c>
      <c r="AO37" s="644">
        <v>74</v>
      </c>
      <c r="AP37" s="658">
        <f>AO37 * $BF$36 / $D$21</f>
        <v>8.7767761033532399E-2</v>
      </c>
      <c r="AQ37" s="654">
        <f xml:space="preserve"> ( $E$55 * $G$21 ) + ( $F$55 * $E$26 )</f>
        <v>69.546400000000006</v>
      </c>
      <c r="AR37" s="644">
        <v>72</v>
      </c>
      <c r="AS37" s="655">
        <f>AR37 * $BF$36 / $D$21</f>
        <v>8.539565938397746E-2</v>
      </c>
      <c r="AT37" s="657">
        <f xml:space="preserve"> ( $E$55 * $G$21 ) + ( $F$55 * $E$26 )</f>
        <v>69.546400000000006</v>
      </c>
      <c r="AU37" s="644">
        <v>65</v>
      </c>
      <c r="AV37" s="658">
        <f>AU37 * $BF$36 / $D$21</f>
        <v>7.7093303610535222E-2</v>
      </c>
      <c r="AW37" s="654">
        <f xml:space="preserve"> ( $E$55 * $G$21 ) + ( $F$55 * $E$26 )</f>
        <v>69.546400000000006</v>
      </c>
      <c r="AX37" s="644">
        <v>75</v>
      </c>
      <c r="AY37" s="655">
        <f>AX37 * $BF$36 / $D$21</f>
        <v>8.8953811858309861E-2</v>
      </c>
      <c r="AZ37" s="657">
        <f xml:space="preserve"> ( $E$55 * $G$21 ) + ( $F$55 * $E$26 )</f>
        <v>69.546400000000006</v>
      </c>
      <c r="BA37" s="644">
        <v>56</v>
      </c>
      <c r="BB37" s="659">
        <f>BA37 * $BF$36 / $D$21</f>
        <v>6.641884618753803E-2</v>
      </c>
    </row>
    <row r="38" spans="1:95" x14ac:dyDescent="0.3">
      <c r="A38" s="22" t="s">
        <v>4</v>
      </c>
      <c r="B38" s="22" t="s">
        <v>227</v>
      </c>
      <c r="C38" s="22">
        <f t="shared" si="6"/>
        <v>7.8090000000000011</v>
      </c>
      <c r="D38" s="338">
        <f t="shared" si="7"/>
        <v>6.7904347826086973</v>
      </c>
      <c r="E38" s="338">
        <f t="shared" si="8"/>
        <v>93.209565217391301</v>
      </c>
      <c r="F38" s="503">
        <v>100</v>
      </c>
      <c r="G38" s="22">
        <v>9</v>
      </c>
      <c r="H38" s="22">
        <f t="shared" si="9"/>
        <v>61.113913043478277</v>
      </c>
      <c r="I38" s="22">
        <f t="shared" si="10"/>
        <v>838.88608695652169</v>
      </c>
      <c r="J38" s="22">
        <f t="shared" si="11"/>
        <v>900</v>
      </c>
      <c r="K38" s="570">
        <f t="shared" si="12"/>
        <v>76.392391304347854</v>
      </c>
      <c r="L38" s="338">
        <f t="shared" si="5"/>
        <v>1048.6076086956521</v>
      </c>
      <c r="M38" s="571">
        <f t="shared" si="5"/>
        <v>1125</v>
      </c>
      <c r="R38" s="793"/>
      <c r="S38" s="542" t="s">
        <v>3</v>
      </c>
      <c r="T38" s="543" t="s">
        <v>3</v>
      </c>
      <c r="U38" s="544" t="s">
        <v>3</v>
      </c>
      <c r="V38" s="545" t="s">
        <v>3</v>
      </c>
      <c r="W38" s="546" t="s">
        <v>3</v>
      </c>
      <c r="X38" s="547" t="s">
        <v>3</v>
      </c>
      <c r="Y38" s="675" t="s">
        <v>3</v>
      </c>
      <c r="Z38" s="549" t="s">
        <v>3</v>
      </c>
      <c r="AB38" s="37"/>
      <c r="AC38" s="834"/>
      <c r="AD38" s="305" t="s">
        <v>6</v>
      </c>
      <c r="AE38" s="654">
        <f>$F$22</f>
        <v>25</v>
      </c>
      <c r="AF38" s="644">
        <v>24.8</v>
      </c>
      <c r="AG38" s="666">
        <f>AF38 / $D$22</f>
        <v>7.6115880289363114E-2</v>
      </c>
      <c r="AH38" s="657">
        <f>$F$22</f>
        <v>25</v>
      </c>
      <c r="AI38" s="644">
        <v>24.9</v>
      </c>
      <c r="AJ38" s="666">
        <f>AI38 / $D$22</f>
        <v>7.6422799161497634E-2</v>
      </c>
      <c r="AK38" s="654">
        <f>$F$22</f>
        <v>25</v>
      </c>
      <c r="AL38" s="644">
        <v>24.9</v>
      </c>
      <c r="AM38" s="666">
        <f>AL38 / $D$22</f>
        <v>7.6422799161497634E-2</v>
      </c>
      <c r="AN38" s="657">
        <f>$F$22</f>
        <v>25</v>
      </c>
      <c r="AO38" s="644">
        <v>24.5</v>
      </c>
      <c r="AP38" s="666">
        <f>AO38 / $D$22</f>
        <v>7.5195123672959524E-2</v>
      </c>
      <c r="AQ38" s="654">
        <f>$F$22</f>
        <v>25</v>
      </c>
      <c r="AR38" s="644">
        <v>24.5</v>
      </c>
      <c r="AS38" s="666">
        <f>AR38 / $D$22</f>
        <v>7.5195123672959524E-2</v>
      </c>
      <c r="AT38" s="657">
        <f>$F$22</f>
        <v>25</v>
      </c>
      <c r="AU38" s="644">
        <v>24.5</v>
      </c>
      <c r="AV38" s="666">
        <f>AU38 / $D$22</f>
        <v>7.5195123672959524E-2</v>
      </c>
      <c r="AW38" s="654">
        <f>$F$22</f>
        <v>25</v>
      </c>
      <c r="AX38" s="644">
        <v>24.9</v>
      </c>
      <c r="AY38" s="666">
        <f>AX38 / $D$22</f>
        <v>7.6422799161497634E-2</v>
      </c>
      <c r="AZ38" s="657">
        <f>$F$22</f>
        <v>25</v>
      </c>
      <c r="BA38" s="644">
        <v>24.9</v>
      </c>
      <c r="BB38" s="668">
        <f>BA38 / $D$22</f>
        <v>7.6422799161497634E-2</v>
      </c>
    </row>
    <row r="39" spans="1:95" x14ac:dyDescent="0.3">
      <c r="A39" s="22" t="s">
        <v>12</v>
      </c>
      <c r="B39" s="22" t="s">
        <v>13</v>
      </c>
      <c r="C39" s="22">
        <f t="shared" si="6"/>
        <v>7.1050000000000004</v>
      </c>
      <c r="D39" s="338">
        <f t="shared" si="7"/>
        <v>5.4822530864197532</v>
      </c>
      <c r="E39" s="338">
        <f t="shared" si="8"/>
        <v>94.517746913580254</v>
      </c>
      <c r="F39" s="503">
        <v>100</v>
      </c>
      <c r="G39" s="22">
        <v>9</v>
      </c>
      <c r="H39" s="22">
        <f t="shared" si="9"/>
        <v>49.340277777777779</v>
      </c>
      <c r="I39" s="22">
        <f t="shared" si="10"/>
        <v>850.65972222222229</v>
      </c>
      <c r="J39" s="22">
        <f t="shared" si="11"/>
        <v>900.00000000000011</v>
      </c>
      <c r="K39" s="570">
        <f t="shared" si="12"/>
        <v>61.675347222222221</v>
      </c>
      <c r="L39" s="338">
        <f t="shared" si="5"/>
        <v>1063.3246527777778</v>
      </c>
      <c r="M39" s="571">
        <f t="shared" si="5"/>
        <v>1125.0000000000002</v>
      </c>
      <c r="R39" s="793"/>
      <c r="S39" s="542" t="s">
        <v>5</v>
      </c>
      <c r="T39" s="543" t="s">
        <v>5</v>
      </c>
      <c r="U39" s="544" t="s">
        <v>5</v>
      </c>
      <c r="V39" s="545" t="s">
        <v>5</v>
      </c>
      <c r="W39" s="546" t="s">
        <v>5</v>
      </c>
      <c r="X39" s="547" t="s">
        <v>5</v>
      </c>
      <c r="Y39" s="675" t="s">
        <v>5</v>
      </c>
      <c r="Z39" s="549" t="s">
        <v>5</v>
      </c>
      <c r="AB39" s="37"/>
      <c r="AC39" s="835" t="s">
        <v>50</v>
      </c>
      <c r="AD39" s="42" t="s">
        <v>339</v>
      </c>
      <c r="AE39" s="647">
        <f>$A$31 + ($C$31 * $E$26)</f>
        <v>40.300000000000004</v>
      </c>
      <c r="AF39" s="648">
        <v>27</v>
      </c>
      <c r="AG39" s="649"/>
      <c r="AH39" s="650">
        <f>$A$31 + ($C$31 * $E$26)</f>
        <v>40.300000000000004</v>
      </c>
      <c r="AI39" s="648">
        <v>27</v>
      </c>
      <c r="AJ39" s="622"/>
      <c r="AK39" s="647">
        <f>$A$31 + ($C$31 * $E$26)</f>
        <v>40.300000000000004</v>
      </c>
      <c r="AL39" s="648">
        <v>29</v>
      </c>
      <c r="AM39" s="649"/>
      <c r="AN39" s="650">
        <f>$A$31 + ($C$31 * $E$26)</f>
        <v>40.300000000000004</v>
      </c>
      <c r="AO39" s="648">
        <v>29</v>
      </c>
      <c r="AP39" s="622"/>
      <c r="AQ39" s="647">
        <f>$A$31 + ($C$31 * $E$26)</f>
        <v>40.300000000000004</v>
      </c>
      <c r="AR39" s="648">
        <v>32</v>
      </c>
      <c r="AS39" s="649"/>
      <c r="AT39" s="650">
        <f>$A$31 + ($C$31 * $E$26)</f>
        <v>40.300000000000004</v>
      </c>
      <c r="AU39" s="648">
        <v>32</v>
      </c>
      <c r="AV39" s="622"/>
      <c r="AW39" s="647">
        <f>$A$31 + ($C$31 * $E$26)</f>
        <v>40.300000000000004</v>
      </c>
      <c r="AX39" s="648">
        <v>33</v>
      </c>
      <c r="AY39" s="649"/>
      <c r="AZ39" s="650"/>
      <c r="BA39" s="648">
        <v>33</v>
      </c>
      <c r="BB39" s="677"/>
      <c r="BH39" s="797" t="s">
        <v>368</v>
      </c>
      <c r="BI39" s="791" t="s">
        <v>169</v>
      </c>
      <c r="BJ39" s="791"/>
      <c r="BK39" s="791"/>
      <c r="BL39" s="791"/>
      <c r="BM39" s="791"/>
      <c r="BO39" s="791" t="s">
        <v>334</v>
      </c>
      <c r="BP39" s="791"/>
      <c r="BQ39" s="791"/>
      <c r="BR39" s="791"/>
      <c r="BS39" s="791"/>
      <c r="BU39" s="791" t="s">
        <v>335</v>
      </c>
      <c r="BV39" s="791"/>
      <c r="BW39" s="791"/>
      <c r="BX39" s="791"/>
      <c r="BY39" s="791"/>
      <c r="CA39" s="791" t="s">
        <v>336</v>
      </c>
      <c r="CB39" s="791"/>
      <c r="CC39" s="791"/>
      <c r="CD39" s="791"/>
      <c r="CE39" s="791"/>
      <c r="CG39" s="791" t="s">
        <v>337</v>
      </c>
      <c r="CH39" s="791"/>
      <c r="CI39" s="791"/>
      <c r="CJ39" s="791"/>
      <c r="CK39" s="791"/>
      <c r="CM39" s="791" t="s">
        <v>338</v>
      </c>
      <c r="CN39" s="791"/>
      <c r="CO39" s="791"/>
      <c r="CP39" s="791"/>
      <c r="CQ39" s="791"/>
    </row>
    <row r="40" spans="1:95" ht="15" thickBot="1" x14ac:dyDescent="0.35">
      <c r="A40" s="22" t="s">
        <v>36</v>
      </c>
      <c r="B40" s="22" t="s">
        <v>24</v>
      </c>
      <c r="C40" s="22">
        <f t="shared" si="6"/>
        <v>6.2055000000000007</v>
      </c>
      <c r="D40" s="338">
        <f t="shared" si="7"/>
        <v>5.3038461538461545</v>
      </c>
      <c r="E40" s="338">
        <f t="shared" si="8"/>
        <v>94.696153846153848</v>
      </c>
      <c r="F40" s="503">
        <v>100</v>
      </c>
      <c r="G40" s="22">
        <v>6</v>
      </c>
      <c r="H40" s="22">
        <f t="shared" si="9"/>
        <v>31.823076923076925</v>
      </c>
      <c r="I40" s="22">
        <f t="shared" si="10"/>
        <v>568.17692307692312</v>
      </c>
      <c r="J40" s="22">
        <f t="shared" si="11"/>
        <v>600</v>
      </c>
      <c r="K40" s="570">
        <f t="shared" si="12"/>
        <v>39.77884615384616</v>
      </c>
      <c r="L40" s="338">
        <f t="shared" si="5"/>
        <v>710.22115384615392</v>
      </c>
      <c r="M40" s="571">
        <f t="shared" si="5"/>
        <v>750</v>
      </c>
      <c r="R40" s="793"/>
      <c r="S40" s="572" t="s">
        <v>6</v>
      </c>
      <c r="T40" s="573" t="s">
        <v>6</v>
      </c>
      <c r="U40" s="574" t="s">
        <v>6</v>
      </c>
      <c r="V40" s="575" t="s">
        <v>6</v>
      </c>
      <c r="W40" s="576" t="s">
        <v>6</v>
      </c>
      <c r="X40" s="577" t="s">
        <v>6</v>
      </c>
      <c r="Y40" s="678" t="s">
        <v>6</v>
      </c>
      <c r="Z40" s="579" t="s">
        <v>6</v>
      </c>
      <c r="AB40" s="37"/>
      <c r="AC40" s="834"/>
      <c r="AD40" s="653" t="s">
        <v>1</v>
      </c>
      <c r="AE40" s="654">
        <f xml:space="preserve"> ($D$36 * $G$12) + ($E$36 * $E$26)</f>
        <v>80.148875862068962</v>
      </c>
      <c r="AF40" s="644">
        <v>75</v>
      </c>
      <c r="AG40" s="655">
        <f>AF40 * $BF$27 / $D$12</f>
        <v>4.6787930082182405E-2</v>
      </c>
      <c r="AH40" s="644" t="s">
        <v>9</v>
      </c>
      <c r="AI40" s="644" t="s">
        <v>9</v>
      </c>
      <c r="AJ40" s="340"/>
      <c r="AK40" s="646" t="s">
        <v>9</v>
      </c>
      <c r="AL40" s="644" t="s">
        <v>9</v>
      </c>
      <c r="AM40" s="637"/>
      <c r="AN40" s="644" t="s">
        <v>9</v>
      </c>
      <c r="AO40" s="644" t="s">
        <v>9</v>
      </c>
      <c r="AP40" s="340"/>
      <c r="AQ40" s="646" t="s">
        <v>9</v>
      </c>
      <c r="AR40" s="644" t="s">
        <v>9</v>
      </c>
      <c r="AS40" s="637"/>
      <c r="AT40" s="644" t="s">
        <v>9</v>
      </c>
      <c r="AU40" s="644" t="s">
        <v>9</v>
      </c>
      <c r="AV40" s="340"/>
      <c r="AW40" s="654">
        <f xml:space="preserve"> ($D$36 * $G$12) + ($E$36 * $E$26)</f>
        <v>80.148875862068962</v>
      </c>
      <c r="AX40" s="644">
        <v>79</v>
      </c>
      <c r="AY40" s="655">
        <f>AX40 * $BF$27 / $D$12</f>
        <v>4.9283286353232141E-2</v>
      </c>
      <c r="AZ40" s="644" t="s">
        <v>9</v>
      </c>
      <c r="BA40" s="644" t="s">
        <v>9</v>
      </c>
      <c r="BB40" s="662"/>
      <c r="BD40" s="837" t="s">
        <v>433</v>
      </c>
      <c r="BE40" s="838"/>
      <c r="BF40" s="317">
        <v>1.8</v>
      </c>
      <c r="BH40" s="797"/>
    </row>
    <row r="41" spans="1:95" x14ac:dyDescent="0.3">
      <c r="A41" s="22" t="s">
        <v>37</v>
      </c>
      <c r="B41" s="22" t="s">
        <v>25</v>
      </c>
      <c r="C41" s="22">
        <f t="shared" si="6"/>
        <v>6.807500000000001</v>
      </c>
      <c r="D41" s="338">
        <f t="shared" si="7"/>
        <v>6.0835567470956224</v>
      </c>
      <c r="E41" s="338">
        <f t="shared" si="8"/>
        <v>93.916443252904372</v>
      </c>
      <c r="F41" s="503">
        <v>100</v>
      </c>
      <c r="G41" s="22">
        <v>6</v>
      </c>
      <c r="H41" s="22">
        <f t="shared" si="9"/>
        <v>36.501340482573738</v>
      </c>
      <c r="I41" s="22">
        <f t="shared" si="10"/>
        <v>563.49865951742618</v>
      </c>
      <c r="J41" s="22">
        <f t="shared" si="11"/>
        <v>599.99999999999989</v>
      </c>
      <c r="K41" s="580">
        <f t="shared" si="12"/>
        <v>45.626675603217173</v>
      </c>
      <c r="L41" s="581">
        <f t="shared" si="5"/>
        <v>704.37332439678266</v>
      </c>
      <c r="M41" s="582">
        <f t="shared" si="5"/>
        <v>749.99999999999989</v>
      </c>
      <c r="R41" s="792" t="s">
        <v>53</v>
      </c>
      <c r="S41" s="542" t="s">
        <v>224</v>
      </c>
      <c r="T41" s="543" t="s">
        <v>224</v>
      </c>
      <c r="U41" s="544" t="s">
        <v>224</v>
      </c>
      <c r="V41" s="545" t="s">
        <v>224</v>
      </c>
      <c r="W41" s="546" t="s">
        <v>224</v>
      </c>
      <c r="X41" s="547" t="s">
        <v>224</v>
      </c>
      <c r="Y41" s="675" t="s">
        <v>224</v>
      </c>
      <c r="Z41" s="549" t="s">
        <v>224</v>
      </c>
      <c r="AB41" s="37"/>
      <c r="AC41" s="834"/>
      <c r="AD41" s="45" t="s">
        <v>2</v>
      </c>
      <c r="AE41" s="646" t="s">
        <v>9</v>
      </c>
      <c r="AF41" s="644" t="s">
        <v>9</v>
      </c>
      <c r="AG41" s="637"/>
      <c r="AH41" s="657">
        <f xml:space="preserve"> ($D$37 * $G$13) + ($E$37 * $E$26)</f>
        <v>80.630093750000015</v>
      </c>
      <c r="AI41" s="644">
        <v>75</v>
      </c>
      <c r="AJ41" s="658">
        <f>AI41 * $BF$28 / $D$13</f>
        <v>4.6508689567287036E-2</v>
      </c>
      <c r="AK41" s="646" t="s">
        <v>9</v>
      </c>
      <c r="AL41" s="644" t="s">
        <v>9</v>
      </c>
      <c r="AM41" s="637"/>
      <c r="AN41" s="644" t="s">
        <v>9</v>
      </c>
      <c r="AO41" s="644" t="s">
        <v>9</v>
      </c>
      <c r="AP41" s="340"/>
      <c r="AQ41" s="646" t="s">
        <v>9</v>
      </c>
      <c r="AR41" s="644" t="s">
        <v>9</v>
      </c>
      <c r="AS41" s="637"/>
      <c r="AT41" s="644" t="s">
        <v>9</v>
      </c>
      <c r="AU41" s="644" t="s">
        <v>9</v>
      </c>
      <c r="AV41" s="340"/>
      <c r="AW41" s="646" t="s">
        <v>9</v>
      </c>
      <c r="AX41" s="644" t="s">
        <v>9</v>
      </c>
      <c r="AY41" s="637"/>
      <c r="AZ41" s="644" t="s">
        <v>9</v>
      </c>
      <c r="BA41" s="644" t="s">
        <v>9</v>
      </c>
      <c r="BB41" s="662"/>
      <c r="BH41" s="797"/>
    </row>
    <row r="42" spans="1:95" x14ac:dyDescent="0.3">
      <c r="R42" s="793"/>
      <c r="S42" s="533" t="s">
        <v>1</v>
      </c>
      <c r="T42" s="534" t="s">
        <v>2</v>
      </c>
      <c r="U42" s="535" t="s">
        <v>4</v>
      </c>
      <c r="V42" s="536" t="s">
        <v>12</v>
      </c>
      <c r="W42" s="537" t="s">
        <v>36</v>
      </c>
      <c r="X42" s="538" t="s">
        <v>37</v>
      </c>
      <c r="Y42" s="672" t="s">
        <v>2</v>
      </c>
      <c r="Z42" s="540" t="s">
        <v>12</v>
      </c>
      <c r="AB42" s="37"/>
      <c r="AC42" s="834"/>
      <c r="AD42" s="45" t="s">
        <v>4</v>
      </c>
      <c r="AE42" s="646" t="s">
        <v>9</v>
      </c>
      <c r="AF42" s="644" t="s">
        <v>9</v>
      </c>
      <c r="AG42" s="637"/>
      <c r="AH42" s="644" t="s">
        <v>9</v>
      </c>
      <c r="AI42" s="644" t="s">
        <v>9</v>
      </c>
      <c r="AJ42" s="340"/>
      <c r="AK42" s="654">
        <f xml:space="preserve"> ($D$38 * $G$14) + ($E$38 * $E$26)</f>
        <v>81.071718260869559</v>
      </c>
      <c r="AL42" s="644">
        <v>76</v>
      </c>
      <c r="AM42" s="655">
        <f>AL42 * $BF$29 / $D$14</f>
        <v>4.6872079209823843E-2</v>
      </c>
      <c r="AN42" s="644" t="s">
        <v>9</v>
      </c>
      <c r="AO42" s="644" t="s">
        <v>9</v>
      </c>
      <c r="AP42" s="340"/>
      <c r="AQ42" s="646" t="s">
        <v>9</v>
      </c>
      <c r="AR42" s="644" t="s">
        <v>9</v>
      </c>
      <c r="AS42" s="637"/>
      <c r="AT42" s="644" t="s">
        <v>9</v>
      </c>
      <c r="AU42" s="644" t="s">
        <v>9</v>
      </c>
      <c r="AV42" s="340"/>
      <c r="AW42" s="646" t="s">
        <v>9</v>
      </c>
      <c r="AX42" s="644" t="s">
        <v>9</v>
      </c>
      <c r="AY42" s="637"/>
      <c r="AZ42" s="657">
        <f xml:space="preserve"> ($D$38 * $G$14) + ($E$38 * $E$26)</f>
        <v>81.071718260869559</v>
      </c>
      <c r="BA42" s="644">
        <v>76</v>
      </c>
      <c r="BB42" s="659">
        <f>BA42 * $BF$29 / $D$14</f>
        <v>4.6872079209823843E-2</v>
      </c>
      <c r="BH42" s="797"/>
    </row>
    <row r="43" spans="1:95" x14ac:dyDescent="0.3">
      <c r="B43" s="583"/>
      <c r="C43" s="401"/>
      <c r="R43" s="793"/>
      <c r="S43" s="533" t="s">
        <v>7</v>
      </c>
      <c r="T43" s="534" t="s">
        <v>7</v>
      </c>
      <c r="U43" s="535" t="s">
        <v>7</v>
      </c>
      <c r="V43" s="536" t="s">
        <v>7</v>
      </c>
      <c r="W43" s="537" t="s">
        <v>7</v>
      </c>
      <c r="X43" s="538" t="s">
        <v>7</v>
      </c>
      <c r="Y43" s="672" t="s">
        <v>75</v>
      </c>
      <c r="Z43" s="540" t="s">
        <v>75</v>
      </c>
      <c r="AB43" s="37"/>
      <c r="AC43" s="834"/>
      <c r="AD43" s="45" t="s">
        <v>12</v>
      </c>
      <c r="AE43" s="646" t="s">
        <v>9</v>
      </c>
      <c r="AF43" s="644" t="s">
        <v>9</v>
      </c>
      <c r="AG43" s="637"/>
      <c r="AH43" s="644" t="s">
        <v>9</v>
      </c>
      <c r="AI43" s="644" t="s">
        <v>9</v>
      </c>
      <c r="AJ43" s="340"/>
      <c r="AK43" s="646" t="s">
        <v>9</v>
      </c>
      <c r="AL43" s="644" t="s">
        <v>9</v>
      </c>
      <c r="AM43" s="637"/>
      <c r="AN43" s="657">
        <f xml:space="preserve"> ($D$39 * $G$15) + ($E$39 * $E$26)</f>
        <v>81.395949074074082</v>
      </c>
      <c r="AO43" s="644">
        <v>78</v>
      </c>
      <c r="AP43" s="658">
        <f>AO43 * $BF$30 / $D$15</f>
        <v>4.7913932380723522E-2</v>
      </c>
      <c r="AQ43" s="654" t="s">
        <v>9</v>
      </c>
      <c r="AR43" s="644" t="s">
        <v>9</v>
      </c>
      <c r="AS43" s="637"/>
      <c r="AT43" s="644" t="s">
        <v>9</v>
      </c>
      <c r="AU43" s="644" t="s">
        <v>9</v>
      </c>
      <c r="AV43" s="340"/>
      <c r="AW43" s="646" t="s">
        <v>9</v>
      </c>
      <c r="AX43" s="644" t="s">
        <v>9</v>
      </c>
      <c r="AY43" s="637"/>
      <c r="AZ43" s="644" t="s">
        <v>9</v>
      </c>
      <c r="BA43" s="644" t="s">
        <v>9</v>
      </c>
      <c r="BB43" s="662"/>
      <c r="BH43" s="797"/>
    </row>
    <row r="44" spans="1:95" x14ac:dyDescent="0.3">
      <c r="R44" s="793"/>
      <c r="S44" s="542" t="s">
        <v>3</v>
      </c>
      <c r="T44" s="543" t="s">
        <v>3</v>
      </c>
      <c r="U44" s="544" t="s">
        <v>3</v>
      </c>
      <c r="V44" s="545" t="s">
        <v>3</v>
      </c>
      <c r="W44" s="546" t="s">
        <v>3</v>
      </c>
      <c r="X44" s="547" t="s">
        <v>3</v>
      </c>
      <c r="Y44" s="675" t="s">
        <v>3</v>
      </c>
      <c r="Z44" s="549" t="s">
        <v>3</v>
      </c>
      <c r="AB44" s="37"/>
      <c r="AC44" s="834"/>
      <c r="AD44" s="45" t="s">
        <v>36</v>
      </c>
      <c r="AE44" s="646" t="s">
        <v>9</v>
      </c>
      <c r="AF44" s="644" t="s">
        <v>9</v>
      </c>
      <c r="AG44" s="637"/>
      <c r="AH44" s="644" t="s">
        <v>9</v>
      </c>
      <c r="AI44" s="644" t="s">
        <v>9</v>
      </c>
      <c r="AJ44" s="340"/>
      <c r="AK44" s="646" t="s">
        <v>9</v>
      </c>
      <c r="AL44" s="644" t="s">
        <v>9</v>
      </c>
      <c r="AM44" s="637"/>
      <c r="AN44" s="644" t="s">
        <v>9</v>
      </c>
      <c r="AO44" s="644" t="s">
        <v>9</v>
      </c>
      <c r="AP44" s="340"/>
      <c r="AQ44" s="654">
        <f xml:space="preserve"> ($D$40 * $G$16) + ($E$40 * $E$26)</f>
        <v>80.636676923076934</v>
      </c>
      <c r="AR44" s="644">
        <v>81</v>
      </c>
      <c r="AS44" s="655">
        <f>AR44 * $BF$31 / $D$16</f>
        <v>5.0225284008956414E-2</v>
      </c>
      <c r="AT44" s="657" t="s">
        <v>9</v>
      </c>
      <c r="AU44" s="644" t="s">
        <v>9</v>
      </c>
      <c r="AV44" s="340"/>
      <c r="AW44" s="646" t="s">
        <v>9</v>
      </c>
      <c r="AX44" s="644" t="s">
        <v>9</v>
      </c>
      <c r="AY44" s="637"/>
      <c r="AZ44" s="644" t="s">
        <v>9</v>
      </c>
      <c r="BA44" s="644" t="s">
        <v>9</v>
      </c>
      <c r="BB44" s="662"/>
      <c r="BD44" s="679" t="s">
        <v>414</v>
      </c>
      <c r="BH44" s="797"/>
    </row>
    <row r="45" spans="1:95" x14ac:dyDescent="0.3">
      <c r="A45" s="22" t="s">
        <v>370</v>
      </c>
      <c r="H45" s="22" t="s">
        <v>22</v>
      </c>
      <c r="K45" s="550" t="s">
        <v>432</v>
      </c>
      <c r="L45" s="434"/>
      <c r="M45" s="551"/>
      <c r="R45" s="793"/>
      <c r="S45" s="542" t="s">
        <v>5</v>
      </c>
      <c r="T45" s="543" t="s">
        <v>5</v>
      </c>
      <c r="U45" s="544" t="s">
        <v>5</v>
      </c>
      <c r="V45" s="545" t="s">
        <v>5</v>
      </c>
      <c r="W45" s="546" t="s">
        <v>5</v>
      </c>
      <c r="X45" s="547" t="s">
        <v>5</v>
      </c>
      <c r="Y45" s="675" t="s">
        <v>5</v>
      </c>
      <c r="Z45" s="549" t="s">
        <v>5</v>
      </c>
      <c r="AB45" s="37"/>
      <c r="AC45" s="834"/>
      <c r="AD45" s="45" t="s">
        <v>37</v>
      </c>
      <c r="AE45" s="646" t="s">
        <v>9</v>
      </c>
      <c r="AF45" s="644" t="s">
        <v>9</v>
      </c>
      <c r="AG45" s="637"/>
      <c r="AH45" s="644" t="s">
        <v>9</v>
      </c>
      <c r="AI45" s="644" t="s">
        <v>9</v>
      </c>
      <c r="AJ45" s="340"/>
      <c r="AK45" s="646" t="s">
        <v>9</v>
      </c>
      <c r="AL45" s="644" t="s">
        <v>9</v>
      </c>
      <c r="AM45" s="637"/>
      <c r="AN45" s="657" t="s">
        <v>9</v>
      </c>
      <c r="AO45" s="644" t="s">
        <v>9</v>
      </c>
      <c r="AP45" s="340"/>
      <c r="AQ45" s="646" t="s">
        <v>9</v>
      </c>
      <c r="AR45" s="644" t="s">
        <v>9</v>
      </c>
      <c r="AS45" s="637"/>
      <c r="AT45" s="657">
        <f xml:space="preserve"> ($D$41 * $G$17) + ($E$41 * $E$26)</f>
        <v>80.625824396782846</v>
      </c>
      <c r="AU45" s="644">
        <v>79</v>
      </c>
      <c r="AV45" s="658">
        <f>AU45 * $BF$32 / $D$17</f>
        <v>4.8991747117659433E-2</v>
      </c>
      <c r="AW45" s="646" t="s">
        <v>9</v>
      </c>
      <c r="AX45" s="644" t="s">
        <v>9</v>
      </c>
      <c r="AY45" s="637"/>
      <c r="AZ45" s="644" t="s">
        <v>9</v>
      </c>
      <c r="BA45" s="644" t="s">
        <v>9</v>
      </c>
      <c r="BB45" s="662"/>
      <c r="BH45" s="797"/>
    </row>
    <row r="46" spans="1:95" ht="15" thickBot="1" x14ac:dyDescent="0.35">
      <c r="C46" s="22" t="s">
        <v>214</v>
      </c>
      <c r="D46" s="22" t="s">
        <v>360</v>
      </c>
      <c r="E46" s="22" t="s">
        <v>361</v>
      </c>
      <c r="F46" s="22" t="s">
        <v>362</v>
      </c>
      <c r="G46" s="22" t="s">
        <v>363</v>
      </c>
      <c r="H46" s="22" t="s">
        <v>372</v>
      </c>
      <c r="I46" s="22" t="s">
        <v>365</v>
      </c>
      <c r="J46" s="22" t="s">
        <v>366</v>
      </c>
      <c r="K46" s="552" t="s">
        <v>372</v>
      </c>
      <c r="L46" s="22" t="s">
        <v>365</v>
      </c>
      <c r="M46" s="553" t="s">
        <v>366</v>
      </c>
      <c r="R46" s="794"/>
      <c r="S46" s="584" t="s">
        <v>6</v>
      </c>
      <c r="T46" s="585" t="s">
        <v>6</v>
      </c>
      <c r="U46" s="586" t="s">
        <v>6</v>
      </c>
      <c r="V46" s="587" t="s">
        <v>6</v>
      </c>
      <c r="W46" s="588" t="s">
        <v>6</v>
      </c>
      <c r="X46" s="589" t="s">
        <v>6</v>
      </c>
      <c r="Y46" s="680" t="s">
        <v>6</v>
      </c>
      <c r="Z46" s="591" t="s">
        <v>6</v>
      </c>
      <c r="AB46" s="37"/>
      <c r="AC46" s="834"/>
      <c r="AD46" s="653" t="s">
        <v>34</v>
      </c>
      <c r="AE46" s="654">
        <f xml:space="preserve"> ($D$47 * $G$18) + ($E$47 * $E$26)</f>
        <v>80.006482673267328</v>
      </c>
      <c r="AF46" s="644">
        <v>69</v>
      </c>
      <c r="AG46" s="655">
        <f>AF46 * $BF$33 / $D$18</f>
        <v>6.4682258575643276E-2</v>
      </c>
      <c r="AH46" s="657">
        <f xml:space="preserve"> ($D$47 * $G$18) + ($E$47 * $E$26)</f>
        <v>80.006482673267328</v>
      </c>
      <c r="AI46" s="644">
        <v>14</v>
      </c>
      <c r="AJ46" s="658">
        <f>AI46 * $BF$33 / $D$18</f>
        <v>1.3123936522594285E-2</v>
      </c>
      <c r="AK46" s="654">
        <f xml:space="preserve"> ($D$47 * $G$18) + ($E$47 * $E$26)</f>
        <v>80.006482673267328</v>
      </c>
      <c r="AL46" s="644">
        <v>76</v>
      </c>
      <c r="AM46" s="655">
        <f>AL46 * $BF$33 / $D$18</f>
        <v>7.1244226836940414E-2</v>
      </c>
      <c r="AN46" s="657">
        <f xml:space="preserve"> ($D$47 * $G$18) + ($E$47 * $E$26)</f>
        <v>80.006482673267328</v>
      </c>
      <c r="AO46" s="644">
        <v>75</v>
      </c>
      <c r="AP46" s="658">
        <f>AO46 * $BF$33 / $D$18</f>
        <v>7.0306802799612253E-2</v>
      </c>
      <c r="AQ46" s="654">
        <f xml:space="preserve"> ($D$47 * $G$18) + ($E$47 * $E$26)</f>
        <v>80.006482673267328</v>
      </c>
      <c r="AR46" s="644">
        <v>75</v>
      </c>
      <c r="AS46" s="655">
        <f>AR46 * $BF$33 / $D$18</f>
        <v>7.0306802799612253E-2</v>
      </c>
      <c r="AT46" s="657">
        <f xml:space="preserve"> ($D$47 * $G$18) + ($E$47 * $E$26)</f>
        <v>80.006482673267328</v>
      </c>
      <c r="AU46" s="644">
        <v>78</v>
      </c>
      <c r="AV46" s="658">
        <f>AU46 * $BF$33 / $D$18</f>
        <v>7.3119074911596735E-2</v>
      </c>
      <c r="AW46" s="646" t="s">
        <v>9</v>
      </c>
      <c r="AX46" s="644" t="s">
        <v>9</v>
      </c>
      <c r="AY46" s="637"/>
      <c r="AZ46" s="644" t="s">
        <v>9</v>
      </c>
      <c r="BA46" s="644" t="s">
        <v>9</v>
      </c>
      <c r="BB46" s="662"/>
      <c r="BH46" s="797"/>
    </row>
    <row r="47" spans="1:95" x14ac:dyDescent="0.3">
      <c r="A47" s="22" t="s">
        <v>34</v>
      </c>
      <c r="B47" s="22" t="s">
        <v>35</v>
      </c>
      <c r="C47" s="22">
        <f>E18*D18</f>
        <v>10.39425</v>
      </c>
      <c r="D47" s="22">
        <f>C47/G18</f>
        <v>11.434818481848184</v>
      </c>
      <c r="E47" s="338">
        <f>F47-D47</f>
        <v>88.565181518151817</v>
      </c>
      <c r="F47" s="503">
        <v>100</v>
      </c>
      <c r="G47" s="22">
        <v>18</v>
      </c>
      <c r="H47" s="22">
        <f>D47*G47</f>
        <v>205.82673267326732</v>
      </c>
      <c r="I47" s="22">
        <f>E47*G47</f>
        <v>1594.1732673267327</v>
      </c>
      <c r="J47" s="22">
        <f>H47+I47</f>
        <v>1800</v>
      </c>
      <c r="K47" s="570">
        <f>H47*1.25</f>
        <v>257.28341584158414</v>
      </c>
      <c r="L47" s="338">
        <f t="shared" ref="L47:M49" si="13">I47*1.25</f>
        <v>1992.7165841584158</v>
      </c>
      <c r="M47" s="571">
        <f t="shared" si="13"/>
        <v>2250</v>
      </c>
      <c r="AB47" s="37"/>
      <c r="AC47" s="834"/>
      <c r="AD47" s="45" t="s">
        <v>7</v>
      </c>
      <c r="AE47" s="646" t="s">
        <v>9</v>
      </c>
      <c r="AF47" s="644" t="s">
        <v>9</v>
      </c>
      <c r="AG47" s="637"/>
      <c r="AH47" s="644" t="s">
        <v>9</v>
      </c>
      <c r="AI47" s="644" t="s">
        <v>9</v>
      </c>
      <c r="AJ47" s="340"/>
      <c r="AK47" s="646" t="s">
        <v>9</v>
      </c>
      <c r="AL47" s="644" t="s">
        <v>9</v>
      </c>
      <c r="AM47" s="637"/>
      <c r="AN47" s="644" t="s">
        <v>9</v>
      </c>
      <c r="AO47" s="644" t="s">
        <v>9</v>
      </c>
      <c r="AP47" s="340"/>
      <c r="AQ47" s="646" t="s">
        <v>9</v>
      </c>
      <c r="AR47" s="644" t="s">
        <v>9</v>
      </c>
      <c r="AS47" s="637"/>
      <c r="AT47" s="644" t="s">
        <v>9</v>
      </c>
      <c r="AU47" s="644" t="s">
        <v>9</v>
      </c>
      <c r="AV47" s="340"/>
      <c r="AW47" s="646" t="s">
        <v>9</v>
      </c>
      <c r="AX47" s="644" t="s">
        <v>9</v>
      </c>
      <c r="AY47" s="637"/>
      <c r="AZ47" s="644" t="s">
        <v>9</v>
      </c>
      <c r="BA47" s="644" t="s">
        <v>9</v>
      </c>
      <c r="BB47" s="662"/>
      <c r="BH47" s="797"/>
    </row>
    <row r="48" spans="1:95" x14ac:dyDescent="0.3">
      <c r="A48" s="22" t="s">
        <v>7</v>
      </c>
      <c r="B48" s="22" t="s">
        <v>11</v>
      </c>
      <c r="C48" s="22">
        <f t="shared" ref="C48:C49" si="14">E19*D19</f>
        <v>7.8112500000000002</v>
      </c>
      <c r="D48" s="22">
        <f>C48/G19</f>
        <v>7.1662844036697244</v>
      </c>
      <c r="E48" s="338">
        <f t="shared" ref="E48:E49" si="15">F48-D48</f>
        <v>92.833715596330279</v>
      </c>
      <c r="F48" s="503">
        <v>100</v>
      </c>
      <c r="G48" s="22">
        <v>18</v>
      </c>
      <c r="H48" s="22">
        <f t="shared" ref="H48:H49" si="16">D48*G48</f>
        <v>128.99311926605503</v>
      </c>
      <c r="I48" s="22">
        <f t="shared" ref="I48:I49" si="17">E48*G48</f>
        <v>1671.0068807339451</v>
      </c>
      <c r="J48" s="22">
        <f>H48+I48</f>
        <v>1800</v>
      </c>
      <c r="K48" s="570">
        <f t="shared" ref="K48:K49" si="18">H48*1.25</f>
        <v>161.24139908256879</v>
      </c>
      <c r="L48" s="338">
        <f t="shared" si="13"/>
        <v>2088.7586009174315</v>
      </c>
      <c r="M48" s="571">
        <f t="shared" si="13"/>
        <v>2250</v>
      </c>
      <c r="AB48" s="37"/>
      <c r="AC48" s="834"/>
      <c r="AD48" s="661" t="s">
        <v>75</v>
      </c>
      <c r="AE48" s="646" t="s">
        <v>9</v>
      </c>
      <c r="AF48" s="644" t="s">
        <v>9</v>
      </c>
      <c r="AG48" s="637"/>
      <c r="AH48" s="644" t="s">
        <v>9</v>
      </c>
      <c r="AI48" s="644" t="s">
        <v>9</v>
      </c>
      <c r="AJ48" s="340"/>
      <c r="AK48" s="646" t="s">
        <v>9</v>
      </c>
      <c r="AL48" s="644" t="s">
        <v>9</v>
      </c>
      <c r="AM48" s="637"/>
      <c r="AN48" s="644" t="s">
        <v>9</v>
      </c>
      <c r="AO48" s="644" t="s">
        <v>9</v>
      </c>
      <c r="AP48" s="340"/>
      <c r="AQ48" s="646" t="s">
        <v>9</v>
      </c>
      <c r="AR48" s="644" t="s">
        <v>9</v>
      </c>
      <c r="AS48" s="637"/>
      <c r="AT48" s="644" t="s">
        <v>9</v>
      </c>
      <c r="AU48" s="644" t="s">
        <v>9</v>
      </c>
      <c r="AV48" s="340"/>
      <c r="AW48" s="654">
        <f xml:space="preserve"> ($D$49 * $G$20) + ($E$49 * $E$26)</f>
        <v>80.753508750000009</v>
      </c>
      <c r="AX48" s="644">
        <v>78</v>
      </c>
      <c r="AY48" s="655">
        <f>AX48 * $BF$35 / $D$20</f>
        <v>7.244267265352726E-2</v>
      </c>
      <c r="AZ48" s="657">
        <f xml:space="preserve"> ($D$49 * $G$20) + ($E$49 * $E$26)</f>
        <v>80.753508750000009</v>
      </c>
      <c r="BA48" s="644">
        <v>77</v>
      </c>
      <c r="BB48" s="659">
        <f>BA48 * $BF$35 / $D$20</f>
        <v>7.1513920440020501E-2</v>
      </c>
      <c r="BH48" s="797"/>
    </row>
    <row r="49" spans="1:92" x14ac:dyDescent="0.3">
      <c r="A49" s="22" t="s">
        <v>75</v>
      </c>
      <c r="B49" s="22" t="s">
        <v>340</v>
      </c>
      <c r="C49" s="22">
        <f t="shared" si="14"/>
        <v>10.063125000000001</v>
      </c>
      <c r="D49" s="22">
        <f>C49/G20</f>
        <v>10.063125000000001</v>
      </c>
      <c r="E49" s="338">
        <f t="shared" si="15"/>
        <v>89.936875000000001</v>
      </c>
      <c r="F49" s="503">
        <v>100</v>
      </c>
      <c r="G49" s="22">
        <v>12</v>
      </c>
      <c r="H49" s="22">
        <f t="shared" si="16"/>
        <v>120.75750000000002</v>
      </c>
      <c r="I49" s="22">
        <f t="shared" si="17"/>
        <v>1079.2425000000001</v>
      </c>
      <c r="J49" s="22">
        <f t="shared" ref="J49" si="19">H49+I49</f>
        <v>1200</v>
      </c>
      <c r="K49" s="580">
        <f t="shared" si="18"/>
        <v>150.94687500000003</v>
      </c>
      <c r="L49" s="581">
        <f t="shared" si="13"/>
        <v>1349.0531250000001</v>
      </c>
      <c r="M49" s="582">
        <f t="shared" si="13"/>
        <v>1500</v>
      </c>
      <c r="AB49" s="37"/>
      <c r="AC49" s="834"/>
      <c r="AD49" s="661" t="s">
        <v>3</v>
      </c>
      <c r="AE49" s="654">
        <f xml:space="preserve"> $E$64 * $E$26</f>
        <v>683.82</v>
      </c>
      <c r="AF49" s="644">
        <v>660</v>
      </c>
      <c r="AG49" s="637"/>
      <c r="AH49" s="657">
        <f xml:space="preserve"> $E$64 * $E$26</f>
        <v>683.82</v>
      </c>
      <c r="AI49" s="644">
        <v>669</v>
      </c>
      <c r="AJ49" s="340"/>
      <c r="AK49" s="654">
        <f xml:space="preserve"> $E$64 * $E$26</f>
        <v>683.82</v>
      </c>
      <c r="AL49" s="644">
        <v>669</v>
      </c>
      <c r="AM49" s="637"/>
      <c r="AN49" s="657">
        <f xml:space="preserve"> $E$64 * $E$26</f>
        <v>683.82</v>
      </c>
      <c r="AO49" s="644">
        <v>669</v>
      </c>
      <c r="AP49" s="340"/>
      <c r="AQ49" s="654">
        <f xml:space="preserve"> $E$64 * $E$26</f>
        <v>683.82</v>
      </c>
      <c r="AR49" s="644">
        <v>672</v>
      </c>
      <c r="AS49" s="637"/>
      <c r="AT49" s="657">
        <f xml:space="preserve"> $E$64 * $E$26</f>
        <v>683.82</v>
      </c>
      <c r="AU49" s="644">
        <v>581</v>
      </c>
      <c r="AV49" s="340"/>
      <c r="AW49" s="654">
        <f xml:space="preserve"> $E$64 * $E$26</f>
        <v>683.82</v>
      </c>
      <c r="AX49" s="644">
        <v>672</v>
      </c>
      <c r="AY49" s="637"/>
      <c r="AZ49" s="657">
        <f xml:space="preserve"> $E$64 * $E$26</f>
        <v>683.82</v>
      </c>
      <c r="BA49" s="644">
        <v>670</v>
      </c>
      <c r="BB49" s="662"/>
      <c r="BH49" s="797"/>
    </row>
    <row r="50" spans="1:92" x14ac:dyDescent="0.3">
      <c r="AB50" s="37"/>
      <c r="AC50" s="834"/>
      <c r="AD50" s="305" t="s">
        <v>238</v>
      </c>
      <c r="AE50" s="654">
        <f xml:space="preserve"> ( $E$55 * $G$21 ) + ( $F$55 * $E$26 )</f>
        <v>69.546400000000006</v>
      </c>
      <c r="AF50" s="644">
        <v>67</v>
      </c>
      <c r="AG50" s="655">
        <f>AF50 * $BF$36 / $D$21</f>
        <v>7.9465405260090147E-2</v>
      </c>
      <c r="AH50" s="657">
        <f xml:space="preserve"> ( $E$55 * $G$21 ) + ( $F$55 * $E$26 )</f>
        <v>69.546400000000006</v>
      </c>
      <c r="AI50" s="644">
        <v>71</v>
      </c>
      <c r="AJ50" s="658">
        <f>AI50 * $BF$36 / $D$21</f>
        <v>8.4209608559199997E-2</v>
      </c>
      <c r="AK50" s="654">
        <f xml:space="preserve"> ( $E$55 * $G$21 ) + ( $F$55 * $E$26 )</f>
        <v>69.546400000000006</v>
      </c>
      <c r="AL50" s="644">
        <v>77</v>
      </c>
      <c r="AM50" s="655">
        <f>AL50 * $BF$36 / $D$21</f>
        <v>9.13259135078648E-2</v>
      </c>
      <c r="AN50" s="657">
        <f xml:space="preserve"> ( $E$55 * $G$21 ) + ( $F$55 * $E$26 )</f>
        <v>69.546400000000006</v>
      </c>
      <c r="AO50" s="644">
        <v>71</v>
      </c>
      <c r="AP50" s="658">
        <f>AO50 * $BF$36 / $D$21</f>
        <v>8.4209608559199997E-2</v>
      </c>
      <c r="AQ50" s="654">
        <f xml:space="preserve"> ( $E$55 * $G$21 ) + ( $F$55 * $E$26 )</f>
        <v>69.546400000000006</v>
      </c>
      <c r="AR50" s="644">
        <v>66</v>
      </c>
      <c r="AS50" s="655">
        <f>AR50 * $BF$36 / $D$21</f>
        <v>7.827935443531267E-2</v>
      </c>
      <c r="AT50" s="657">
        <f xml:space="preserve"> ( $E$55 * $G$21 ) + ( $F$55 * $E$26 )</f>
        <v>69.546400000000006</v>
      </c>
      <c r="AU50" s="644">
        <v>73</v>
      </c>
      <c r="AV50" s="658">
        <f>AU50 * $BF$36 / $D$21</f>
        <v>8.6581710208754936E-2</v>
      </c>
      <c r="AW50" s="654">
        <f xml:space="preserve"> ( $E$55 * $G$21 ) + ( $F$55 * $E$26 )</f>
        <v>69.546400000000006</v>
      </c>
      <c r="AX50" s="644">
        <v>64</v>
      </c>
      <c r="AY50" s="655">
        <f>AX50 * $BF$36 / $D$21</f>
        <v>7.5907252785757745E-2</v>
      </c>
      <c r="AZ50" s="657">
        <f xml:space="preserve"> ( $E$55 * $G$21 ) + ( $F$55 * $E$26 )</f>
        <v>69.546400000000006</v>
      </c>
      <c r="BA50" s="644">
        <v>48</v>
      </c>
      <c r="BB50" s="659">
        <f>BA50 * $BF$36 / $D$21</f>
        <v>5.6930439589318309E-2</v>
      </c>
      <c r="BH50" s="797"/>
    </row>
    <row r="51" spans="1:92" x14ac:dyDescent="0.3">
      <c r="B51" s="583"/>
      <c r="C51" s="401"/>
      <c r="AC51" s="836"/>
      <c r="AD51" s="50" t="s">
        <v>6</v>
      </c>
      <c r="AE51" s="664">
        <f>$F$22</f>
        <v>25</v>
      </c>
      <c r="AF51" s="665">
        <v>24.8</v>
      </c>
      <c r="AG51" s="666">
        <f>AF51 / $D$22</f>
        <v>7.6115880289363114E-2</v>
      </c>
      <c r="AH51" s="667">
        <f>$F$22</f>
        <v>25</v>
      </c>
      <c r="AI51" s="665">
        <v>24.5</v>
      </c>
      <c r="AJ51" s="666">
        <f>AI51 / $D$22</f>
        <v>7.5195123672959524E-2</v>
      </c>
      <c r="AK51" s="664">
        <f>$F$22</f>
        <v>25</v>
      </c>
      <c r="AL51" s="665">
        <v>25</v>
      </c>
      <c r="AM51" s="666">
        <f>AL51 / $D$22</f>
        <v>7.6729718033632169E-2</v>
      </c>
      <c r="AN51" s="667">
        <f>$F$22</f>
        <v>25</v>
      </c>
      <c r="AO51" s="665">
        <v>24.9</v>
      </c>
      <c r="AP51" s="666">
        <f>AO51 / $D$22</f>
        <v>7.6422799161497634E-2</v>
      </c>
      <c r="AQ51" s="664">
        <f>$F$22</f>
        <v>25</v>
      </c>
      <c r="AR51" s="665">
        <v>24.9</v>
      </c>
      <c r="AS51" s="666">
        <f>AR51 / $D$22</f>
        <v>7.6422799161497634E-2</v>
      </c>
      <c r="AT51" s="667">
        <f>$F$22</f>
        <v>25</v>
      </c>
      <c r="AU51" s="665">
        <v>24.8</v>
      </c>
      <c r="AV51" s="666">
        <f>AU51 / $D$22</f>
        <v>7.6115880289363114E-2</v>
      </c>
      <c r="AW51" s="664">
        <f>$F$22</f>
        <v>25</v>
      </c>
      <c r="AX51" s="665">
        <v>25</v>
      </c>
      <c r="AY51" s="666">
        <f>AX51 / $D$22</f>
        <v>7.6729718033632169E-2</v>
      </c>
      <c r="AZ51" s="667">
        <f>$F$22</f>
        <v>25</v>
      </c>
      <c r="BA51" s="665">
        <v>24.5</v>
      </c>
      <c r="BB51" s="668">
        <f>BA51 / $D$22</f>
        <v>7.5195123672959524E-2</v>
      </c>
      <c r="BH51" s="797"/>
    </row>
    <row r="52" spans="1:92" x14ac:dyDescent="0.3">
      <c r="AC52" s="834" t="s">
        <v>51</v>
      </c>
      <c r="AD52" s="305" t="s">
        <v>339</v>
      </c>
      <c r="AE52" s="654">
        <f>$A$31 + ($C$31 * $E$26)</f>
        <v>40.300000000000004</v>
      </c>
      <c r="AF52" s="644">
        <v>43</v>
      </c>
      <c r="AG52" s="637"/>
      <c r="AH52" s="657">
        <f>$A$31 + ($C$31 * $E$26)</f>
        <v>40.300000000000004</v>
      </c>
      <c r="AI52" s="644">
        <v>42</v>
      </c>
      <c r="AJ52" s="340"/>
      <c r="AK52" s="654">
        <f>$A$31 + ($C$31 * $E$26)</f>
        <v>40.300000000000004</v>
      </c>
      <c r="AL52" s="644">
        <v>45</v>
      </c>
      <c r="AM52" s="637"/>
      <c r="AN52" s="657">
        <f>$A$31 + ($C$31 * $E$26)</f>
        <v>40.300000000000004</v>
      </c>
      <c r="AO52" s="644">
        <v>43</v>
      </c>
      <c r="AP52" s="340"/>
      <c r="AQ52" s="654">
        <f>$A$31 + ($C$31 * $E$26)</f>
        <v>40.300000000000004</v>
      </c>
      <c r="AR52" s="644">
        <v>36</v>
      </c>
      <c r="AS52" s="637"/>
      <c r="AT52" s="657">
        <f>$A$31 + ($C$31 * $E$26)</f>
        <v>40.300000000000004</v>
      </c>
      <c r="AU52" s="644">
        <v>31</v>
      </c>
      <c r="AV52" s="340"/>
      <c r="AW52" s="654">
        <f>$A$31 + ($C$31 * $E$26)</f>
        <v>40.300000000000004</v>
      </c>
      <c r="AX52" s="644">
        <v>33</v>
      </c>
      <c r="AY52" s="637"/>
      <c r="AZ52" s="657">
        <f>$A$31 + ($C$31 * $E$26)</f>
        <v>40.300000000000004</v>
      </c>
      <c r="BA52" s="644">
        <v>32</v>
      </c>
      <c r="BB52" s="662"/>
      <c r="BH52" s="797"/>
    </row>
    <row r="53" spans="1:92" x14ac:dyDescent="0.3">
      <c r="A53" s="22" t="s">
        <v>375</v>
      </c>
      <c r="I53" s="550" t="s">
        <v>434</v>
      </c>
      <c r="J53" s="434"/>
      <c r="K53" s="551"/>
      <c r="AC53" s="834"/>
      <c r="AD53" s="653" t="s">
        <v>1</v>
      </c>
      <c r="AE53" s="654">
        <f xml:space="preserve"> ($D$36 * $G$12) + ($E$36 * $E$26)</f>
        <v>80.148875862068962</v>
      </c>
      <c r="AF53" s="644">
        <v>71</v>
      </c>
      <c r="AG53" s="655">
        <f>AF53 * $BF$27 / $D$12</f>
        <v>4.4292573811132684E-2</v>
      </c>
      <c r="AH53" s="644" t="s">
        <v>9</v>
      </c>
      <c r="AI53" s="644" t="s">
        <v>9</v>
      </c>
      <c r="AJ53" s="340"/>
      <c r="AK53" s="646" t="s">
        <v>9</v>
      </c>
      <c r="AL53" s="644" t="s">
        <v>9</v>
      </c>
      <c r="AM53" s="637"/>
      <c r="AN53" s="644" t="s">
        <v>9</v>
      </c>
      <c r="AO53" s="644" t="s">
        <v>9</v>
      </c>
      <c r="AP53" s="340"/>
      <c r="AQ53" s="646" t="s">
        <v>9</v>
      </c>
      <c r="AR53" s="644" t="s">
        <v>9</v>
      </c>
      <c r="AS53" s="637"/>
      <c r="AT53" s="644" t="s">
        <v>9</v>
      </c>
      <c r="AU53" s="644" t="s">
        <v>9</v>
      </c>
      <c r="AV53" s="340"/>
      <c r="AW53" s="646" t="s">
        <v>9</v>
      </c>
      <c r="AX53" s="644" t="s">
        <v>9</v>
      </c>
      <c r="AY53" s="637"/>
      <c r="AZ53" s="644" t="s">
        <v>9</v>
      </c>
      <c r="BA53" s="644" t="s">
        <v>9</v>
      </c>
      <c r="BB53" s="662"/>
      <c r="BH53" s="797"/>
    </row>
    <row r="54" spans="1:92" x14ac:dyDescent="0.3">
      <c r="C54" s="22" t="s">
        <v>214</v>
      </c>
      <c r="D54" s="22" t="s">
        <v>359</v>
      </c>
      <c r="E54" s="22" t="s">
        <v>435</v>
      </c>
      <c r="F54" s="22" t="s">
        <v>361</v>
      </c>
      <c r="G54" s="22" t="s">
        <v>362</v>
      </c>
      <c r="H54" s="22" t="s">
        <v>363</v>
      </c>
      <c r="I54" s="552" t="s">
        <v>377</v>
      </c>
      <c r="J54" s="22" t="s">
        <v>365</v>
      </c>
      <c r="K54" s="553" t="s">
        <v>366</v>
      </c>
      <c r="AC54" s="834"/>
      <c r="AD54" s="45" t="s">
        <v>2</v>
      </c>
      <c r="AE54" s="646" t="s">
        <v>9</v>
      </c>
      <c r="AF54" s="644" t="s">
        <v>9</v>
      </c>
      <c r="AG54" s="637"/>
      <c r="AH54" s="657">
        <f xml:space="preserve"> ($D$37 * $G$13) + ($E$37 * $E$26)</f>
        <v>80.630093750000015</v>
      </c>
      <c r="AI54" s="644">
        <v>73</v>
      </c>
      <c r="AJ54" s="658">
        <f>AI54 * $BF$28 / $D$13</f>
        <v>4.5268457845492709E-2</v>
      </c>
      <c r="AK54" s="646" t="s">
        <v>9</v>
      </c>
      <c r="AL54" s="644" t="s">
        <v>9</v>
      </c>
      <c r="AM54" s="637"/>
      <c r="AN54" s="644" t="s">
        <v>9</v>
      </c>
      <c r="AO54" s="644" t="s">
        <v>9</v>
      </c>
      <c r="AP54" s="340"/>
      <c r="AQ54" s="646" t="s">
        <v>9</v>
      </c>
      <c r="AR54" s="644" t="s">
        <v>9</v>
      </c>
      <c r="AS54" s="637"/>
      <c r="AT54" s="644" t="s">
        <v>9</v>
      </c>
      <c r="AU54" s="644" t="s">
        <v>9</v>
      </c>
      <c r="AV54" s="340"/>
      <c r="AW54" s="654">
        <f xml:space="preserve"> ($D$37 * $G$13) + ($E$37 * $E$26)</f>
        <v>80.630093750000015</v>
      </c>
      <c r="AX54" s="644">
        <v>79</v>
      </c>
      <c r="AY54" s="655">
        <f>AX54 * $BF$28 / $D$13</f>
        <v>4.8989153010875669E-2</v>
      </c>
      <c r="AZ54" s="644" t="s">
        <v>9</v>
      </c>
      <c r="BA54" s="644" t="s">
        <v>9</v>
      </c>
      <c r="BB54" s="662"/>
      <c r="BH54" s="797"/>
    </row>
    <row r="55" spans="1:92" x14ac:dyDescent="0.3">
      <c r="A55" s="22" t="s">
        <v>238</v>
      </c>
      <c r="B55" s="22" t="s">
        <v>342</v>
      </c>
      <c r="C55" s="294" t="s">
        <v>9</v>
      </c>
      <c r="D55" s="294" t="s">
        <v>9</v>
      </c>
      <c r="E55" s="22">
        <f>12.82</f>
        <v>12.82</v>
      </c>
      <c r="F55" s="338">
        <f>G55-E55</f>
        <v>67.180000000000007</v>
      </c>
      <c r="G55" s="503">
        <v>80</v>
      </c>
      <c r="H55" s="22">
        <v>48</v>
      </c>
      <c r="I55" s="673">
        <f>E55*H55</f>
        <v>615.36</v>
      </c>
      <c r="J55" s="435">
        <f>F55*H55</f>
        <v>3224.6400000000003</v>
      </c>
      <c r="K55" s="674">
        <f>I55+J55</f>
        <v>3840.0000000000005</v>
      </c>
      <c r="L55" s="338"/>
      <c r="M55" s="338"/>
      <c r="N55" s="338"/>
      <c r="O55" s="338"/>
      <c r="P55" s="338"/>
      <c r="AC55" s="834"/>
      <c r="AD55" s="45" t="s">
        <v>4</v>
      </c>
      <c r="AE55" s="646" t="s">
        <v>9</v>
      </c>
      <c r="AF55" s="644" t="s">
        <v>9</v>
      </c>
      <c r="AG55" s="637"/>
      <c r="AH55" s="644" t="s">
        <v>9</v>
      </c>
      <c r="AI55" s="644" t="s">
        <v>9</v>
      </c>
      <c r="AJ55" s="340"/>
      <c r="AK55" s="654">
        <f xml:space="preserve"> ($D$38 * $G$14) + ($E$38 * $E$26)</f>
        <v>81.071718260869559</v>
      </c>
      <c r="AL55" s="644">
        <v>75</v>
      </c>
      <c r="AM55" s="655">
        <f>AL55 * $BF$29 / $D$14</f>
        <v>4.6255341325484062E-2</v>
      </c>
      <c r="AN55" s="644" t="s">
        <v>9</v>
      </c>
      <c r="AO55" s="644" t="s">
        <v>9</v>
      </c>
      <c r="AP55" s="340"/>
      <c r="AQ55" s="646" t="s">
        <v>9</v>
      </c>
      <c r="AR55" s="644" t="s">
        <v>9</v>
      </c>
      <c r="AS55" s="637"/>
      <c r="AT55" s="644" t="s">
        <v>9</v>
      </c>
      <c r="AU55" s="644" t="s">
        <v>9</v>
      </c>
      <c r="AV55" s="340"/>
      <c r="AW55" s="646" t="s">
        <v>9</v>
      </c>
      <c r="AX55" s="644" t="s">
        <v>9</v>
      </c>
      <c r="AY55" s="637"/>
      <c r="AZ55" s="644" t="s">
        <v>9</v>
      </c>
      <c r="BA55" s="644" t="s">
        <v>9</v>
      </c>
      <c r="BB55" s="662"/>
      <c r="BH55" s="797"/>
    </row>
    <row r="56" spans="1:92" x14ac:dyDescent="0.3">
      <c r="AC56" s="834"/>
      <c r="AD56" s="45" t="s">
        <v>12</v>
      </c>
      <c r="AE56" s="646" t="s">
        <v>9</v>
      </c>
      <c r="AF56" s="644" t="s">
        <v>9</v>
      </c>
      <c r="AG56" s="637"/>
      <c r="AH56" s="644" t="s">
        <v>9</v>
      </c>
      <c r="AI56" s="644" t="s">
        <v>9</v>
      </c>
      <c r="AJ56" s="340"/>
      <c r="AK56" s="646" t="s">
        <v>9</v>
      </c>
      <c r="AL56" s="644" t="s">
        <v>9</v>
      </c>
      <c r="AM56" s="637"/>
      <c r="AN56" s="657">
        <f xml:space="preserve"> ($D$39 * $G$15) + ($E$39 * $E$26)</f>
        <v>81.395949074074082</v>
      </c>
      <c r="AO56" s="644">
        <v>80</v>
      </c>
      <c r="AP56" s="658">
        <f>AO56 * $BF$30 / $D$15</f>
        <v>4.9142494749460024E-2</v>
      </c>
      <c r="AQ56" s="654" t="s">
        <v>9</v>
      </c>
      <c r="AR56" s="644" t="s">
        <v>9</v>
      </c>
      <c r="AS56" s="637"/>
      <c r="AT56" s="644" t="s">
        <v>9</v>
      </c>
      <c r="AU56" s="644" t="s">
        <v>9</v>
      </c>
      <c r="AV56" s="340"/>
      <c r="AW56" s="646" t="s">
        <v>9</v>
      </c>
      <c r="AX56" s="644" t="s">
        <v>9</v>
      </c>
      <c r="AY56" s="637"/>
      <c r="AZ56" s="657">
        <f xml:space="preserve"> ($D$39 * $G$15) + ($E$39 * $E$26)</f>
        <v>81.395949074074082</v>
      </c>
      <c r="BA56" s="644">
        <v>80</v>
      </c>
      <c r="BB56" s="659">
        <f>BA56 * $BF$30 / $D$15</f>
        <v>4.9142494749460024E-2</v>
      </c>
      <c r="BH56" s="797"/>
      <c r="BK56" s="21" t="s">
        <v>381</v>
      </c>
      <c r="BQ56" s="21" t="s">
        <v>382</v>
      </c>
      <c r="BU56" s="21" t="s">
        <v>383</v>
      </c>
      <c r="CA56" s="21" t="s">
        <v>379</v>
      </c>
      <c r="CI56" s="21" t="s">
        <v>384</v>
      </c>
      <c r="CN56" s="21" t="s">
        <v>378</v>
      </c>
    </row>
    <row r="57" spans="1:92" x14ac:dyDescent="0.3">
      <c r="B57" s="583"/>
      <c r="C57" s="401"/>
      <c r="AC57" s="834"/>
      <c r="AD57" s="45" t="s">
        <v>36</v>
      </c>
      <c r="AE57" s="646" t="s">
        <v>9</v>
      </c>
      <c r="AF57" s="644" t="s">
        <v>9</v>
      </c>
      <c r="AG57" s="637"/>
      <c r="AH57" s="644" t="s">
        <v>9</v>
      </c>
      <c r="AI57" s="644" t="s">
        <v>9</v>
      </c>
      <c r="AJ57" s="340"/>
      <c r="AK57" s="646" t="s">
        <v>9</v>
      </c>
      <c r="AL57" s="644" t="s">
        <v>9</v>
      </c>
      <c r="AM57" s="637"/>
      <c r="AN57" s="644" t="s">
        <v>9</v>
      </c>
      <c r="AO57" s="644" t="s">
        <v>9</v>
      </c>
      <c r="AP57" s="340"/>
      <c r="AQ57" s="654">
        <f xml:space="preserve"> ($D$40 * $G$16) + ($E$40 * $E$26)</f>
        <v>80.636676923076934</v>
      </c>
      <c r="AR57" s="644">
        <v>76</v>
      </c>
      <c r="AS57" s="655">
        <f>AR57 * $BF$31 / $D$16</f>
        <v>4.7124957835564044E-2</v>
      </c>
      <c r="AT57" s="657" t="s">
        <v>9</v>
      </c>
      <c r="AU57" s="644" t="s">
        <v>9</v>
      </c>
      <c r="AV57" s="340"/>
      <c r="AW57" s="646" t="s">
        <v>9</v>
      </c>
      <c r="AX57" s="644" t="s">
        <v>9</v>
      </c>
      <c r="AY57" s="637"/>
      <c r="AZ57" s="644" t="s">
        <v>9</v>
      </c>
      <c r="BA57" s="644" t="s">
        <v>9</v>
      </c>
      <c r="BB57" s="662"/>
      <c r="BH57" s="797"/>
      <c r="BK57" s="22" t="s">
        <v>172</v>
      </c>
      <c r="BQ57" s="22" t="s">
        <v>173</v>
      </c>
      <c r="BU57" s="22" t="s">
        <v>292</v>
      </c>
      <c r="CA57" s="22" t="s">
        <v>294</v>
      </c>
      <c r="CI57" s="22">
        <v>384.07799999999997</v>
      </c>
      <c r="CN57" s="22" t="s">
        <v>385</v>
      </c>
    </row>
    <row r="58" spans="1:92" x14ac:dyDescent="0.3">
      <c r="AC58" s="834"/>
      <c r="AD58" s="45" t="s">
        <v>37</v>
      </c>
      <c r="AE58" s="646" t="s">
        <v>9</v>
      </c>
      <c r="AF58" s="644" t="s">
        <v>9</v>
      </c>
      <c r="AG58" s="637"/>
      <c r="AH58" s="644" t="s">
        <v>9</v>
      </c>
      <c r="AI58" s="644" t="s">
        <v>9</v>
      </c>
      <c r="AJ58" s="340"/>
      <c r="AK58" s="646" t="s">
        <v>9</v>
      </c>
      <c r="AL58" s="644" t="s">
        <v>9</v>
      </c>
      <c r="AM58" s="637"/>
      <c r="AN58" s="657" t="s">
        <v>9</v>
      </c>
      <c r="AO58" s="644" t="s">
        <v>9</v>
      </c>
      <c r="AP58" s="340"/>
      <c r="AQ58" s="646" t="s">
        <v>9</v>
      </c>
      <c r="AR58" s="644" t="s">
        <v>9</v>
      </c>
      <c r="AS58" s="637"/>
      <c r="AT58" s="657">
        <f xml:space="preserve"> ($D$41 * $G$17) + ($E$41 * $E$26)</f>
        <v>80.625824396782846</v>
      </c>
      <c r="AU58" s="644">
        <v>79</v>
      </c>
      <c r="AV58" s="658">
        <f>AU58 * $BF$32 / $D$17</f>
        <v>4.8991747117659433E-2</v>
      </c>
      <c r="AW58" s="646" t="s">
        <v>9</v>
      </c>
      <c r="AX58" s="644" t="s">
        <v>9</v>
      </c>
      <c r="AY58" s="637"/>
      <c r="AZ58" s="644" t="s">
        <v>9</v>
      </c>
      <c r="BA58" s="644" t="s">
        <v>9</v>
      </c>
      <c r="BB58" s="662"/>
      <c r="BH58" s="797"/>
      <c r="BK58" s="22">
        <f xml:space="preserve"> 357.7*0.05</f>
        <v>17.885000000000002</v>
      </c>
      <c r="BQ58" s="22">
        <f>396.09*0.05</f>
        <v>19.804500000000001</v>
      </c>
      <c r="BU58" s="22" t="s">
        <v>297</v>
      </c>
      <c r="CA58" s="22" t="s">
        <v>299</v>
      </c>
      <c r="CN58" s="22">
        <v>396.09399999999999</v>
      </c>
    </row>
    <row r="59" spans="1:92" x14ac:dyDescent="0.3">
      <c r="AC59" s="834"/>
      <c r="AD59" s="653" t="s">
        <v>34</v>
      </c>
      <c r="AE59" s="646" t="s">
        <v>9</v>
      </c>
      <c r="AF59" s="644" t="s">
        <v>9</v>
      </c>
      <c r="AG59" s="637"/>
      <c r="AH59" s="644" t="s">
        <v>9</v>
      </c>
      <c r="AI59" s="644" t="s">
        <v>9</v>
      </c>
      <c r="AJ59" s="340"/>
      <c r="AK59" s="646" t="s">
        <v>9</v>
      </c>
      <c r="AL59" s="644" t="s">
        <v>9</v>
      </c>
      <c r="AM59" s="637"/>
      <c r="AN59" s="644" t="s">
        <v>9</v>
      </c>
      <c r="AO59" s="644" t="s">
        <v>9</v>
      </c>
      <c r="AP59" s="340"/>
      <c r="AQ59" s="646" t="s">
        <v>9</v>
      </c>
      <c r="AR59" s="644" t="s">
        <v>9</v>
      </c>
      <c r="AS59" s="637"/>
      <c r="AT59" s="644" t="s">
        <v>9</v>
      </c>
      <c r="AU59" s="644" t="s">
        <v>9</v>
      </c>
      <c r="AV59" s="340"/>
      <c r="AW59" s="646" t="s">
        <v>9</v>
      </c>
      <c r="AX59" s="644" t="s">
        <v>9</v>
      </c>
      <c r="AY59" s="637"/>
      <c r="AZ59" s="644" t="s">
        <v>9</v>
      </c>
      <c r="BA59" s="644" t="s">
        <v>9</v>
      </c>
      <c r="BB59" s="662"/>
      <c r="BU59" s="22" t="s">
        <v>301</v>
      </c>
      <c r="CA59" s="22" t="s">
        <v>303</v>
      </c>
    </row>
    <row r="60" spans="1:92" x14ac:dyDescent="0.3">
      <c r="AC60" s="834"/>
      <c r="AD60" s="45" t="s">
        <v>7</v>
      </c>
      <c r="AE60" s="654">
        <f xml:space="preserve"> ($D$48 * $G$19) + ($E$48 * $E$26)</f>
        <v>80.7785504587156</v>
      </c>
      <c r="AF60" s="644">
        <v>77</v>
      </c>
      <c r="AG60" s="655">
        <f>AF60 * $BF$34 / $D$19</f>
        <v>7.1491750807678722E-2</v>
      </c>
      <c r="AH60" s="657">
        <f xml:space="preserve"> ($D$48 * $G$19) + ($E$48 * $E$26)</f>
        <v>80.7785504587156</v>
      </c>
      <c r="AI60" s="644">
        <v>76</v>
      </c>
      <c r="AJ60" s="658">
        <f>AI60 * $BF$34 / $D$19</f>
        <v>7.0563286511475101E-2</v>
      </c>
      <c r="AK60" s="654">
        <f xml:space="preserve"> ($D$48 * $G$19) + ($E$48 * $E$26)</f>
        <v>80.7785504587156</v>
      </c>
      <c r="AL60" s="644">
        <v>78</v>
      </c>
      <c r="AM60" s="655">
        <f>AL60 * $BF$34 / $D$19</f>
        <v>7.2420215103882343E-2</v>
      </c>
      <c r="AN60" s="657">
        <f xml:space="preserve"> ($D$48 * $G$19) + ($E$48 * $E$26)</f>
        <v>80.7785504587156</v>
      </c>
      <c r="AO60" s="644">
        <v>74</v>
      </c>
      <c r="AP60" s="658">
        <f>AO60 * $BF$34 / $D$19</f>
        <v>6.8706357919067873E-2</v>
      </c>
      <c r="AQ60" s="654">
        <f xml:space="preserve"> ($D$48 * $G$19) + ($E$48 * $E$26)</f>
        <v>80.7785504587156</v>
      </c>
      <c r="AR60" s="644">
        <v>79</v>
      </c>
      <c r="AS60" s="655">
        <f>AR60 * $BF$34 / $D$19</f>
        <v>7.3348679400085964E-2</v>
      </c>
      <c r="AT60" s="657">
        <f xml:space="preserve"> ($D$48 * $G$19) + ($E$48 * $E$26)</f>
        <v>80.7785504587156</v>
      </c>
      <c r="AU60" s="644">
        <v>65</v>
      </c>
      <c r="AV60" s="658">
        <f>AU60 * $BF$34 / $D$19</f>
        <v>6.0350179253235291E-2</v>
      </c>
      <c r="AW60" s="646" t="s">
        <v>9</v>
      </c>
      <c r="AX60" s="644" t="s">
        <v>9</v>
      </c>
      <c r="AY60" s="637"/>
      <c r="AZ60" s="644" t="s">
        <v>9</v>
      </c>
      <c r="BA60" s="644" t="s">
        <v>9</v>
      </c>
      <c r="BB60" s="662"/>
      <c r="BU60" s="22" t="s">
        <v>305</v>
      </c>
      <c r="CA60" s="22" t="s">
        <v>307</v>
      </c>
    </row>
    <row r="61" spans="1:92" x14ac:dyDescent="0.3">
      <c r="AC61" s="834"/>
      <c r="AD61" s="661" t="s">
        <v>75</v>
      </c>
      <c r="AE61" s="646" t="s">
        <v>9</v>
      </c>
      <c r="AF61" s="644" t="s">
        <v>9</v>
      </c>
      <c r="AG61" s="637"/>
      <c r="AH61" s="644" t="s">
        <v>9</v>
      </c>
      <c r="AI61" s="644" t="s">
        <v>9</v>
      </c>
      <c r="AJ61" s="340"/>
      <c r="AK61" s="646" t="s">
        <v>9</v>
      </c>
      <c r="AL61" s="644" t="s">
        <v>9</v>
      </c>
      <c r="AM61" s="637"/>
      <c r="AN61" s="644" t="s">
        <v>9</v>
      </c>
      <c r="AO61" s="644" t="s">
        <v>9</v>
      </c>
      <c r="AP61" s="340"/>
      <c r="AQ61" s="646" t="s">
        <v>9</v>
      </c>
      <c r="AR61" s="644" t="s">
        <v>9</v>
      </c>
      <c r="AS61" s="637"/>
      <c r="AT61" s="644" t="s">
        <v>9</v>
      </c>
      <c r="AU61" s="644" t="s">
        <v>9</v>
      </c>
      <c r="AV61" s="340"/>
      <c r="AW61" s="654">
        <f xml:space="preserve"> ($D$49 * $G$20) + ($E$49 * $E$26)</f>
        <v>80.753508750000009</v>
      </c>
      <c r="AX61" s="644">
        <v>79</v>
      </c>
      <c r="AY61" s="655">
        <f>AX61 * $BF$35 / $D$20</f>
        <v>7.3371424867034019E-2</v>
      </c>
      <c r="AZ61" s="657">
        <f xml:space="preserve"> ($D$49 * $G$20) + ($E$49 * $E$26)</f>
        <v>80.753508750000009</v>
      </c>
      <c r="BA61" s="644">
        <v>78</v>
      </c>
      <c r="BB61" s="659">
        <f>BA61 * $BF$35 / $D$20</f>
        <v>7.244267265352726E-2</v>
      </c>
    </row>
    <row r="62" spans="1:92" x14ac:dyDescent="0.3">
      <c r="A62" s="22" t="s">
        <v>387</v>
      </c>
      <c r="AC62" s="834"/>
      <c r="AD62" s="661" t="s">
        <v>3</v>
      </c>
      <c r="AE62" s="654">
        <f xml:space="preserve"> $E$64 * $E$26</f>
        <v>683.82</v>
      </c>
      <c r="AF62" s="644">
        <v>674</v>
      </c>
      <c r="AG62" s="637"/>
      <c r="AH62" s="657">
        <f xml:space="preserve"> $E$64 * $E$26</f>
        <v>683.82</v>
      </c>
      <c r="AI62" s="644">
        <v>682</v>
      </c>
      <c r="AJ62" s="340"/>
      <c r="AK62" s="654">
        <f xml:space="preserve"> $E$64 * $E$26</f>
        <v>683.82</v>
      </c>
      <c r="AL62" s="644">
        <v>680</v>
      </c>
      <c r="AM62" s="637"/>
      <c r="AN62" s="657">
        <f xml:space="preserve"> $E$64 * $E$26</f>
        <v>683.82</v>
      </c>
      <c r="AO62" s="644">
        <v>680</v>
      </c>
      <c r="AP62" s="340"/>
      <c r="AQ62" s="654">
        <f xml:space="preserve"> $E$64 * $E$26</f>
        <v>683.82</v>
      </c>
      <c r="AR62" s="644">
        <v>679</v>
      </c>
      <c r="AS62" s="637"/>
      <c r="AT62" s="657">
        <f xml:space="preserve"> $E$64 * $E$26</f>
        <v>683.82</v>
      </c>
      <c r="AU62" s="644">
        <v>679</v>
      </c>
      <c r="AV62" s="340"/>
      <c r="AW62" s="654">
        <f xml:space="preserve"> $E$64 * $E$26</f>
        <v>683.82</v>
      </c>
      <c r="AX62" s="644">
        <v>681</v>
      </c>
      <c r="AY62" s="637"/>
      <c r="AZ62" s="657">
        <f xml:space="preserve"> $E$64 * $E$26</f>
        <v>683.82</v>
      </c>
      <c r="BA62" s="644">
        <v>680</v>
      </c>
      <c r="BB62" s="659"/>
    </row>
    <row r="63" spans="1:92" x14ac:dyDescent="0.3">
      <c r="C63" s="22" t="s">
        <v>214</v>
      </c>
      <c r="D63" s="22" t="s">
        <v>436</v>
      </c>
      <c r="E63" s="22" t="s">
        <v>437</v>
      </c>
      <c r="F63" s="22" t="s">
        <v>438</v>
      </c>
      <c r="G63" s="22" t="s">
        <v>391</v>
      </c>
      <c r="H63" s="550" t="s">
        <v>392</v>
      </c>
      <c r="I63" s="119" t="s">
        <v>356</v>
      </c>
      <c r="J63" s="791"/>
      <c r="K63" s="791"/>
      <c r="AC63" s="834"/>
      <c r="AD63" s="305" t="s">
        <v>238</v>
      </c>
      <c r="AE63" s="654">
        <f xml:space="preserve"> ( $E$55 * $G$21 ) + ( $F$55 * $E$26 )</f>
        <v>69.546400000000006</v>
      </c>
      <c r="AF63" s="644">
        <v>67</v>
      </c>
      <c r="AG63" s="655">
        <f>AF63 * $BF$36 / $D$21</f>
        <v>7.9465405260090147E-2</v>
      </c>
      <c r="AH63" s="657">
        <f xml:space="preserve"> ( $E$55 * $G$21 ) + ( $F$55 * $E$26 )</f>
        <v>69.546400000000006</v>
      </c>
      <c r="AI63" s="644">
        <v>74</v>
      </c>
      <c r="AJ63" s="658">
        <f>AI63 * $BF$36 / $D$21</f>
        <v>8.7767761033532399E-2</v>
      </c>
      <c r="AK63" s="654">
        <f xml:space="preserve"> ( $E$55 * $G$21 ) + ( $F$55 * $E$26 )</f>
        <v>69.546400000000006</v>
      </c>
      <c r="AL63" s="644">
        <v>67</v>
      </c>
      <c r="AM63" s="655">
        <f>AL63 * $BF$36 / $D$21</f>
        <v>7.9465405260090147E-2</v>
      </c>
      <c r="AN63" s="657">
        <f xml:space="preserve"> ( $E$55 * $G$21 ) + ( $F$55 * $E$26 )</f>
        <v>69.546400000000006</v>
      </c>
      <c r="AO63" s="644">
        <v>72</v>
      </c>
      <c r="AP63" s="658">
        <f>AO63 * $BF$36 / $D$21</f>
        <v>8.539565938397746E-2</v>
      </c>
      <c r="AQ63" s="654">
        <f xml:space="preserve"> ( $E$55 * $G$21 ) + ( $F$55 * $E$26 )</f>
        <v>69.546400000000006</v>
      </c>
      <c r="AR63" s="644">
        <v>70</v>
      </c>
      <c r="AS63" s="655">
        <f>AR63 * $BF$36 / $D$21</f>
        <v>8.3023557734422535E-2</v>
      </c>
      <c r="AT63" s="657">
        <f xml:space="preserve"> ( $E$55 * $G$21 ) + ( $F$55 * $E$26 )</f>
        <v>69.546400000000006</v>
      </c>
      <c r="AU63" s="644">
        <v>64</v>
      </c>
      <c r="AV63" s="658">
        <f>AU63 * $BF$36 / $D$21</f>
        <v>7.5907252785757745E-2</v>
      </c>
      <c r="AW63" s="654">
        <f xml:space="preserve"> ( $E$55 * $G$21 ) + ( $F$55 * $E$26 )</f>
        <v>69.546400000000006</v>
      </c>
      <c r="AX63" s="644">
        <v>72</v>
      </c>
      <c r="AY63" s="655">
        <f>AX63 * $BF$36 / $D$21</f>
        <v>8.539565938397746E-2</v>
      </c>
      <c r="AZ63" s="657">
        <f xml:space="preserve"> ( $E$55 * $G$21 ) + ( $F$55 * $E$26 )</f>
        <v>69.546400000000006</v>
      </c>
      <c r="BA63" s="644">
        <v>0</v>
      </c>
      <c r="BB63" s="659">
        <f>BA63 * $BF$36 / $D$21</f>
        <v>0</v>
      </c>
    </row>
    <row r="64" spans="1:92" x14ac:dyDescent="0.3">
      <c r="A64" s="22" t="s">
        <v>394</v>
      </c>
      <c r="B64" s="22" t="s">
        <v>160</v>
      </c>
      <c r="C64" s="294" t="s">
        <v>9</v>
      </c>
      <c r="D64" s="681">
        <f>C31+F36+F47+G55</f>
        <v>330</v>
      </c>
      <c r="E64" s="503">
        <f>F64-D64</f>
        <v>870</v>
      </c>
      <c r="F64" s="22">
        <v>1200</v>
      </c>
      <c r="G64" s="22">
        <v>48</v>
      </c>
      <c r="H64" s="673">
        <f>E64*G64</f>
        <v>41760</v>
      </c>
      <c r="I64" s="674">
        <f>H64/1000</f>
        <v>41.76</v>
      </c>
      <c r="J64" s="294"/>
      <c r="K64" s="294"/>
      <c r="AC64" s="834"/>
      <c r="AD64" s="305" t="s">
        <v>6</v>
      </c>
      <c r="AE64" s="654">
        <f>$F$22</f>
        <v>25</v>
      </c>
      <c r="AF64" s="644">
        <v>24.7</v>
      </c>
      <c r="AG64" s="666">
        <f>AF64 / $D$22</f>
        <v>7.5808961417228579E-2</v>
      </c>
      <c r="AH64" s="657">
        <f>$F$22</f>
        <v>25</v>
      </c>
      <c r="AI64" s="644">
        <v>24.8</v>
      </c>
      <c r="AJ64" s="666">
        <f>AI64 / $D$22</f>
        <v>7.6115880289363114E-2</v>
      </c>
      <c r="AK64" s="654">
        <f>$F$22</f>
        <v>25</v>
      </c>
      <c r="AL64" s="644">
        <v>24.5</v>
      </c>
      <c r="AM64" s="666">
        <f>AL64 / $D$22</f>
        <v>7.5195123672959524E-2</v>
      </c>
      <c r="AN64" s="657">
        <f>$F$22</f>
        <v>25</v>
      </c>
      <c r="AO64" s="644">
        <v>24.5</v>
      </c>
      <c r="AP64" s="666">
        <f>AO64 / $D$22</f>
        <v>7.5195123672959524E-2</v>
      </c>
      <c r="AQ64" s="654">
        <f>$F$22</f>
        <v>25</v>
      </c>
      <c r="AR64" s="644">
        <v>24.7</v>
      </c>
      <c r="AS64" s="666">
        <f>AR64 / $D$22</f>
        <v>7.5808961417228579E-2</v>
      </c>
      <c r="AT64" s="657">
        <f>$F$22</f>
        <v>25</v>
      </c>
      <c r="AU64" s="644">
        <v>24.6</v>
      </c>
      <c r="AV64" s="666">
        <f>AU64 / $D$22</f>
        <v>7.5502042545094059E-2</v>
      </c>
      <c r="AW64" s="654">
        <f>$F$22</f>
        <v>25</v>
      </c>
      <c r="AX64" s="644">
        <v>24.8</v>
      </c>
      <c r="AY64" s="666">
        <f>AX64 / $D$22</f>
        <v>7.6115880289363114E-2</v>
      </c>
      <c r="AZ64" s="657">
        <f>$F$22</f>
        <v>25</v>
      </c>
      <c r="BA64" s="644">
        <v>24.6</v>
      </c>
      <c r="BB64" s="668">
        <f>BA64 / $D$22</f>
        <v>7.5502042545094059E-2</v>
      </c>
    </row>
    <row r="65" spans="3:95" x14ac:dyDescent="0.3">
      <c r="C65" s="294"/>
      <c r="D65" s="294"/>
      <c r="G65" s="338"/>
      <c r="J65" s="294"/>
      <c r="K65" s="294"/>
      <c r="AC65" s="835" t="s">
        <v>52</v>
      </c>
      <c r="AD65" s="42" t="s">
        <v>339</v>
      </c>
      <c r="AE65" s="647">
        <f>$A$31 + ($C$31 * $E$26)</f>
        <v>40.300000000000004</v>
      </c>
      <c r="AF65" s="648">
        <v>28</v>
      </c>
      <c r="AG65" s="649"/>
      <c r="AH65" s="650">
        <f>$A$31 + ($C$31 * $E$26)</f>
        <v>40.300000000000004</v>
      </c>
      <c r="AI65" s="648">
        <v>27</v>
      </c>
      <c r="AJ65" s="622"/>
      <c r="AK65" s="647">
        <f>$A$31 + ($C$31 * $E$26)</f>
        <v>40.300000000000004</v>
      </c>
      <c r="AL65" s="648">
        <v>28</v>
      </c>
      <c r="AM65" s="649"/>
      <c r="AN65" s="650">
        <f>$A$31 + ($C$31 * $E$26)</f>
        <v>40.300000000000004</v>
      </c>
      <c r="AO65" s="648">
        <v>30</v>
      </c>
      <c r="AP65" s="622"/>
      <c r="AQ65" s="647">
        <f>$A$31 + ($C$31 * $E$26)</f>
        <v>40.300000000000004</v>
      </c>
      <c r="AR65" s="648">
        <v>32</v>
      </c>
      <c r="AS65" s="649"/>
      <c r="AT65" s="650">
        <f>$A$31 + ($C$31 * $E$26)</f>
        <v>40.300000000000004</v>
      </c>
      <c r="AU65" s="648">
        <v>33</v>
      </c>
      <c r="AV65" s="622"/>
      <c r="AW65" s="647">
        <f>$A$31 + ($C$31 * $E$26)</f>
        <v>40.300000000000004</v>
      </c>
      <c r="AX65" s="648">
        <v>34</v>
      </c>
      <c r="AY65" s="649"/>
      <c r="AZ65" s="650">
        <f>$A$31 + ($C$31 * $E$26)</f>
        <v>40.300000000000004</v>
      </c>
      <c r="BA65" s="648">
        <v>33</v>
      </c>
      <c r="BB65" s="677"/>
    </row>
    <row r="66" spans="3:95" x14ac:dyDescent="0.3">
      <c r="C66" s="294"/>
      <c r="D66" s="294"/>
      <c r="G66" s="338"/>
      <c r="AC66" s="834"/>
      <c r="AD66" s="653" t="s">
        <v>1</v>
      </c>
      <c r="AE66" s="654">
        <f xml:space="preserve"> ($D$36 * $G$12) + ($E$36 * $E$26)</f>
        <v>80.148875862068962</v>
      </c>
      <c r="AF66" s="644">
        <v>78</v>
      </c>
      <c r="AG66" s="655">
        <f>AF66 * $BF$27 / $D$12</f>
        <v>4.8659447285469712E-2</v>
      </c>
      <c r="AH66" s="644" t="s">
        <v>9</v>
      </c>
      <c r="AI66" s="644" t="s">
        <v>9</v>
      </c>
      <c r="AJ66" s="340"/>
      <c r="AK66" s="646" t="s">
        <v>9</v>
      </c>
      <c r="AL66" s="644" t="s">
        <v>9</v>
      </c>
      <c r="AM66" s="637"/>
      <c r="AN66" s="644" t="s">
        <v>9</v>
      </c>
      <c r="AO66" s="644" t="s">
        <v>9</v>
      </c>
      <c r="AP66" s="340"/>
      <c r="AQ66" s="646" t="s">
        <v>9</v>
      </c>
      <c r="AR66" s="644" t="s">
        <v>9</v>
      </c>
      <c r="AS66" s="637"/>
      <c r="AT66" s="644" t="s">
        <v>9</v>
      </c>
      <c r="AU66" s="644" t="s">
        <v>9</v>
      </c>
      <c r="AV66" s="340"/>
      <c r="AW66" s="646" t="s">
        <v>9</v>
      </c>
      <c r="AX66" s="644" t="s">
        <v>9</v>
      </c>
      <c r="AY66" s="637"/>
      <c r="AZ66" s="644" t="s">
        <v>9</v>
      </c>
      <c r="BA66" s="644" t="s">
        <v>9</v>
      </c>
      <c r="BB66" s="662"/>
    </row>
    <row r="67" spans="3:95" x14ac:dyDescent="0.3">
      <c r="C67" s="294"/>
      <c r="D67" s="294"/>
      <c r="G67" s="338"/>
      <c r="AC67" s="834"/>
      <c r="AD67" s="45" t="s">
        <v>2</v>
      </c>
      <c r="AE67" s="646" t="s">
        <v>9</v>
      </c>
      <c r="AF67" s="644" t="s">
        <v>9</v>
      </c>
      <c r="AG67" s="637"/>
      <c r="AH67" s="657">
        <f xml:space="preserve"> ($D$37 * $G$13) + ($E$37 * $E$26)</f>
        <v>80.630093750000015</v>
      </c>
      <c r="AI67" s="644">
        <v>80</v>
      </c>
      <c r="AJ67" s="658">
        <f>AI67 * $BF$28 / $D$13</f>
        <v>4.9609268871772833E-2</v>
      </c>
      <c r="AK67" s="646" t="s">
        <v>9</v>
      </c>
      <c r="AL67" s="644" t="s">
        <v>9</v>
      </c>
      <c r="AM67" s="637"/>
      <c r="AN67" s="644" t="s">
        <v>9</v>
      </c>
      <c r="AO67" s="644" t="s">
        <v>9</v>
      </c>
      <c r="AP67" s="340"/>
      <c r="AQ67" s="646" t="s">
        <v>9</v>
      </c>
      <c r="AR67" s="644" t="s">
        <v>9</v>
      </c>
      <c r="AS67" s="637"/>
      <c r="AT67" s="644" t="s">
        <v>9</v>
      </c>
      <c r="AU67" s="644" t="s">
        <v>9</v>
      </c>
      <c r="AV67" s="340"/>
      <c r="AW67" s="654">
        <f xml:space="preserve"> ($D$37 * $G$13) + ($E$37 * $E$26)</f>
        <v>80.630093750000015</v>
      </c>
      <c r="AX67" s="644">
        <v>79</v>
      </c>
      <c r="AY67" s="655">
        <f>AX67 * $BF$28 / $D$13</f>
        <v>4.8989153010875669E-2</v>
      </c>
      <c r="AZ67" s="644" t="s">
        <v>9</v>
      </c>
      <c r="BA67" s="644" t="s">
        <v>9</v>
      </c>
      <c r="BB67" s="662"/>
      <c r="BH67" s="778" t="s">
        <v>399</v>
      </c>
      <c r="BI67" s="791" t="s">
        <v>169</v>
      </c>
      <c r="BJ67" s="791"/>
      <c r="BK67" s="791"/>
      <c r="BL67" s="791"/>
      <c r="BM67" s="791"/>
      <c r="BO67" s="791" t="s">
        <v>334</v>
      </c>
      <c r="BP67" s="791"/>
      <c r="BQ67" s="791"/>
      <c r="BR67" s="791"/>
      <c r="BS67" s="791"/>
      <c r="BU67" s="791" t="s">
        <v>335</v>
      </c>
      <c r="BV67" s="791"/>
      <c r="BW67" s="791"/>
      <c r="BX67" s="791"/>
      <c r="BY67" s="791"/>
      <c r="CA67" s="791" t="s">
        <v>336</v>
      </c>
      <c r="CB67" s="791"/>
      <c r="CC67" s="791"/>
      <c r="CD67" s="791"/>
      <c r="CE67" s="791"/>
      <c r="CG67" s="791"/>
      <c r="CH67" s="791"/>
      <c r="CI67" s="791"/>
      <c r="CJ67" s="791"/>
      <c r="CK67" s="791"/>
      <c r="CM67" s="791"/>
      <c r="CN67" s="791"/>
      <c r="CO67" s="791"/>
      <c r="CP67" s="791"/>
      <c r="CQ67" s="791"/>
    </row>
    <row r="68" spans="3:95" x14ac:dyDescent="0.3">
      <c r="C68" s="294"/>
      <c r="D68" s="294"/>
      <c r="E68" s="22">
        <f>50+92+91+67+870</f>
        <v>1170</v>
      </c>
      <c r="G68" s="338"/>
      <c r="AC68" s="834"/>
      <c r="AD68" s="45" t="s">
        <v>4</v>
      </c>
      <c r="AE68" s="646" t="s">
        <v>9</v>
      </c>
      <c r="AF68" s="644" t="s">
        <v>9</v>
      </c>
      <c r="AG68" s="637"/>
      <c r="AH68" s="644" t="s">
        <v>9</v>
      </c>
      <c r="AI68" s="644" t="s">
        <v>9</v>
      </c>
      <c r="AJ68" s="340"/>
      <c r="AK68" s="654">
        <f xml:space="preserve"> ($D$38 * $G$14) + ($E$38 * $E$26)</f>
        <v>81.071718260869559</v>
      </c>
      <c r="AL68" s="644">
        <v>76</v>
      </c>
      <c r="AM68" s="655">
        <f>AL68 * $BF$29 / $D$14</f>
        <v>4.6872079209823843E-2</v>
      </c>
      <c r="AN68" s="644" t="s">
        <v>9</v>
      </c>
      <c r="AO68" s="644" t="s">
        <v>9</v>
      </c>
      <c r="AP68" s="340"/>
      <c r="AQ68" s="646" t="s">
        <v>9</v>
      </c>
      <c r="AR68" s="644" t="s">
        <v>9</v>
      </c>
      <c r="AS68" s="637"/>
      <c r="AT68" s="644" t="s">
        <v>9</v>
      </c>
      <c r="AU68" s="644" t="s">
        <v>9</v>
      </c>
      <c r="AV68" s="340"/>
      <c r="AW68" s="646" t="s">
        <v>9</v>
      </c>
      <c r="AX68" s="644" t="s">
        <v>9</v>
      </c>
      <c r="AY68" s="637"/>
      <c r="AZ68" s="644" t="s">
        <v>9</v>
      </c>
      <c r="BA68" s="644" t="s">
        <v>9</v>
      </c>
      <c r="BB68" s="662"/>
      <c r="BH68" s="778"/>
    </row>
    <row r="69" spans="3:95" ht="17.399999999999999" x14ac:dyDescent="0.35">
      <c r="C69" s="294"/>
      <c r="D69" s="294"/>
      <c r="G69" s="338"/>
      <c r="M69" s="682" t="s">
        <v>439</v>
      </c>
      <c r="AB69" s="21"/>
      <c r="AC69" s="834"/>
      <c r="AD69" s="45" t="s">
        <v>12</v>
      </c>
      <c r="AE69" s="646" t="s">
        <v>9</v>
      </c>
      <c r="AF69" s="644" t="s">
        <v>9</v>
      </c>
      <c r="AG69" s="637"/>
      <c r="AH69" s="644" t="s">
        <v>9</v>
      </c>
      <c r="AI69" s="644" t="s">
        <v>9</v>
      </c>
      <c r="AJ69" s="340"/>
      <c r="AK69" s="646" t="s">
        <v>9</v>
      </c>
      <c r="AL69" s="644" t="s">
        <v>9</v>
      </c>
      <c r="AM69" s="637"/>
      <c r="AN69" s="657">
        <f xml:space="preserve"> ($D$39 * $G$15) + ($E$39 * $E$26)</f>
        <v>81.395949074074082</v>
      </c>
      <c r="AO69" s="644">
        <v>81</v>
      </c>
      <c r="AP69" s="658">
        <f>AO69 * $BF$30 / $D$15</f>
        <v>4.9756775933828275E-2</v>
      </c>
      <c r="AQ69" s="654" t="s">
        <v>9</v>
      </c>
      <c r="AR69" s="644" t="s">
        <v>9</v>
      </c>
      <c r="AS69" s="637"/>
      <c r="AT69" s="644" t="s">
        <v>9</v>
      </c>
      <c r="AU69" s="644" t="s">
        <v>9</v>
      </c>
      <c r="AV69" s="340"/>
      <c r="AW69" s="646" t="s">
        <v>9</v>
      </c>
      <c r="AX69" s="644" t="s">
        <v>9</v>
      </c>
      <c r="AY69" s="637"/>
      <c r="AZ69" s="657">
        <f xml:space="preserve"> ($D$39 * $G$15) + ($E$39 * $E$26)</f>
        <v>81.395949074074082</v>
      </c>
      <c r="BA69" s="644">
        <v>83</v>
      </c>
      <c r="BB69" s="659">
        <f>BA69 * $BF$30 / $D$15</f>
        <v>5.0985338302564777E-2</v>
      </c>
      <c r="BE69" s="21"/>
      <c r="BH69" s="778"/>
      <c r="BI69" s="21"/>
    </row>
    <row r="70" spans="3:95" x14ac:dyDescent="0.3">
      <c r="C70" s="294"/>
      <c r="D70" s="294"/>
      <c r="G70" s="338"/>
      <c r="AC70" s="834"/>
      <c r="AD70" s="45" t="s">
        <v>36</v>
      </c>
      <c r="AE70" s="646" t="s">
        <v>9</v>
      </c>
      <c r="AF70" s="644" t="s">
        <v>9</v>
      </c>
      <c r="AG70" s="637"/>
      <c r="AH70" s="644" t="s">
        <v>9</v>
      </c>
      <c r="AI70" s="644" t="s">
        <v>9</v>
      </c>
      <c r="AJ70" s="340"/>
      <c r="AK70" s="646" t="s">
        <v>9</v>
      </c>
      <c r="AL70" s="644" t="s">
        <v>9</v>
      </c>
      <c r="AM70" s="637"/>
      <c r="AN70" s="644" t="s">
        <v>9</v>
      </c>
      <c r="AO70" s="644" t="s">
        <v>9</v>
      </c>
      <c r="AP70" s="340"/>
      <c r="AQ70" s="654">
        <f xml:space="preserve"> ($D$40 * $G$16) + ($E$40 * $E$26)</f>
        <v>80.636676923076934</v>
      </c>
      <c r="AR70" s="644">
        <v>76</v>
      </c>
      <c r="AS70" s="655">
        <f>AR70 * $BF$31 / $D$16</f>
        <v>4.7124957835564044E-2</v>
      </c>
      <c r="AT70" s="657" t="s">
        <v>9</v>
      </c>
      <c r="AU70" s="644" t="s">
        <v>9</v>
      </c>
      <c r="AV70" s="340"/>
      <c r="AW70" s="646" t="s">
        <v>9</v>
      </c>
      <c r="AX70" s="644" t="s">
        <v>9</v>
      </c>
      <c r="AY70" s="637"/>
      <c r="AZ70" s="644" t="s">
        <v>9</v>
      </c>
      <c r="BA70" s="644" t="s">
        <v>9</v>
      </c>
      <c r="BB70" s="662"/>
      <c r="BH70" s="778"/>
    </row>
    <row r="71" spans="3:95" x14ac:dyDescent="0.3">
      <c r="C71" s="294"/>
      <c r="D71" s="294"/>
      <c r="G71" s="338"/>
      <c r="M71" s="21" t="s">
        <v>199</v>
      </c>
      <c r="N71" s="21" t="s">
        <v>200</v>
      </c>
      <c r="O71" s="21" t="s">
        <v>201</v>
      </c>
      <c r="P71" s="21" t="s">
        <v>440</v>
      </c>
      <c r="Q71" s="21" t="s">
        <v>441</v>
      </c>
      <c r="R71" s="21" t="s">
        <v>442</v>
      </c>
      <c r="S71" s="21" t="s">
        <v>205</v>
      </c>
      <c r="T71" s="21" t="s">
        <v>206</v>
      </c>
      <c r="U71" s="21" t="s">
        <v>443</v>
      </c>
      <c r="V71" s="21" t="s">
        <v>46</v>
      </c>
      <c r="AC71" s="834"/>
      <c r="AD71" s="45" t="s">
        <v>37</v>
      </c>
      <c r="AE71" s="646" t="s">
        <v>9</v>
      </c>
      <c r="AF71" s="644" t="s">
        <v>9</v>
      </c>
      <c r="AG71" s="637"/>
      <c r="AH71" s="644" t="s">
        <v>9</v>
      </c>
      <c r="AI71" s="644" t="s">
        <v>9</v>
      </c>
      <c r="AJ71" s="340"/>
      <c r="AK71" s="646" t="s">
        <v>9</v>
      </c>
      <c r="AL71" s="644" t="s">
        <v>9</v>
      </c>
      <c r="AM71" s="637"/>
      <c r="AN71" s="657" t="s">
        <v>9</v>
      </c>
      <c r="AO71" s="644" t="s">
        <v>9</v>
      </c>
      <c r="AP71" s="340"/>
      <c r="AQ71" s="646" t="s">
        <v>9</v>
      </c>
      <c r="AR71" s="644" t="s">
        <v>9</v>
      </c>
      <c r="AS71" s="637"/>
      <c r="AT71" s="657">
        <f xml:space="preserve"> ($D$41 * $G$17) + ($E$41 * $E$26)</f>
        <v>80.625824396782846</v>
      </c>
      <c r="AU71" s="644">
        <v>79</v>
      </c>
      <c r="AV71" s="658">
        <f>AU71 * $BF$32 / $D$17</f>
        <v>4.8991747117659433E-2</v>
      </c>
      <c r="AW71" s="646" t="s">
        <v>9</v>
      </c>
      <c r="AX71" s="644" t="s">
        <v>9</v>
      </c>
      <c r="AY71" s="637"/>
      <c r="AZ71" s="644" t="s">
        <v>9</v>
      </c>
      <c r="BA71" s="644" t="s">
        <v>9</v>
      </c>
      <c r="BB71" s="662"/>
      <c r="BH71" s="778"/>
    </row>
    <row r="72" spans="3:95" x14ac:dyDescent="0.3">
      <c r="C72" s="294"/>
      <c r="D72" s="294"/>
      <c r="G72" s="338"/>
      <c r="M72" s="22" t="s">
        <v>59</v>
      </c>
      <c r="N72" s="22">
        <v>1489.12</v>
      </c>
      <c r="O72" s="22">
        <v>1</v>
      </c>
      <c r="P72" s="22">
        <v>2.97</v>
      </c>
      <c r="Q72" s="683">
        <v>16.155475000000003</v>
      </c>
      <c r="R72" s="683">
        <f>AG14*323.1095</f>
        <v>15.520761353419289</v>
      </c>
      <c r="S72" s="683">
        <f t="shared" ref="S72:S119" si="20">N72/1776*2297/1000</f>
        <v>1.925962072072072</v>
      </c>
      <c r="T72" s="683">
        <f>S72/R72*100</f>
        <v>12.408940697021764</v>
      </c>
      <c r="U72" s="683">
        <f>AVERAGE(T72:T74)</f>
        <v>9.3771020818700332</v>
      </c>
      <c r="V72" s="22" t="s">
        <v>48</v>
      </c>
      <c r="AC72" s="834"/>
      <c r="AD72" s="653" t="s">
        <v>34</v>
      </c>
      <c r="AE72" s="646" t="s">
        <v>9</v>
      </c>
      <c r="AF72" s="644" t="s">
        <v>9</v>
      </c>
      <c r="AG72" s="637"/>
      <c r="AH72" s="644" t="s">
        <v>9</v>
      </c>
      <c r="AI72" s="644" t="s">
        <v>9</v>
      </c>
      <c r="AJ72" s="340"/>
      <c r="AK72" s="646" t="s">
        <v>9</v>
      </c>
      <c r="AL72" s="644" t="s">
        <v>9</v>
      </c>
      <c r="AM72" s="637"/>
      <c r="AN72" s="644" t="s">
        <v>9</v>
      </c>
      <c r="AO72" s="644" t="s">
        <v>9</v>
      </c>
      <c r="AP72" s="340"/>
      <c r="AQ72" s="646" t="s">
        <v>9</v>
      </c>
      <c r="AR72" s="644" t="s">
        <v>9</v>
      </c>
      <c r="AS72" s="637"/>
      <c r="AT72" s="644" t="s">
        <v>9</v>
      </c>
      <c r="AU72" s="644" t="s">
        <v>9</v>
      </c>
      <c r="AV72" s="340"/>
      <c r="AW72" s="646" t="s">
        <v>9</v>
      </c>
      <c r="AX72" s="644" t="s">
        <v>9</v>
      </c>
      <c r="AY72" s="637"/>
      <c r="AZ72" s="644" t="s">
        <v>9</v>
      </c>
      <c r="BA72" s="644" t="s">
        <v>9</v>
      </c>
      <c r="BB72" s="662"/>
      <c r="BH72" s="778"/>
    </row>
    <row r="73" spans="3:95" x14ac:dyDescent="0.3">
      <c r="C73" s="294"/>
      <c r="D73" s="294"/>
      <c r="G73" s="338"/>
      <c r="M73" s="22" t="s">
        <v>62</v>
      </c>
      <c r="N73" s="22">
        <v>827.85</v>
      </c>
      <c r="O73" s="22">
        <v>1</v>
      </c>
      <c r="P73" s="22">
        <v>2.97</v>
      </c>
      <c r="Q73" s="683">
        <v>16.155475000000003</v>
      </c>
      <c r="R73" s="683">
        <f>AG27*323.1095</f>
        <v>15.319193024154103</v>
      </c>
      <c r="S73" s="683">
        <f t="shared" si="20"/>
        <v>1.0707046452702702</v>
      </c>
      <c r="T73" s="683">
        <f t="shared" ref="T73:T119" si="21">S73/R73*100</f>
        <v>6.9893018749882394</v>
      </c>
      <c r="V73" s="22" t="s">
        <v>48</v>
      </c>
      <c r="AC73" s="834"/>
      <c r="AD73" s="45" t="s">
        <v>7</v>
      </c>
      <c r="AE73" s="654">
        <f xml:space="preserve"> ($D$48 * $G$19) + ($E$48 * $E$26)</f>
        <v>80.7785504587156</v>
      </c>
      <c r="AF73" s="644">
        <v>74</v>
      </c>
      <c r="AG73" s="655">
        <f>AF73 * $BF$34 / $D$19</f>
        <v>6.8706357919067873E-2</v>
      </c>
      <c r="AH73" s="657">
        <f xml:space="preserve"> ($D$48 * $G$19) + ($E$48 * $E$26)</f>
        <v>80.7785504587156</v>
      </c>
      <c r="AI73" s="644">
        <v>76</v>
      </c>
      <c r="AJ73" s="658">
        <f>AI73 * $BF$34 / $D$19</f>
        <v>7.0563286511475101E-2</v>
      </c>
      <c r="AK73" s="654">
        <f xml:space="preserve"> ($D$48 * $G$19) + ($E$48 * $E$26)</f>
        <v>80.7785504587156</v>
      </c>
      <c r="AL73" s="644">
        <v>79</v>
      </c>
      <c r="AM73" s="655">
        <f>AL73 * $BF$34 / $D$19</f>
        <v>7.3348679400085964E-2</v>
      </c>
      <c r="AN73" s="657">
        <f xml:space="preserve"> ($D$48 * $G$19) + ($E$48 * $E$26)</f>
        <v>80.7785504587156</v>
      </c>
      <c r="AO73" s="644">
        <v>78</v>
      </c>
      <c r="AP73" s="658">
        <f>AO73 * $BF$34 / $D$19</f>
        <v>7.2420215103882343E-2</v>
      </c>
      <c r="AQ73" s="654">
        <f xml:space="preserve"> ($D$48 * $G$19) + ($E$48 * $E$26)</f>
        <v>80.7785504587156</v>
      </c>
      <c r="AR73" s="644">
        <v>64</v>
      </c>
      <c r="AS73" s="655">
        <f>AR73 * $BF$34 / $D$19</f>
        <v>5.942171495703167E-2</v>
      </c>
      <c r="AT73" s="657">
        <f xml:space="preserve"> ($D$48 * $G$19) + ($E$48 * $E$26)</f>
        <v>80.7785504587156</v>
      </c>
      <c r="AU73" s="644">
        <v>78</v>
      </c>
      <c r="AV73" s="658">
        <f>AU73 * $BF$34 / $D$19</f>
        <v>7.2420215103882343E-2</v>
      </c>
      <c r="AW73" s="646" t="s">
        <v>9</v>
      </c>
      <c r="AX73" s="644" t="s">
        <v>9</v>
      </c>
      <c r="AY73" s="637"/>
      <c r="AZ73" s="644" t="s">
        <v>9</v>
      </c>
      <c r="BA73" s="644" t="s">
        <v>9</v>
      </c>
      <c r="BB73" s="662"/>
      <c r="BH73" s="778"/>
    </row>
    <row r="74" spans="3:95" x14ac:dyDescent="0.3">
      <c r="C74" s="294"/>
      <c r="D74" s="294"/>
      <c r="G74" s="338"/>
      <c r="M74" s="22" t="s">
        <v>65</v>
      </c>
      <c r="N74" s="22">
        <v>1020.78</v>
      </c>
      <c r="O74" s="22">
        <v>1</v>
      </c>
      <c r="P74" s="22">
        <v>2.97</v>
      </c>
      <c r="Q74" s="683">
        <v>16.155475000000003</v>
      </c>
      <c r="R74" s="683">
        <f>AG40*323.1095</f>
        <v>15.117624694888917</v>
      </c>
      <c r="S74" s="683">
        <f t="shared" si="20"/>
        <v>1.3202317905405405</v>
      </c>
      <c r="T74" s="683">
        <f t="shared" si="21"/>
        <v>8.7330636736000908</v>
      </c>
      <c r="V74" s="22" t="s">
        <v>48</v>
      </c>
      <c r="AC74" s="834"/>
      <c r="AD74" s="661" t="s">
        <v>75</v>
      </c>
      <c r="AE74" s="646" t="s">
        <v>9</v>
      </c>
      <c r="AF74" s="644" t="s">
        <v>9</v>
      </c>
      <c r="AG74" s="637"/>
      <c r="AH74" s="644" t="s">
        <v>9</v>
      </c>
      <c r="AI74" s="644" t="s">
        <v>9</v>
      </c>
      <c r="AJ74" s="340"/>
      <c r="AK74" s="646" t="s">
        <v>9</v>
      </c>
      <c r="AL74" s="644" t="s">
        <v>9</v>
      </c>
      <c r="AM74" s="637"/>
      <c r="AN74" s="644" t="s">
        <v>9</v>
      </c>
      <c r="AO74" s="644" t="s">
        <v>9</v>
      </c>
      <c r="AP74" s="340"/>
      <c r="AQ74" s="646" t="s">
        <v>9</v>
      </c>
      <c r="AR74" s="644" t="s">
        <v>9</v>
      </c>
      <c r="AS74" s="637"/>
      <c r="AT74" s="644" t="s">
        <v>9</v>
      </c>
      <c r="AU74" s="644" t="s">
        <v>9</v>
      </c>
      <c r="AV74" s="340"/>
      <c r="AW74" s="654">
        <f xml:space="preserve"> ($D$49 * $G$20) + ($E$49 * $E$26)</f>
        <v>80.753508750000009</v>
      </c>
      <c r="AX74" s="644">
        <v>74</v>
      </c>
      <c r="AY74" s="655">
        <f>AX74 * $BF$35 / $D$20</f>
        <v>6.872766379950021E-2</v>
      </c>
      <c r="AZ74" s="657">
        <f xml:space="preserve"> ($D$49 * $G$20) + ($E$49 * $E$26)</f>
        <v>80.753508750000009</v>
      </c>
      <c r="BA74" s="644">
        <v>78</v>
      </c>
      <c r="BB74" s="659">
        <f>BA74 * $BF$35 / $D$20</f>
        <v>7.244267265352726E-2</v>
      </c>
      <c r="BH74" s="778"/>
    </row>
    <row r="75" spans="3:95" x14ac:dyDescent="0.3">
      <c r="C75" s="294"/>
      <c r="D75" s="294"/>
      <c r="G75" s="338"/>
      <c r="M75" s="22" t="s">
        <v>60</v>
      </c>
      <c r="N75" s="22">
        <v>50.3</v>
      </c>
      <c r="O75" s="22">
        <v>1</v>
      </c>
      <c r="P75" s="22">
        <v>2.97</v>
      </c>
      <c r="Q75" s="683">
        <v>18.105650000000001</v>
      </c>
      <c r="R75" s="683">
        <f>AJ15*362.113</f>
        <v>16.616849090541955</v>
      </c>
      <c r="S75" s="683">
        <f t="shared" si="20"/>
        <v>6.5055799549549542E-2</v>
      </c>
      <c r="T75" s="683">
        <f t="shared" si="21"/>
        <v>0.39150502718700297</v>
      </c>
      <c r="U75" s="683">
        <f>AVERAGE(T75:T77)</f>
        <v>0.92136908320943922</v>
      </c>
      <c r="V75" s="22" t="s">
        <v>49</v>
      </c>
      <c r="AC75" s="834"/>
      <c r="AD75" s="661" t="s">
        <v>3</v>
      </c>
      <c r="AE75" s="654">
        <f xml:space="preserve"> $E$64 * $E$26</f>
        <v>683.82</v>
      </c>
      <c r="AF75" s="644">
        <v>680</v>
      </c>
      <c r="AG75" s="637"/>
      <c r="AH75" s="657">
        <f xml:space="preserve"> $E$64 * $E$26</f>
        <v>683.82</v>
      </c>
      <c r="AI75" s="644">
        <v>680</v>
      </c>
      <c r="AJ75" s="340"/>
      <c r="AK75" s="654">
        <f xml:space="preserve"> $E$64 * $E$26</f>
        <v>683.82</v>
      </c>
      <c r="AL75" s="644">
        <v>680</v>
      </c>
      <c r="AM75" s="637"/>
      <c r="AN75" s="657">
        <f xml:space="preserve"> $E$64 * $E$26</f>
        <v>683.82</v>
      </c>
      <c r="AO75" s="644">
        <v>679</v>
      </c>
      <c r="AP75" s="340"/>
      <c r="AQ75" s="654">
        <f xml:space="preserve"> $E$64 * $E$26</f>
        <v>683.82</v>
      </c>
      <c r="AR75" s="644">
        <v>679</v>
      </c>
      <c r="AS75" s="637"/>
      <c r="AT75" s="657">
        <f xml:space="preserve"> $E$64 * $E$26</f>
        <v>683.82</v>
      </c>
      <c r="AU75" s="644">
        <v>680</v>
      </c>
      <c r="AV75" s="340"/>
      <c r="AW75" s="654">
        <f xml:space="preserve"> $E$64 * $E$26</f>
        <v>683.82</v>
      </c>
      <c r="AX75" s="644">
        <v>679</v>
      </c>
      <c r="AY75" s="637"/>
      <c r="AZ75" s="657">
        <f xml:space="preserve"> $E$64 * $E$26</f>
        <v>683.82</v>
      </c>
      <c r="BA75" s="644">
        <v>680</v>
      </c>
      <c r="BB75" s="662"/>
      <c r="BH75" s="778"/>
    </row>
    <row r="76" spans="3:95" x14ac:dyDescent="0.3">
      <c r="C76" s="294"/>
      <c r="D76" s="294"/>
      <c r="G76" s="338"/>
      <c r="M76" s="22" t="s">
        <v>63</v>
      </c>
      <c r="N76" s="22">
        <v>232.79</v>
      </c>
      <c r="O76" s="22">
        <v>1</v>
      </c>
      <c r="P76" s="22">
        <v>2.97</v>
      </c>
      <c r="Q76" s="683">
        <v>18.105650000000001</v>
      </c>
      <c r="R76" s="683">
        <f>AJ28*362.113</f>
        <v>16.392297075804901</v>
      </c>
      <c r="S76" s="683">
        <f t="shared" si="20"/>
        <v>0.30108030968468469</v>
      </c>
      <c r="T76" s="683">
        <f t="shared" si="21"/>
        <v>1.8367182359638936</v>
      </c>
      <c r="V76" s="22" t="s">
        <v>49</v>
      </c>
      <c r="AC76" s="834"/>
      <c r="AD76" s="305" t="s">
        <v>238</v>
      </c>
      <c r="AE76" s="654">
        <f xml:space="preserve"> ( $E$55 * $G$21 ) + ( $F$55 * $E$26 )</f>
        <v>69.546400000000006</v>
      </c>
      <c r="AF76" s="644">
        <v>75</v>
      </c>
      <c r="AG76" s="655">
        <f>AF76 * $BF$36 / $D$21</f>
        <v>8.8953811858309861E-2</v>
      </c>
      <c r="AH76" s="657">
        <f xml:space="preserve"> ( $E$55 * $G$21 ) + ( $F$55 * $E$26 )</f>
        <v>69.546400000000006</v>
      </c>
      <c r="AI76" s="644">
        <v>72</v>
      </c>
      <c r="AJ76" s="658">
        <f>AI76 * $BF$36 / $D$21</f>
        <v>8.539565938397746E-2</v>
      </c>
      <c r="AK76" s="654">
        <f xml:space="preserve"> ( $E$55 * $G$21 ) + ( $F$55 * $E$26 )</f>
        <v>69.546400000000006</v>
      </c>
      <c r="AL76" s="644">
        <v>76</v>
      </c>
      <c r="AM76" s="655">
        <f>AL76 * $BF$36 / $D$21</f>
        <v>9.0139862683087324E-2</v>
      </c>
      <c r="AN76" s="657">
        <f xml:space="preserve"> ( $E$55 * $G$21 ) + ( $F$55 * $E$26 )</f>
        <v>69.546400000000006</v>
      </c>
      <c r="AO76" s="644">
        <v>72</v>
      </c>
      <c r="AP76" s="658">
        <f>AO76 * $BF$36 / $D$21</f>
        <v>8.539565938397746E-2</v>
      </c>
      <c r="AQ76" s="654">
        <f xml:space="preserve"> ( $E$55 * $G$21 ) + ( $F$55 * $E$26 )</f>
        <v>69.546400000000006</v>
      </c>
      <c r="AR76" s="644">
        <v>65</v>
      </c>
      <c r="AS76" s="655">
        <f>AR76 * $BF$36 / $D$21</f>
        <v>7.7093303610535222E-2</v>
      </c>
      <c r="AT76" s="657">
        <f xml:space="preserve"> ( $E$55 * $G$21 ) + ( $F$55 * $E$26 )</f>
        <v>69.546400000000006</v>
      </c>
      <c r="AU76" s="644">
        <v>72</v>
      </c>
      <c r="AV76" s="658">
        <f>AU76 * $BF$36 / $D$21</f>
        <v>8.539565938397746E-2</v>
      </c>
      <c r="AW76" s="654">
        <f xml:space="preserve"> ( $E$55 * $G$21 ) + ( $F$55 * $E$26 )</f>
        <v>69.546400000000006</v>
      </c>
      <c r="AX76" s="644">
        <v>70</v>
      </c>
      <c r="AY76" s="655">
        <f>AX76 * $BF$36 / $D$21</f>
        <v>8.3023557734422535E-2</v>
      </c>
      <c r="AZ76" s="657">
        <f xml:space="preserve"> ( $E$55 * $G$21 ) + ( $F$55 * $E$26 )</f>
        <v>69.546400000000006</v>
      </c>
      <c r="BA76" s="644">
        <v>1</v>
      </c>
      <c r="BB76" s="659">
        <f>BA76 * $BF$36 / $D$21</f>
        <v>1.1860508247774648E-3</v>
      </c>
      <c r="BH76" s="778"/>
    </row>
    <row r="77" spans="3:95" x14ac:dyDescent="0.3">
      <c r="C77" s="294"/>
      <c r="D77" s="294"/>
      <c r="G77" s="338"/>
      <c r="M77" s="22" t="s">
        <v>66</v>
      </c>
      <c r="N77" s="22">
        <v>69.78</v>
      </c>
      <c r="O77" s="22">
        <v>1</v>
      </c>
      <c r="P77" s="22">
        <v>2.97</v>
      </c>
      <c r="Q77" s="683">
        <v>18.105650000000001</v>
      </c>
      <c r="R77" s="683">
        <f>AJ41*362.113</f>
        <v>16.841401105279012</v>
      </c>
      <c r="S77" s="683">
        <f t="shared" si="20"/>
        <v>9.0250371621621625E-2</v>
      </c>
      <c r="T77" s="683">
        <f t="shared" si="21"/>
        <v>0.53588398647742108</v>
      </c>
      <c r="V77" s="22" t="s">
        <v>49</v>
      </c>
      <c r="AC77" s="836"/>
      <c r="AD77" s="50" t="s">
        <v>6</v>
      </c>
      <c r="AE77" s="664">
        <f>$F$22</f>
        <v>25</v>
      </c>
      <c r="AF77" s="665">
        <v>24.5</v>
      </c>
      <c r="AG77" s="666">
        <f>AF77 / $D$22</f>
        <v>7.5195123672959524E-2</v>
      </c>
      <c r="AH77" s="667">
        <f>$F$22</f>
        <v>25</v>
      </c>
      <c r="AI77" s="665">
        <v>24.9</v>
      </c>
      <c r="AJ77" s="666">
        <f>AI77 / $D$22</f>
        <v>7.6422799161497634E-2</v>
      </c>
      <c r="AK77" s="664">
        <f>$F$22</f>
        <v>25</v>
      </c>
      <c r="AL77" s="665">
        <v>24.8</v>
      </c>
      <c r="AM77" s="666">
        <f>AL77 / $D$22</f>
        <v>7.6115880289363114E-2</v>
      </c>
      <c r="AN77" s="667">
        <f>$F$22</f>
        <v>25</v>
      </c>
      <c r="AO77" s="665">
        <v>24.9</v>
      </c>
      <c r="AP77" s="666">
        <f>AO77 / $D$22</f>
        <v>7.6422799161497634E-2</v>
      </c>
      <c r="AQ77" s="664">
        <f>$F$22</f>
        <v>25</v>
      </c>
      <c r="AR77" s="665">
        <v>24.8</v>
      </c>
      <c r="AS77" s="666">
        <f>AR77 / $D$22</f>
        <v>7.6115880289363114E-2</v>
      </c>
      <c r="AT77" s="667">
        <f>$F$22</f>
        <v>25</v>
      </c>
      <c r="AU77" s="665">
        <v>24.6</v>
      </c>
      <c r="AV77" s="666">
        <f>AU77 / $D$22</f>
        <v>7.5502042545094059E-2</v>
      </c>
      <c r="AW77" s="664">
        <f>$F$22</f>
        <v>25</v>
      </c>
      <c r="AX77" s="665">
        <v>24.7</v>
      </c>
      <c r="AY77" s="666">
        <f>AX77 / $D$22</f>
        <v>7.5808961417228579E-2</v>
      </c>
      <c r="AZ77" s="667">
        <f>$F$22</f>
        <v>25</v>
      </c>
      <c r="BA77" s="665">
        <v>25.3</v>
      </c>
      <c r="BB77" s="668">
        <f>BA77 / $D$22</f>
        <v>7.7650474650035758E-2</v>
      </c>
      <c r="BH77" s="778"/>
    </row>
    <row r="78" spans="3:95" x14ac:dyDescent="0.3">
      <c r="C78" s="294"/>
      <c r="D78" s="294"/>
      <c r="G78" s="338"/>
      <c r="M78" s="22" t="s">
        <v>61</v>
      </c>
      <c r="N78" s="22" t="s">
        <v>444</v>
      </c>
      <c r="O78" s="22">
        <v>1</v>
      </c>
      <c r="P78" s="22">
        <v>2.97</v>
      </c>
      <c r="Q78" s="683">
        <v>19.106999999999999</v>
      </c>
      <c r="R78" s="683">
        <f>AM16*382.14</f>
        <v>18.85441720972851</v>
      </c>
      <c r="S78" s="683" t="e">
        <f t="shared" si="20"/>
        <v>#VALUE!</v>
      </c>
      <c r="T78" s="683" t="e">
        <f t="shared" si="21"/>
        <v>#VALUE!</v>
      </c>
      <c r="U78" s="22">
        <v>0</v>
      </c>
      <c r="V78" s="22" t="s">
        <v>50</v>
      </c>
      <c r="AC78" s="834" t="s">
        <v>53</v>
      </c>
      <c r="AD78" s="305" t="s">
        <v>339</v>
      </c>
      <c r="AE78" s="654">
        <f>$A$31 + ($C$31 * $E$26)</f>
        <v>40.300000000000004</v>
      </c>
      <c r="AF78" s="644">
        <v>43</v>
      </c>
      <c r="AG78" s="637"/>
      <c r="AH78" s="657">
        <f>$A$31 + ($C$31 * $E$26)</f>
        <v>40.300000000000004</v>
      </c>
      <c r="AI78" s="644">
        <v>43</v>
      </c>
      <c r="AJ78" s="340"/>
      <c r="AK78" s="654">
        <f>$A$31 + ($C$31 * $E$26)</f>
        <v>40.300000000000004</v>
      </c>
      <c r="AL78" s="644">
        <v>46</v>
      </c>
      <c r="AM78" s="637"/>
      <c r="AN78" s="657">
        <f>$A$31 + ($C$31 * $E$26)</f>
        <v>40.300000000000004</v>
      </c>
      <c r="AO78" s="644">
        <v>42</v>
      </c>
      <c r="AP78" s="340"/>
      <c r="AQ78" s="654">
        <f>$A$31 + ($C$31 * $E$26)</f>
        <v>40.300000000000004</v>
      </c>
      <c r="AR78" s="644">
        <v>40</v>
      </c>
      <c r="AS78" s="637"/>
      <c r="AT78" s="657">
        <f>$A$31 + ($C$31 * $E$26)</f>
        <v>40.300000000000004</v>
      </c>
      <c r="AU78" s="644">
        <v>31</v>
      </c>
      <c r="AV78" s="340"/>
      <c r="AW78" s="654">
        <f>$A$31 + ($C$31 * $E$26)</f>
        <v>40.300000000000004</v>
      </c>
      <c r="AX78" s="644">
        <v>33</v>
      </c>
      <c r="AY78" s="637"/>
      <c r="AZ78" s="657">
        <f>$A$31 + ($C$31 * $E$26)</f>
        <v>40.300000000000004</v>
      </c>
      <c r="BA78" s="644">
        <v>33</v>
      </c>
      <c r="BB78" s="662"/>
      <c r="BH78" s="778"/>
    </row>
    <row r="79" spans="3:95" x14ac:dyDescent="0.3">
      <c r="C79" s="294"/>
      <c r="D79" s="294"/>
      <c r="G79" s="338"/>
      <c r="M79" s="22" t="s">
        <v>64</v>
      </c>
      <c r="N79" s="22" t="s">
        <v>444</v>
      </c>
      <c r="O79" s="22">
        <v>1</v>
      </c>
      <c r="P79" s="22">
        <v>2.97</v>
      </c>
      <c r="Q79" s="683">
        <v>19.106999999999999</v>
      </c>
      <c r="R79" s="683">
        <f>AM29*382.14</f>
        <v>17.911696349242082</v>
      </c>
      <c r="S79" s="683" t="e">
        <f t="shared" si="20"/>
        <v>#VALUE!</v>
      </c>
      <c r="T79" s="683" t="e">
        <f t="shared" si="21"/>
        <v>#VALUE!</v>
      </c>
      <c r="V79" s="22" t="s">
        <v>50</v>
      </c>
      <c r="AC79" s="834"/>
      <c r="AD79" s="653" t="s">
        <v>1</v>
      </c>
      <c r="AE79" s="654">
        <f xml:space="preserve"> ($D$36 * $G$12) + ($E$36 * $E$26)</f>
        <v>80.148875862068962</v>
      </c>
      <c r="AF79" s="644">
        <v>74</v>
      </c>
      <c r="AG79" s="655">
        <f>AF79 * $BF$27 / $D$12</f>
        <v>4.6164091014419976E-2</v>
      </c>
      <c r="AH79" s="644" t="s">
        <v>9</v>
      </c>
      <c r="AI79" s="644" t="s">
        <v>9</v>
      </c>
      <c r="AJ79" s="340"/>
      <c r="AK79" s="646" t="s">
        <v>9</v>
      </c>
      <c r="AL79" s="644" t="s">
        <v>9</v>
      </c>
      <c r="AM79" s="637"/>
      <c r="AN79" s="644" t="s">
        <v>9</v>
      </c>
      <c r="AO79" s="644" t="s">
        <v>9</v>
      </c>
      <c r="AP79" s="340"/>
      <c r="AQ79" s="646" t="s">
        <v>9</v>
      </c>
      <c r="AR79" s="644" t="s">
        <v>9</v>
      </c>
      <c r="AS79" s="637"/>
      <c r="AT79" s="644" t="s">
        <v>9</v>
      </c>
      <c r="AU79" s="644" t="s">
        <v>9</v>
      </c>
      <c r="AV79" s="340"/>
      <c r="AW79" s="646" t="s">
        <v>9</v>
      </c>
      <c r="AX79" s="644" t="s">
        <v>9</v>
      </c>
      <c r="AY79" s="637"/>
      <c r="AZ79" s="644" t="s">
        <v>9</v>
      </c>
      <c r="BA79" s="644" t="s">
        <v>9</v>
      </c>
      <c r="BB79" s="662"/>
      <c r="BH79" s="778"/>
    </row>
    <row r="80" spans="3:95" x14ac:dyDescent="0.3">
      <c r="I80" s="21"/>
      <c r="M80" s="22" t="s">
        <v>67</v>
      </c>
      <c r="N80" s="22" t="s">
        <v>444</v>
      </c>
      <c r="O80" s="22">
        <v>1</v>
      </c>
      <c r="P80" s="22">
        <v>2.97</v>
      </c>
      <c r="Q80" s="683">
        <v>19.106999999999999</v>
      </c>
      <c r="R80" s="683">
        <f>AM42*382.14</f>
        <v>17.911696349242082</v>
      </c>
      <c r="S80" s="683" t="e">
        <f t="shared" si="20"/>
        <v>#VALUE!</v>
      </c>
      <c r="T80" s="683" t="e">
        <f t="shared" si="21"/>
        <v>#VALUE!</v>
      </c>
      <c r="V80" s="22" t="s">
        <v>50</v>
      </c>
      <c r="AC80" s="834"/>
      <c r="AD80" s="45" t="s">
        <v>2</v>
      </c>
      <c r="AE80" s="646" t="s">
        <v>9</v>
      </c>
      <c r="AF80" s="644" t="s">
        <v>9</v>
      </c>
      <c r="AG80" s="637"/>
      <c r="AH80" s="657">
        <f xml:space="preserve"> ($D$37 * $G$13) + ($E$37 * $E$26)</f>
        <v>80.630093750000015</v>
      </c>
      <c r="AI80" s="644">
        <v>80</v>
      </c>
      <c r="AJ80" s="658">
        <f>AI80 * $BF$28 / $D$13</f>
        <v>4.9609268871772833E-2</v>
      </c>
      <c r="AK80" s="646" t="s">
        <v>9</v>
      </c>
      <c r="AL80" s="644" t="s">
        <v>9</v>
      </c>
      <c r="AM80" s="637"/>
      <c r="AN80" s="644" t="s">
        <v>9</v>
      </c>
      <c r="AO80" s="644" t="s">
        <v>9</v>
      </c>
      <c r="AP80" s="340"/>
      <c r="AQ80" s="646" t="s">
        <v>9</v>
      </c>
      <c r="AR80" s="644" t="s">
        <v>9</v>
      </c>
      <c r="AS80" s="637"/>
      <c r="AT80" s="644" t="s">
        <v>9</v>
      </c>
      <c r="AU80" s="644" t="s">
        <v>9</v>
      </c>
      <c r="AV80" s="340"/>
      <c r="AW80" s="654">
        <f xml:space="preserve"> ($D$37 * $G$13) + ($E$37 * $E$26)</f>
        <v>80.630093750000015</v>
      </c>
      <c r="AX80" s="644">
        <v>76</v>
      </c>
      <c r="AY80" s="655">
        <f>AX80 * $BF$28 / $D$13</f>
        <v>4.7128805428184192E-2</v>
      </c>
      <c r="AZ80" s="644" t="s">
        <v>9</v>
      </c>
      <c r="BA80" s="644" t="s">
        <v>9</v>
      </c>
      <c r="BB80" s="662"/>
      <c r="BH80" s="778"/>
    </row>
    <row r="81" spans="1:81" x14ac:dyDescent="0.3">
      <c r="M81" s="22" t="s">
        <v>82</v>
      </c>
      <c r="N81" s="22">
        <v>511.9</v>
      </c>
      <c r="O81" s="22">
        <v>1</v>
      </c>
      <c r="P81" s="22">
        <v>2.97</v>
      </c>
      <c r="Q81" s="683">
        <v>18.405000000000001</v>
      </c>
      <c r="R81" s="683">
        <f>AP17*368.1</f>
        <v>17.637118509344329</v>
      </c>
      <c r="S81" s="683">
        <f t="shared" si="20"/>
        <v>0.66206886261261255</v>
      </c>
      <c r="T81" s="683">
        <f t="shared" si="21"/>
        <v>3.7538380334737873</v>
      </c>
      <c r="U81" s="683">
        <f>AVERAGE(T81:T83)</f>
        <v>8.0505739235692015</v>
      </c>
      <c r="V81" s="22" t="s">
        <v>51</v>
      </c>
      <c r="AC81" s="834"/>
      <c r="AD81" s="45" t="s">
        <v>4</v>
      </c>
      <c r="AE81" s="646" t="s">
        <v>9</v>
      </c>
      <c r="AF81" s="644" t="s">
        <v>9</v>
      </c>
      <c r="AG81" s="637"/>
      <c r="AH81" s="644" t="s">
        <v>9</v>
      </c>
      <c r="AI81" s="644" t="s">
        <v>9</v>
      </c>
      <c r="AJ81" s="340"/>
      <c r="AK81" s="654">
        <f xml:space="preserve"> ($D$38 * $G$14) + ($E$38 * $E$26)</f>
        <v>81.071718260869559</v>
      </c>
      <c r="AL81" s="644">
        <v>75</v>
      </c>
      <c r="AM81" s="655">
        <f>AL81 * $BF$29 / $D$14</f>
        <v>4.6255341325484062E-2</v>
      </c>
      <c r="AN81" s="644" t="s">
        <v>9</v>
      </c>
      <c r="AO81" s="644" t="s">
        <v>9</v>
      </c>
      <c r="AP81" s="340"/>
      <c r="AQ81" s="646" t="s">
        <v>9</v>
      </c>
      <c r="AR81" s="644" t="s">
        <v>9</v>
      </c>
      <c r="AS81" s="637"/>
      <c r="AT81" s="644" t="s">
        <v>9</v>
      </c>
      <c r="AU81" s="644" t="s">
        <v>9</v>
      </c>
      <c r="AV81" s="340"/>
      <c r="AW81" s="646" t="s">
        <v>9</v>
      </c>
      <c r="AX81" s="644" t="s">
        <v>9</v>
      </c>
      <c r="AY81" s="637"/>
      <c r="AZ81" s="644" t="s">
        <v>9</v>
      </c>
      <c r="BA81" s="644" t="s">
        <v>9</v>
      </c>
      <c r="BB81" s="662"/>
      <c r="BH81" s="778"/>
    </row>
    <row r="82" spans="1:81" x14ac:dyDescent="0.3">
      <c r="M82" s="22" t="s">
        <v>85</v>
      </c>
      <c r="N82" s="22">
        <v>2251.36</v>
      </c>
      <c r="O82" s="22">
        <v>1</v>
      </c>
      <c r="P82" s="22">
        <v>2.97</v>
      </c>
      <c r="Q82" s="683">
        <v>18.405000000000001</v>
      </c>
      <c r="R82" s="683">
        <v>18.405000000000001</v>
      </c>
      <c r="S82" s="683">
        <f t="shared" si="20"/>
        <v>2.9118096396396398</v>
      </c>
      <c r="T82" s="683">
        <f t="shared" si="21"/>
        <v>15.820753271609018</v>
      </c>
      <c r="V82" s="22" t="s">
        <v>51</v>
      </c>
      <c r="AC82" s="834"/>
      <c r="AD82" s="45" t="s">
        <v>12</v>
      </c>
      <c r="AE82" s="646" t="s">
        <v>9</v>
      </c>
      <c r="AF82" s="644" t="s">
        <v>9</v>
      </c>
      <c r="AG82" s="637"/>
      <c r="AH82" s="644" t="s">
        <v>9</v>
      </c>
      <c r="AI82" s="644" t="s">
        <v>9</v>
      </c>
      <c r="AJ82" s="340"/>
      <c r="AK82" s="646" t="s">
        <v>9</v>
      </c>
      <c r="AL82" s="644" t="s">
        <v>9</v>
      </c>
      <c r="AM82" s="637"/>
      <c r="AN82" s="657">
        <f xml:space="preserve"> ($D$39 * $G$15) + ($E$39 * $E$26)</f>
        <v>81.395949074074082</v>
      </c>
      <c r="AO82" s="644">
        <v>80</v>
      </c>
      <c r="AP82" s="658">
        <f>AO82 * $BF$30 / $D$15</f>
        <v>4.9142494749460024E-2</v>
      </c>
      <c r="AQ82" s="654" t="s">
        <v>9</v>
      </c>
      <c r="AR82" s="644" t="s">
        <v>9</v>
      </c>
      <c r="AS82" s="637"/>
      <c r="AT82" s="644" t="s">
        <v>9</v>
      </c>
      <c r="AU82" s="644" t="s">
        <v>9</v>
      </c>
      <c r="AV82" s="340"/>
      <c r="AW82" s="646" t="s">
        <v>9</v>
      </c>
      <c r="AX82" s="644" t="s">
        <v>9</v>
      </c>
      <c r="AY82" s="637"/>
      <c r="AZ82" s="657">
        <f xml:space="preserve"> ($D$39 * $G$15) + ($E$39 * $E$26)</f>
        <v>81.395949074074082</v>
      </c>
      <c r="BA82" s="644">
        <v>79</v>
      </c>
      <c r="BB82" s="659">
        <f>BA82 * $BF$30 / $D$15</f>
        <v>4.8528213565091773E-2</v>
      </c>
      <c r="BH82" s="778"/>
    </row>
    <row r="83" spans="1:81" x14ac:dyDescent="0.3">
      <c r="M83" s="22" t="s">
        <v>86</v>
      </c>
      <c r="N83" s="683">
        <v>624.16999999999996</v>
      </c>
      <c r="O83" s="22">
        <v>1</v>
      </c>
      <c r="P83" s="22">
        <v>2.97</v>
      </c>
      <c r="Q83" s="683">
        <v>18.405000000000001</v>
      </c>
      <c r="R83" s="683">
        <v>17.637118509344329</v>
      </c>
      <c r="S83" s="683">
        <f t="shared" si="20"/>
        <v>0.80727392454954949</v>
      </c>
      <c r="T83" s="683">
        <f t="shared" si="21"/>
        <v>4.5771304656247978</v>
      </c>
      <c r="V83" s="22" t="s">
        <v>51</v>
      </c>
      <c r="AC83" s="834"/>
      <c r="AD83" s="45" t="s">
        <v>36</v>
      </c>
      <c r="AE83" s="646" t="s">
        <v>9</v>
      </c>
      <c r="AF83" s="644" t="s">
        <v>9</v>
      </c>
      <c r="AG83" s="637"/>
      <c r="AH83" s="644" t="s">
        <v>9</v>
      </c>
      <c r="AI83" s="644" t="s">
        <v>9</v>
      </c>
      <c r="AJ83" s="340"/>
      <c r="AK83" s="646" t="s">
        <v>9</v>
      </c>
      <c r="AL83" s="644" t="s">
        <v>9</v>
      </c>
      <c r="AM83" s="637"/>
      <c r="AN83" s="644" t="s">
        <v>9</v>
      </c>
      <c r="AO83" s="644" t="s">
        <v>9</v>
      </c>
      <c r="AP83" s="340"/>
      <c r="AQ83" s="654">
        <f xml:space="preserve"> ($D$40 * $G$16) + ($E$40 * $E$26)</f>
        <v>80.636676923076934</v>
      </c>
      <c r="AR83" s="644">
        <v>81</v>
      </c>
      <c r="AS83" s="655">
        <f>AR83 * $BF$31 / $D$16</f>
        <v>5.0225284008956414E-2</v>
      </c>
      <c r="AT83" s="657" t="s">
        <v>9</v>
      </c>
      <c r="AU83" s="644" t="s">
        <v>9</v>
      </c>
      <c r="AV83" s="340"/>
      <c r="AW83" s="646" t="s">
        <v>9</v>
      </c>
      <c r="AX83" s="644" t="s">
        <v>9</v>
      </c>
      <c r="AY83" s="637"/>
      <c r="AZ83" s="644" t="s">
        <v>9</v>
      </c>
      <c r="BA83" s="644" t="s">
        <v>9</v>
      </c>
      <c r="BB83" s="662"/>
      <c r="BH83" s="778"/>
      <c r="BJ83" s="21" t="s">
        <v>445</v>
      </c>
      <c r="BP83" s="21" t="s">
        <v>446</v>
      </c>
      <c r="BV83" s="21" t="s">
        <v>447</v>
      </c>
      <c r="CC83" s="21" t="s">
        <v>448</v>
      </c>
    </row>
    <row r="84" spans="1:81" x14ac:dyDescent="0.3">
      <c r="M84" s="22" t="s">
        <v>83</v>
      </c>
      <c r="N84" s="22">
        <v>228.4</v>
      </c>
      <c r="O84" s="22">
        <v>1</v>
      </c>
      <c r="P84" s="22">
        <v>2.97</v>
      </c>
      <c r="Q84" s="683">
        <v>17.505649999999999</v>
      </c>
      <c r="R84" s="683">
        <v>17.505649999999999</v>
      </c>
      <c r="S84" s="683">
        <f t="shared" si="20"/>
        <v>0.2954024774774775</v>
      </c>
      <c r="T84" s="683">
        <f t="shared" si="21"/>
        <v>1.6874693454826155</v>
      </c>
      <c r="U84" s="683">
        <f>AVERAGE(T84:T86)</f>
        <v>2.2768522464763392</v>
      </c>
      <c r="V84" s="22" t="s">
        <v>52</v>
      </c>
      <c r="AC84" s="834"/>
      <c r="AD84" s="45" t="s">
        <v>37</v>
      </c>
      <c r="AE84" s="646" t="s">
        <v>9</v>
      </c>
      <c r="AF84" s="644" t="s">
        <v>9</v>
      </c>
      <c r="AG84" s="637"/>
      <c r="AH84" s="644" t="s">
        <v>9</v>
      </c>
      <c r="AI84" s="644" t="s">
        <v>9</v>
      </c>
      <c r="AJ84" s="340"/>
      <c r="AK84" s="646" t="s">
        <v>9</v>
      </c>
      <c r="AL84" s="644" t="s">
        <v>9</v>
      </c>
      <c r="AM84" s="637"/>
      <c r="AN84" s="657" t="s">
        <v>9</v>
      </c>
      <c r="AO84" s="644" t="s">
        <v>9</v>
      </c>
      <c r="AP84" s="340"/>
      <c r="AQ84" s="646" t="s">
        <v>9</v>
      </c>
      <c r="AR84" s="644" t="s">
        <v>9</v>
      </c>
      <c r="AS84" s="637"/>
      <c r="AT84" s="657">
        <f xml:space="preserve"> ($D$41 * $G$17) + ($E$41 * $E$26)</f>
        <v>80.625824396782846</v>
      </c>
      <c r="AU84" s="644">
        <v>78</v>
      </c>
      <c r="AV84" s="658">
        <f>AU84 * $BF$32 / $D$17</f>
        <v>4.8371598419967542E-2</v>
      </c>
      <c r="AW84" s="646" t="s">
        <v>9</v>
      </c>
      <c r="AX84" s="644" t="s">
        <v>9</v>
      </c>
      <c r="AY84" s="637"/>
      <c r="AZ84" s="644" t="s">
        <v>9</v>
      </c>
      <c r="BA84" s="644" t="s">
        <v>9</v>
      </c>
      <c r="BB84" s="662"/>
      <c r="BH84" s="778"/>
      <c r="BJ84" s="22">
        <v>352.3338</v>
      </c>
      <c r="BP84" s="22">
        <v>392.14350000000002</v>
      </c>
      <c r="BV84" s="22">
        <v>412.14859999999999</v>
      </c>
      <c r="CC84" s="22">
        <v>398.11410000000001</v>
      </c>
    </row>
    <row r="85" spans="1:81" x14ac:dyDescent="0.3">
      <c r="A85" s="316"/>
      <c r="M85" s="22" t="s">
        <v>90</v>
      </c>
      <c r="N85" s="22">
        <v>331.78</v>
      </c>
      <c r="O85" s="22">
        <v>1</v>
      </c>
      <c r="P85" s="22">
        <v>2.97</v>
      </c>
      <c r="Q85" s="683">
        <v>17.505649999999999</v>
      </c>
      <c r="R85" s="683">
        <v>17.505649999999999</v>
      </c>
      <c r="S85" s="683">
        <f t="shared" si="20"/>
        <v>0.42910960585585584</v>
      </c>
      <c r="T85" s="683">
        <f t="shared" si="21"/>
        <v>2.4512634826804822</v>
      </c>
      <c r="V85" s="22" t="s">
        <v>52</v>
      </c>
      <c r="AC85" s="834"/>
      <c r="AD85" s="653" t="s">
        <v>34</v>
      </c>
      <c r="AE85" s="646" t="s">
        <v>9</v>
      </c>
      <c r="AF85" s="644" t="s">
        <v>9</v>
      </c>
      <c r="AG85" s="637"/>
      <c r="AH85" s="644" t="s">
        <v>9</v>
      </c>
      <c r="AI85" s="644" t="s">
        <v>9</v>
      </c>
      <c r="AJ85" s="340"/>
      <c r="AK85" s="646" t="s">
        <v>9</v>
      </c>
      <c r="AL85" s="644" t="s">
        <v>9</v>
      </c>
      <c r="AM85" s="637"/>
      <c r="AN85" s="644" t="s">
        <v>9</v>
      </c>
      <c r="AO85" s="644" t="s">
        <v>9</v>
      </c>
      <c r="AP85" s="340"/>
      <c r="AQ85" s="646" t="s">
        <v>9</v>
      </c>
      <c r="AR85" s="644" t="s">
        <v>9</v>
      </c>
      <c r="AS85" s="637"/>
      <c r="AT85" s="644" t="s">
        <v>9</v>
      </c>
      <c r="AU85" s="644" t="s">
        <v>9</v>
      </c>
      <c r="AV85" s="340"/>
      <c r="AW85" s="646" t="s">
        <v>9</v>
      </c>
      <c r="AX85" s="644" t="s">
        <v>9</v>
      </c>
      <c r="AY85" s="637"/>
      <c r="AZ85" s="644" t="s">
        <v>9</v>
      </c>
      <c r="BA85" s="644" t="s">
        <v>9</v>
      </c>
      <c r="BB85" s="662"/>
      <c r="BH85" s="778"/>
    </row>
    <row r="86" spans="1:81" x14ac:dyDescent="0.3">
      <c r="M86" s="22" t="s">
        <v>91</v>
      </c>
      <c r="N86" s="22">
        <v>364.34</v>
      </c>
      <c r="O86" s="22">
        <v>1</v>
      </c>
      <c r="P86" s="22">
        <v>2.97</v>
      </c>
      <c r="Q86" s="683">
        <v>17.505649999999999</v>
      </c>
      <c r="R86" s="683">
        <v>17.505649999999999</v>
      </c>
      <c r="S86" s="683">
        <f t="shared" si="20"/>
        <v>0.47122127252252244</v>
      </c>
      <c r="T86" s="683">
        <f t="shared" si="21"/>
        <v>2.6918239112659195</v>
      </c>
      <c r="V86" s="22" t="s">
        <v>52</v>
      </c>
      <c r="AC86" s="834"/>
      <c r="AD86" s="45" t="s">
        <v>7</v>
      </c>
      <c r="AE86" s="654">
        <f xml:space="preserve"> ($D$48 * $G$19) + ($E$48 * $E$26)</f>
        <v>80.7785504587156</v>
      </c>
      <c r="AF86" s="644">
        <v>76</v>
      </c>
      <c r="AG86" s="655">
        <f>AF86 * $BF$34 / $D$19</f>
        <v>7.0563286511475101E-2</v>
      </c>
      <c r="AH86" s="657">
        <f xml:space="preserve"> ($D$48 * $G$19) + ($E$48 * $E$26)</f>
        <v>80.7785504587156</v>
      </c>
      <c r="AI86" s="644">
        <v>78</v>
      </c>
      <c r="AJ86" s="658">
        <f>AI86 * $BF$34 / $D$19</f>
        <v>7.2420215103882343E-2</v>
      </c>
      <c r="AK86" s="654">
        <f xml:space="preserve"> ($D$48 * $G$19) + ($E$48 * $E$26)</f>
        <v>80.7785504587156</v>
      </c>
      <c r="AL86" s="644">
        <v>78</v>
      </c>
      <c r="AM86" s="655">
        <f>AL86 * $BF$34 / $D$19</f>
        <v>7.2420215103882343E-2</v>
      </c>
      <c r="AN86" s="657">
        <f xml:space="preserve"> ($D$48 * $G$19) + ($E$48 * $E$26)</f>
        <v>80.7785504587156</v>
      </c>
      <c r="AO86" s="644">
        <v>79</v>
      </c>
      <c r="AP86" s="658">
        <f>AO86 * $BF$34 / $D$19</f>
        <v>7.3348679400085964E-2</v>
      </c>
      <c r="AQ86" s="654">
        <f xml:space="preserve"> ($D$48 * $G$19) + ($E$48 * $E$26)</f>
        <v>80.7785504587156</v>
      </c>
      <c r="AR86" s="644">
        <v>66</v>
      </c>
      <c r="AS86" s="655">
        <f>AR86 * $BF$34 / $D$19</f>
        <v>6.1278643549438905E-2</v>
      </c>
      <c r="AT86" s="657">
        <f xml:space="preserve"> ($D$48 * $G$19) + ($E$48 * $E$26)</f>
        <v>80.7785504587156</v>
      </c>
      <c r="AU86" s="644">
        <v>79</v>
      </c>
      <c r="AV86" s="658">
        <f>AU86 * $BF$34 / $D$19</f>
        <v>7.3348679400085964E-2</v>
      </c>
      <c r="AW86" s="646" t="s">
        <v>9</v>
      </c>
      <c r="AX86" s="644" t="s">
        <v>9</v>
      </c>
      <c r="AY86" s="637"/>
      <c r="AZ86" s="644" t="s">
        <v>9</v>
      </c>
      <c r="BA86" s="644" t="s">
        <v>9</v>
      </c>
      <c r="BB86" s="662"/>
      <c r="BH86" s="778"/>
    </row>
    <row r="87" spans="1:81" x14ac:dyDescent="0.3">
      <c r="M87" s="22" t="s">
        <v>84</v>
      </c>
      <c r="N87" s="22" t="s">
        <v>449</v>
      </c>
      <c r="O87" s="22">
        <v>1</v>
      </c>
      <c r="P87" s="22">
        <v>2.97</v>
      </c>
      <c r="Q87" s="683">
        <v>18.12</v>
      </c>
      <c r="R87" s="683">
        <f>AV19*CO28</f>
        <v>18.427451639915073</v>
      </c>
      <c r="S87" s="683" t="e">
        <f t="shared" si="20"/>
        <v>#VALUE!</v>
      </c>
      <c r="T87" s="683" t="e">
        <f t="shared" si="21"/>
        <v>#VALUE!</v>
      </c>
      <c r="U87" s="22">
        <v>0</v>
      </c>
      <c r="V87" s="22" t="s">
        <v>53</v>
      </c>
      <c r="AC87" s="834"/>
      <c r="AD87" s="661" t="s">
        <v>75</v>
      </c>
      <c r="AE87" s="646" t="s">
        <v>9</v>
      </c>
      <c r="AF87" s="644" t="s">
        <v>9</v>
      </c>
      <c r="AG87" s="637"/>
      <c r="AH87" s="644" t="s">
        <v>9</v>
      </c>
      <c r="AI87" s="644" t="s">
        <v>9</v>
      </c>
      <c r="AJ87" s="340"/>
      <c r="AK87" s="646" t="s">
        <v>9</v>
      </c>
      <c r="AL87" s="644" t="s">
        <v>9</v>
      </c>
      <c r="AM87" s="637"/>
      <c r="AN87" s="644" t="s">
        <v>9</v>
      </c>
      <c r="AO87" s="644" t="s">
        <v>9</v>
      </c>
      <c r="AP87" s="340"/>
      <c r="AQ87" s="646" t="s">
        <v>9</v>
      </c>
      <c r="AR87" s="644" t="s">
        <v>9</v>
      </c>
      <c r="AS87" s="637"/>
      <c r="AT87" s="644" t="s">
        <v>9</v>
      </c>
      <c r="AU87" s="644" t="s">
        <v>9</v>
      </c>
      <c r="AV87" s="340"/>
      <c r="AW87" s="654">
        <f xml:space="preserve"> ($D$49 * $G$20) + ($E$49 * $E$26)</f>
        <v>80.753508750000009</v>
      </c>
      <c r="AX87" s="644">
        <v>75</v>
      </c>
      <c r="AY87" s="655">
        <f>AX87 * $BF$35 / $D$20</f>
        <v>6.9656416013006983E-2</v>
      </c>
      <c r="AZ87" s="657">
        <f xml:space="preserve"> ($D$49 * $G$20) + ($E$49 * $E$26)</f>
        <v>80.753508750000009</v>
      </c>
      <c r="BA87" s="644">
        <v>75</v>
      </c>
      <c r="BB87" s="659">
        <f>BA87 * $BF$35 / $D$20</f>
        <v>6.9656416013006983E-2</v>
      </c>
    </row>
    <row r="88" spans="1:81" x14ac:dyDescent="0.3">
      <c r="M88" s="22" t="s">
        <v>95</v>
      </c>
      <c r="N88" s="22" t="s">
        <v>449</v>
      </c>
      <c r="O88" s="22">
        <v>1</v>
      </c>
      <c r="P88" s="22">
        <v>2.97</v>
      </c>
      <c r="Q88" s="683">
        <v>18.118639999999999</v>
      </c>
      <c r="R88" s="683">
        <v>18.12</v>
      </c>
      <c r="S88" s="683" t="e">
        <f t="shared" si="20"/>
        <v>#VALUE!</v>
      </c>
      <c r="T88" s="683" t="e">
        <f t="shared" si="21"/>
        <v>#VALUE!</v>
      </c>
      <c r="V88" s="22" t="s">
        <v>53</v>
      </c>
      <c r="AC88" s="834"/>
      <c r="AD88" s="661" t="s">
        <v>3</v>
      </c>
      <c r="AE88" s="654">
        <f xml:space="preserve"> $E$64 * $E$26</f>
        <v>683.82</v>
      </c>
      <c r="AF88" s="644">
        <v>671</v>
      </c>
      <c r="AG88" s="637"/>
      <c r="AH88" s="657">
        <f xml:space="preserve"> $E$64 * $E$26</f>
        <v>683.82</v>
      </c>
      <c r="AI88" s="644">
        <v>671</v>
      </c>
      <c r="AJ88" s="340"/>
      <c r="AK88" s="654">
        <f xml:space="preserve"> $E$64 * $E$26</f>
        <v>683.82</v>
      </c>
      <c r="AL88" s="644">
        <v>669</v>
      </c>
      <c r="AM88" s="637"/>
      <c r="AN88" s="657">
        <f xml:space="preserve"> $E$64 * $E$26</f>
        <v>683.82</v>
      </c>
      <c r="AO88" s="644">
        <v>670</v>
      </c>
      <c r="AP88" s="340"/>
      <c r="AQ88" s="654">
        <f xml:space="preserve"> $E$64 * $E$26</f>
        <v>683.82</v>
      </c>
      <c r="AR88" s="644">
        <v>671</v>
      </c>
      <c r="AS88" s="637"/>
      <c r="AT88" s="657">
        <f xml:space="preserve"> $E$64 * $E$26</f>
        <v>683.82</v>
      </c>
      <c r="AU88" s="644">
        <v>262</v>
      </c>
      <c r="AV88" s="340"/>
      <c r="AW88" s="654">
        <f xml:space="preserve"> $E$64 * $E$26</f>
        <v>683.82</v>
      </c>
      <c r="AX88" s="644">
        <v>669</v>
      </c>
      <c r="AY88" s="637"/>
      <c r="AZ88" s="657">
        <f xml:space="preserve"> $E$64 * $E$26</f>
        <v>683.82</v>
      </c>
      <c r="BA88" s="644">
        <v>671</v>
      </c>
      <c r="BB88" s="662"/>
    </row>
    <row r="89" spans="1:81" x14ac:dyDescent="0.3">
      <c r="M89" s="22" t="s">
        <v>96</v>
      </c>
      <c r="N89" s="22" t="s">
        <v>449</v>
      </c>
      <c r="O89" s="22">
        <v>1</v>
      </c>
      <c r="P89" s="22">
        <v>2.97</v>
      </c>
      <c r="Q89" s="683">
        <v>18.118639999999999</v>
      </c>
      <c r="R89" s="683">
        <f>AV45*CO28</f>
        <v>17.753276579918179</v>
      </c>
      <c r="S89" s="683" t="e">
        <f t="shared" si="20"/>
        <v>#VALUE!</v>
      </c>
      <c r="T89" s="683" t="e">
        <f t="shared" si="21"/>
        <v>#VALUE!</v>
      </c>
      <c r="V89" s="22" t="s">
        <v>53</v>
      </c>
      <c r="AC89" s="834"/>
      <c r="AD89" s="305" t="s">
        <v>238</v>
      </c>
      <c r="AE89" s="654">
        <f xml:space="preserve"> ( $E$55 * $G$21 ) + ( $F$55 * $E$26 )</f>
        <v>69.546400000000006</v>
      </c>
      <c r="AF89" s="644">
        <v>73</v>
      </c>
      <c r="AG89" s="655">
        <f>AF89 * $BF$36 / $D$21</f>
        <v>8.6581710208754936E-2</v>
      </c>
      <c r="AH89" s="657">
        <f xml:space="preserve"> ( $E$55 * $G$21 ) + ( $F$55 * $E$26 )</f>
        <v>69.546400000000006</v>
      </c>
      <c r="AI89" s="644">
        <v>73</v>
      </c>
      <c r="AJ89" s="658">
        <f>AI89 * $BF$36 / $D$21</f>
        <v>8.6581710208754936E-2</v>
      </c>
      <c r="AK89" s="654">
        <f xml:space="preserve"> ( $E$55 * $G$21 ) + ( $F$55 * $E$26 )</f>
        <v>69.546400000000006</v>
      </c>
      <c r="AL89" s="644">
        <v>69</v>
      </c>
      <c r="AM89" s="655">
        <f>AL89 * $BF$36 / $D$21</f>
        <v>8.1837506909645058E-2</v>
      </c>
      <c r="AN89" s="657">
        <f xml:space="preserve"> ( $E$55 * $G$21 ) + ( $F$55 * $E$26 )</f>
        <v>69.546400000000006</v>
      </c>
      <c r="AO89" s="644">
        <v>69</v>
      </c>
      <c r="AP89" s="658">
        <f>AO89 * $BF$36 / $D$21</f>
        <v>8.1837506909645058E-2</v>
      </c>
      <c r="AQ89" s="654">
        <f xml:space="preserve"> ( $E$55 * $G$21 ) + ( $F$55 * $E$26 )</f>
        <v>69.546400000000006</v>
      </c>
      <c r="AR89" s="644">
        <v>78</v>
      </c>
      <c r="AS89" s="655">
        <f>AR89 * $BF$36 / $D$21</f>
        <v>9.2511964332642249E-2</v>
      </c>
      <c r="AT89" s="657">
        <f xml:space="preserve"> ( $E$55 * $G$21 ) + ( $F$55 * $E$26 )</f>
        <v>69.546400000000006</v>
      </c>
      <c r="AU89" s="644">
        <v>72</v>
      </c>
      <c r="AV89" s="658">
        <f>AU89 * $BF$36 / $D$21</f>
        <v>8.539565938397746E-2</v>
      </c>
      <c r="AW89" s="654">
        <f xml:space="preserve"> ( $E$55 * $G$21 ) + ( $F$55 * $E$26 )</f>
        <v>69.546400000000006</v>
      </c>
      <c r="AX89" s="644">
        <v>65</v>
      </c>
      <c r="AY89" s="655">
        <f>AX89 * $BF$36 / $D$21</f>
        <v>7.7093303610535222E-2</v>
      </c>
      <c r="AZ89" s="657">
        <f xml:space="preserve"> ( $E$55 * $G$21 ) + ( $F$55 * $E$26 )</f>
        <v>69.546400000000006</v>
      </c>
      <c r="BA89" s="644">
        <v>1</v>
      </c>
      <c r="BB89" s="659">
        <f>BA89 * $BF$36 / $D$21</f>
        <v>1.1860508247774648E-3</v>
      </c>
    </row>
    <row r="90" spans="1:81" ht="15" thickBot="1" x14ac:dyDescent="0.35">
      <c r="A90" s="22" t="s">
        <v>412</v>
      </c>
      <c r="M90" s="22" t="s">
        <v>100</v>
      </c>
      <c r="N90" s="22">
        <v>1399.44</v>
      </c>
      <c r="O90" s="22">
        <v>1</v>
      </c>
      <c r="P90" s="22">
        <v>2.97</v>
      </c>
      <c r="Q90" s="683">
        <v>17.616690000000002</v>
      </c>
      <c r="R90" s="683">
        <f>AY14*352.3338</f>
        <v>16.704768789322834</v>
      </c>
      <c r="S90" s="683">
        <f t="shared" si="20"/>
        <v>1.809973918918919</v>
      </c>
      <c r="T90" s="683">
        <f t="shared" si="21"/>
        <v>10.835073156330052</v>
      </c>
      <c r="U90" s="683">
        <f>AVERAGE(T90:T92)</f>
        <v>10.837065633388614</v>
      </c>
      <c r="V90" s="22" t="s">
        <v>48</v>
      </c>
      <c r="AC90" s="839"/>
      <c r="AD90" s="54" t="s">
        <v>6</v>
      </c>
      <c r="AE90" s="684">
        <f>$F$22</f>
        <v>25</v>
      </c>
      <c r="AF90" s="685">
        <v>24.7</v>
      </c>
      <c r="AG90" s="686">
        <f>AF90 / $D$22</f>
        <v>7.5808961417228579E-2</v>
      </c>
      <c r="AH90" s="687">
        <f>$F$22</f>
        <v>25</v>
      </c>
      <c r="AI90" s="685">
        <v>24.6</v>
      </c>
      <c r="AJ90" s="686">
        <f>AI90 / $D$22</f>
        <v>7.5502042545094059E-2</v>
      </c>
      <c r="AK90" s="684">
        <f>$F$22</f>
        <v>25</v>
      </c>
      <c r="AL90" s="685">
        <v>24.8</v>
      </c>
      <c r="AM90" s="686">
        <f>AL90 / $D$22</f>
        <v>7.6115880289363114E-2</v>
      </c>
      <c r="AN90" s="687">
        <f>$F$22</f>
        <v>25</v>
      </c>
      <c r="AO90" s="685">
        <v>24.5</v>
      </c>
      <c r="AP90" s="686">
        <f>AO90 / $D$22</f>
        <v>7.5195123672959524E-2</v>
      </c>
      <c r="AQ90" s="684">
        <f>$F$22</f>
        <v>25</v>
      </c>
      <c r="AR90" s="685">
        <v>24.6</v>
      </c>
      <c r="AS90" s="686">
        <f>AR90 / $D$22</f>
        <v>7.5502042545094059E-2</v>
      </c>
      <c r="AT90" s="687">
        <f>$F$22</f>
        <v>25</v>
      </c>
      <c r="AU90" s="685">
        <v>24.5</v>
      </c>
      <c r="AV90" s="686">
        <f>AU90 / $D$22</f>
        <v>7.5195123672959524E-2</v>
      </c>
      <c r="AW90" s="684">
        <f>$F$22</f>
        <v>25</v>
      </c>
      <c r="AX90" s="685">
        <v>25.2</v>
      </c>
      <c r="AY90" s="686">
        <f>AX90 / $D$22</f>
        <v>7.7343555777901224E-2</v>
      </c>
      <c r="AZ90" s="687">
        <f>$F$22</f>
        <v>25</v>
      </c>
      <c r="BA90" s="685">
        <v>25.9</v>
      </c>
      <c r="BB90" s="688">
        <f>BA90 / $D$22</f>
        <v>7.9491987882842924E-2</v>
      </c>
    </row>
    <row r="91" spans="1:81" x14ac:dyDescent="0.3">
      <c r="A91" s="22">
        <v>1</v>
      </c>
      <c r="B91" s="22" t="s">
        <v>413</v>
      </c>
      <c r="M91" s="22" t="s">
        <v>101</v>
      </c>
      <c r="N91" s="22">
        <v>1484.7</v>
      </c>
      <c r="O91" s="22">
        <v>1</v>
      </c>
      <c r="P91" s="22">
        <v>2.97</v>
      </c>
      <c r="Q91" s="683">
        <v>17.616690000000002</v>
      </c>
      <c r="R91" s="683">
        <f>AY27*352.3338</f>
        <v>17.144367967989229</v>
      </c>
      <c r="S91" s="683">
        <f t="shared" si="20"/>
        <v>1.9202454391891892</v>
      </c>
      <c r="T91" s="683">
        <f t="shared" si="21"/>
        <v>11.200444616999226</v>
      </c>
      <c r="V91" s="22" t="s">
        <v>48</v>
      </c>
    </row>
    <row r="92" spans="1:81" ht="14.4" customHeight="1" x14ac:dyDescent="0.3">
      <c r="M92" s="22" t="s">
        <v>102</v>
      </c>
      <c r="N92" s="22">
        <v>1406.43</v>
      </c>
      <c r="O92" s="22">
        <v>1</v>
      </c>
      <c r="P92" s="22">
        <v>2.97</v>
      </c>
      <c r="Q92" s="683">
        <v>17.616690000000002</v>
      </c>
      <c r="R92" s="683">
        <f>AY40*352.3338</f>
        <v>17.364167557322421</v>
      </c>
      <c r="S92" s="683">
        <f t="shared" si="20"/>
        <v>1.8190144763513516</v>
      </c>
      <c r="T92" s="683">
        <f t="shared" si="21"/>
        <v>10.475679126836566</v>
      </c>
      <c r="V92" s="22" t="s">
        <v>48</v>
      </c>
    </row>
    <row r="93" spans="1:81" x14ac:dyDescent="0.3">
      <c r="M93" s="22" t="s">
        <v>106</v>
      </c>
      <c r="N93" s="22" t="s">
        <v>444</v>
      </c>
      <c r="O93" s="22">
        <v>1</v>
      </c>
      <c r="P93" s="22">
        <v>2.97</v>
      </c>
      <c r="Q93" s="683">
        <v>20.607430000000001</v>
      </c>
      <c r="R93" s="683">
        <v>20.607430000000001</v>
      </c>
      <c r="S93" s="683" t="e">
        <f t="shared" si="20"/>
        <v>#VALUE!</v>
      </c>
      <c r="T93" s="683" t="e">
        <f t="shared" si="21"/>
        <v>#VALUE!</v>
      </c>
      <c r="U93" s="683">
        <v>0</v>
      </c>
      <c r="V93" s="22" t="s">
        <v>50</v>
      </c>
      <c r="AD93" s="10"/>
      <c r="AE93" s="840" t="s">
        <v>450</v>
      </c>
      <c r="AF93" s="840"/>
      <c r="AG93" s="840"/>
      <c r="AH93" s="840"/>
      <c r="AI93" s="840"/>
      <c r="AJ93" s="840"/>
      <c r="AK93" s="840"/>
      <c r="AL93" s="840"/>
      <c r="AM93" s="840"/>
      <c r="AN93" s="840"/>
      <c r="AO93" s="840"/>
      <c r="AP93" s="840"/>
      <c r="AQ93" s="840"/>
      <c r="AR93" s="840"/>
      <c r="AS93" s="840"/>
      <c r="AT93" s="840"/>
      <c r="AU93" s="414"/>
      <c r="AV93" s="414"/>
      <c r="AW93" s="414"/>
      <c r="AX93" s="414"/>
      <c r="AY93" s="414"/>
      <c r="AZ93" s="414"/>
      <c r="BA93" s="414"/>
    </row>
    <row r="94" spans="1:81" ht="13.2" customHeight="1" x14ac:dyDescent="0.3">
      <c r="M94" s="22" t="s">
        <v>107</v>
      </c>
      <c r="N94" s="22" t="s">
        <v>444</v>
      </c>
      <c r="O94" s="22">
        <v>1</v>
      </c>
      <c r="P94" s="22">
        <v>2.97</v>
      </c>
      <c r="Q94" s="683">
        <v>20.607430000000001</v>
      </c>
      <c r="R94" s="683">
        <v>20.607430000000001</v>
      </c>
      <c r="S94" s="683" t="e">
        <f t="shared" si="20"/>
        <v>#VALUE!</v>
      </c>
      <c r="T94" s="683" t="e">
        <f t="shared" si="21"/>
        <v>#VALUE!</v>
      </c>
      <c r="V94" s="22" t="s">
        <v>50</v>
      </c>
      <c r="AC94" s="10"/>
      <c r="AD94" s="10"/>
      <c r="AE94" s="689"/>
      <c r="AF94" s="355"/>
      <c r="AG94" s="355"/>
      <c r="AH94" s="355"/>
      <c r="AI94" s="355"/>
      <c r="AJ94" s="355"/>
      <c r="AK94" s="355"/>
      <c r="AL94" s="355"/>
      <c r="AM94" s="355"/>
      <c r="AN94" s="355"/>
      <c r="AO94" s="355"/>
      <c r="AP94" s="355"/>
      <c r="AQ94" s="409"/>
      <c r="AR94" s="409"/>
      <c r="AS94" s="409"/>
      <c r="AT94" s="409"/>
      <c r="AU94" s="414"/>
      <c r="AV94" s="414"/>
      <c r="AW94" s="414"/>
      <c r="AX94" s="414"/>
      <c r="AY94" s="414"/>
      <c r="AZ94" s="414"/>
      <c r="BA94" s="414"/>
    </row>
    <row r="95" spans="1:81" ht="16.2" customHeight="1" thickBot="1" x14ac:dyDescent="0.35">
      <c r="M95" s="22" t="s">
        <v>108</v>
      </c>
      <c r="N95" s="22" t="s">
        <v>444</v>
      </c>
      <c r="O95" s="22">
        <v>1</v>
      </c>
      <c r="P95" s="22">
        <v>2.97</v>
      </c>
      <c r="Q95" s="683">
        <v>20.607430000000001</v>
      </c>
      <c r="R95" s="683">
        <f>R94/0.05*0.047</f>
        <v>19.370984199999999</v>
      </c>
      <c r="S95" s="683" t="e">
        <f t="shared" si="20"/>
        <v>#VALUE!</v>
      </c>
      <c r="T95" s="683" t="e">
        <f t="shared" si="21"/>
        <v>#VALUE!</v>
      </c>
      <c r="V95" s="22" t="s">
        <v>50</v>
      </c>
      <c r="AC95" s="10"/>
      <c r="AD95" s="10"/>
      <c r="AE95" s="841" t="s">
        <v>451</v>
      </c>
      <c r="AF95" s="841"/>
      <c r="AG95" s="841"/>
      <c r="AH95" s="841"/>
      <c r="AI95" s="841"/>
      <c r="AJ95" s="841"/>
      <c r="AK95" s="841"/>
      <c r="AL95" s="841"/>
      <c r="AM95" s="841"/>
      <c r="AN95" s="841"/>
      <c r="AO95" s="841"/>
      <c r="AP95" s="841"/>
      <c r="AQ95" s="841"/>
      <c r="AR95" s="841"/>
      <c r="AS95" s="841"/>
      <c r="AT95" s="841"/>
      <c r="AU95" s="414"/>
      <c r="AV95" s="414"/>
      <c r="AW95" s="414"/>
      <c r="AX95" s="414"/>
      <c r="AY95" s="414"/>
      <c r="AZ95" s="414"/>
      <c r="BA95" s="414"/>
      <c r="BL95" s="186"/>
      <c r="BM95" s="186"/>
    </row>
    <row r="96" spans="1:81" ht="15" thickBot="1" x14ac:dyDescent="0.35">
      <c r="A96" s="22" t="s">
        <v>316</v>
      </c>
      <c r="M96" s="22" t="s">
        <v>68</v>
      </c>
      <c r="N96" s="22">
        <v>1739.65</v>
      </c>
      <c r="O96" s="22">
        <v>1</v>
      </c>
      <c r="P96" s="22">
        <v>2.97</v>
      </c>
      <c r="Q96" s="683">
        <v>17.887889999999999</v>
      </c>
      <c r="R96" s="683">
        <f>AG53*357.7578</f>
        <v>15.846013763008443</v>
      </c>
      <c r="S96" s="683">
        <f t="shared" si="20"/>
        <v>2.2499865146396396</v>
      </c>
      <c r="T96" s="683">
        <f t="shared" si="21"/>
        <v>14.199069547018169</v>
      </c>
      <c r="U96" s="683">
        <f>AVERAGE(T96:T98)</f>
        <v>8.8604126217914523</v>
      </c>
      <c r="V96" s="22" t="s">
        <v>48</v>
      </c>
      <c r="AC96" s="10"/>
      <c r="AD96" s="10"/>
      <c r="AE96" s="10"/>
      <c r="AF96" s="10"/>
      <c r="AG96" s="10"/>
      <c r="AH96" s="10"/>
      <c r="AI96" s="10"/>
      <c r="AJ96" s="10"/>
      <c r="AK96" s="10"/>
      <c r="AL96" s="10"/>
      <c r="AM96" s="10"/>
      <c r="AN96" s="10"/>
      <c r="AO96" s="10"/>
      <c r="AP96" s="10"/>
      <c r="AQ96" s="414"/>
      <c r="AR96" s="414"/>
      <c r="AS96" s="414"/>
      <c r="AT96" s="414"/>
      <c r="AU96" s="414"/>
      <c r="AV96" s="414"/>
      <c r="AW96" s="414"/>
      <c r="AX96" s="414"/>
      <c r="AY96" s="414"/>
      <c r="AZ96" s="414"/>
      <c r="BA96" s="414"/>
      <c r="BL96" s="186"/>
      <c r="BM96" s="186"/>
      <c r="BN96" s="320">
        <v>1</v>
      </c>
      <c r="BO96" s="322">
        <v>2</v>
      </c>
      <c r="BP96" s="322">
        <v>3</v>
      </c>
      <c r="BQ96" s="322">
        <v>4</v>
      </c>
      <c r="BR96" s="601">
        <v>5</v>
      </c>
      <c r="BS96" s="322">
        <v>6</v>
      </c>
      <c r="BT96" s="322">
        <v>7</v>
      </c>
      <c r="BU96" s="322">
        <v>8</v>
      </c>
    </row>
    <row r="97" spans="1:73" ht="15" thickBot="1" x14ac:dyDescent="0.35">
      <c r="A97" s="22">
        <v>1</v>
      </c>
      <c r="B97" s="22" t="s">
        <v>317</v>
      </c>
      <c r="M97" s="22" t="s">
        <v>76</v>
      </c>
      <c r="N97" s="22">
        <v>381.67</v>
      </c>
      <c r="O97" s="22">
        <v>1</v>
      </c>
      <c r="P97" s="22">
        <v>2.97</v>
      </c>
      <c r="Q97" s="683">
        <v>17.887889999999999</v>
      </c>
      <c r="R97" s="683">
        <f>R96/0.044*0.049</f>
        <v>17.646697145168496</v>
      </c>
      <c r="S97" s="683">
        <f t="shared" si="20"/>
        <v>0.49363512950450456</v>
      </c>
      <c r="T97" s="683">
        <f t="shared" si="21"/>
        <v>2.7973230652947279</v>
      </c>
      <c r="V97" s="22" t="s">
        <v>48</v>
      </c>
      <c r="AF97" s="745" t="s">
        <v>161</v>
      </c>
      <c r="AG97" s="746"/>
      <c r="AH97" s="746"/>
      <c r="AI97" s="746"/>
      <c r="AJ97" s="746"/>
      <c r="AK97" s="746"/>
      <c r="AL97" s="746"/>
      <c r="AM97" s="746"/>
      <c r="AN97" s="746"/>
      <c r="AO97" s="746"/>
      <c r="AP97" s="746"/>
      <c r="AQ97" s="746"/>
      <c r="AR97" s="746"/>
      <c r="AS97" s="746"/>
      <c r="AT97" s="746"/>
      <c r="AU97" s="745" t="s">
        <v>162</v>
      </c>
      <c r="AV97" s="746"/>
      <c r="AW97" s="747"/>
      <c r="AX97" s="414"/>
      <c r="AY97" s="414"/>
      <c r="AZ97" s="414"/>
      <c r="BA97" s="414"/>
      <c r="BM97" s="762" t="s">
        <v>48</v>
      </c>
      <c r="BN97" s="602" t="s">
        <v>59</v>
      </c>
      <c r="BO97" s="301" t="s">
        <v>60</v>
      </c>
      <c r="BP97" s="44" t="s">
        <v>61</v>
      </c>
      <c r="BQ97" s="301" t="s">
        <v>82</v>
      </c>
      <c r="BR97" s="68" t="s">
        <v>83</v>
      </c>
      <c r="BS97" s="305" t="s">
        <v>84</v>
      </c>
      <c r="BT97" s="68" t="s">
        <v>59</v>
      </c>
      <c r="BU97" s="46" t="s">
        <v>61</v>
      </c>
    </row>
    <row r="98" spans="1:73" ht="15" thickBot="1" x14ac:dyDescent="0.35">
      <c r="A98" s="22">
        <v>2</v>
      </c>
      <c r="B98" s="22" t="s">
        <v>318</v>
      </c>
      <c r="M98" s="22" t="s">
        <v>79</v>
      </c>
      <c r="N98" s="22">
        <v>1227.7</v>
      </c>
      <c r="O98" s="22">
        <v>1</v>
      </c>
      <c r="P98" s="22">
        <v>2.97</v>
      </c>
      <c r="Q98" s="683">
        <v>17.887889999999999</v>
      </c>
      <c r="R98" s="683">
        <f>R96/0.044*0.046</f>
        <v>16.566287115872466</v>
      </c>
      <c r="S98" s="683">
        <f t="shared" si="20"/>
        <v>1.5878529842342344</v>
      </c>
      <c r="T98" s="683">
        <f t="shared" si="21"/>
        <v>9.5848452530614612</v>
      </c>
      <c r="V98" s="22" t="s">
        <v>48</v>
      </c>
      <c r="W98" s="21"/>
      <c r="AF98" s="767" t="s">
        <v>19</v>
      </c>
      <c r="AG98" s="768"/>
      <c r="AH98" s="768"/>
      <c r="AI98" s="769" t="s">
        <v>46</v>
      </c>
      <c r="AJ98" s="768"/>
      <c r="AK98" s="770"/>
      <c r="AL98" s="768" t="s">
        <v>47</v>
      </c>
      <c r="AM98" s="768"/>
      <c r="AN98" s="768"/>
      <c r="AO98" s="769" t="s">
        <v>5</v>
      </c>
      <c r="AP98" s="768"/>
      <c r="AQ98" s="770"/>
      <c r="AR98" s="768" t="s">
        <v>160</v>
      </c>
      <c r="AS98" s="768"/>
      <c r="AT98" s="768"/>
      <c r="AU98" s="771" t="s">
        <v>8</v>
      </c>
      <c r="AV98" s="772"/>
      <c r="AW98" s="773"/>
      <c r="AX98" s="414"/>
      <c r="AY98" s="414"/>
      <c r="AZ98" s="414"/>
      <c r="BA98" s="414"/>
      <c r="BM98" s="763"/>
      <c r="BN98" s="602" t="s">
        <v>209</v>
      </c>
      <c r="BO98" s="301" t="s">
        <v>209</v>
      </c>
      <c r="BP98" s="44" t="s">
        <v>209</v>
      </c>
      <c r="BQ98" s="301" t="s">
        <v>209</v>
      </c>
      <c r="BR98" s="68" t="s">
        <v>209</v>
      </c>
      <c r="BS98" s="305" t="s">
        <v>209</v>
      </c>
      <c r="BT98" s="68" t="s">
        <v>207</v>
      </c>
      <c r="BU98" s="46" t="s">
        <v>207</v>
      </c>
    </row>
    <row r="99" spans="1:73" x14ac:dyDescent="0.3">
      <c r="A99" s="22">
        <v>2</v>
      </c>
      <c r="B99" s="22" t="s">
        <v>319</v>
      </c>
      <c r="M99" s="22" t="s">
        <v>69</v>
      </c>
      <c r="N99" s="22">
        <v>194.51</v>
      </c>
      <c r="O99" s="22">
        <v>1</v>
      </c>
      <c r="P99" s="22">
        <v>2.97</v>
      </c>
      <c r="Q99" s="690">
        <v>19.8047</v>
      </c>
      <c r="R99" s="683">
        <f>R100/0.05*0.045</f>
        <v>17.82423</v>
      </c>
      <c r="S99" s="683">
        <f t="shared" si="20"/>
        <v>0.25157064752252251</v>
      </c>
      <c r="T99" s="683">
        <f t="shared" si="21"/>
        <v>1.4113970001650702</v>
      </c>
      <c r="U99" s="683">
        <f>AVERAGE(T99:T101)</f>
        <v>0.97033573995376832</v>
      </c>
      <c r="V99" s="22" t="s">
        <v>49</v>
      </c>
      <c r="AC99" s="427" t="s">
        <v>46</v>
      </c>
      <c r="AD99" s="428" t="s">
        <v>47</v>
      </c>
      <c r="AE99" s="225" t="s">
        <v>55</v>
      </c>
      <c r="AF99" s="292" t="s">
        <v>158</v>
      </c>
      <c r="AG99" s="288" t="s">
        <v>159</v>
      </c>
      <c r="AH99" s="288" t="s">
        <v>157</v>
      </c>
      <c r="AI99" s="292" t="s">
        <v>158</v>
      </c>
      <c r="AJ99" s="288" t="s">
        <v>159</v>
      </c>
      <c r="AK99" s="293" t="s">
        <v>157</v>
      </c>
      <c r="AL99" s="288" t="s">
        <v>158</v>
      </c>
      <c r="AM99" s="288" t="s">
        <v>159</v>
      </c>
      <c r="AN99" s="288" t="s">
        <v>157</v>
      </c>
      <c r="AO99" s="292" t="s">
        <v>158</v>
      </c>
      <c r="AP99" s="288" t="s">
        <v>159</v>
      </c>
      <c r="AQ99" s="293" t="s">
        <v>157</v>
      </c>
      <c r="AR99" s="288" t="s">
        <v>158</v>
      </c>
      <c r="AS99" s="288" t="s">
        <v>159</v>
      </c>
      <c r="AT99" s="288" t="s">
        <v>157</v>
      </c>
      <c r="AU99" s="424" t="s">
        <v>158</v>
      </c>
      <c r="AV99" s="425" t="s">
        <v>159</v>
      </c>
      <c r="AW99" s="426" t="s">
        <v>157</v>
      </c>
      <c r="BM99" s="800"/>
      <c r="BN99" s="604" t="s">
        <v>3</v>
      </c>
      <c r="BO99" s="67" t="s">
        <v>3</v>
      </c>
      <c r="BP99" s="48" t="s">
        <v>3</v>
      </c>
      <c r="BQ99" s="67" t="s">
        <v>3</v>
      </c>
      <c r="BR99" s="606" t="s">
        <v>3</v>
      </c>
      <c r="BS99" s="50" t="s">
        <v>3</v>
      </c>
      <c r="BT99" s="606" t="s">
        <v>3</v>
      </c>
      <c r="BU99" s="51" t="s">
        <v>3</v>
      </c>
    </row>
    <row r="100" spans="1:73" x14ac:dyDescent="0.3">
      <c r="A100" s="22">
        <v>3</v>
      </c>
      <c r="B100" s="22" t="s">
        <v>320</v>
      </c>
      <c r="M100" s="22" t="s">
        <v>77</v>
      </c>
      <c r="N100" s="22">
        <v>92.99</v>
      </c>
      <c r="O100" s="22">
        <v>1</v>
      </c>
      <c r="P100" s="22">
        <v>2.97</v>
      </c>
      <c r="Q100" s="690">
        <v>19.8047</v>
      </c>
      <c r="R100" s="683">
        <v>19.8047</v>
      </c>
      <c r="S100" s="683">
        <f t="shared" si="20"/>
        <v>0.12026916103603603</v>
      </c>
      <c r="T100" s="683">
        <f t="shared" si="21"/>
        <v>0.60727585389344974</v>
      </c>
      <c r="V100" s="22" t="s">
        <v>49</v>
      </c>
      <c r="AC100" s="748" t="s">
        <v>48</v>
      </c>
      <c r="AD100" s="755" t="s">
        <v>48</v>
      </c>
      <c r="AE100" s="42" t="s">
        <v>59</v>
      </c>
      <c r="AF100" s="691">
        <f>AE$13</f>
        <v>40.300000000000004</v>
      </c>
      <c r="AG100" s="42">
        <v>39</v>
      </c>
      <c r="AH100" s="211">
        <f>ABS(AG100-AF100)/AF100</f>
        <v>3.2258064516129135E-2</v>
      </c>
      <c r="AI100" s="691">
        <v>80</v>
      </c>
      <c r="AJ100" s="42">
        <v>77</v>
      </c>
      <c r="AK100" s="217">
        <f t="shared" ref="AJ100:AK147" si="22">ABS(AJ100-AI100)/AI100</f>
        <v>3.7499999999999999E-2</v>
      </c>
      <c r="AL100" s="694">
        <v>62</v>
      </c>
      <c r="AM100" s="42">
        <v>78</v>
      </c>
      <c r="AN100" s="217">
        <f>ABS(AM100-AL100)/AL100</f>
        <v>0.25806451612903225</v>
      </c>
      <c r="AO100" s="171">
        <v>58</v>
      </c>
      <c r="AP100" s="173">
        <v>74</v>
      </c>
      <c r="AQ100" s="216">
        <f>ABS(AP100-AO100)/AO100</f>
        <v>0.27586206896551724</v>
      </c>
      <c r="AR100" s="173">
        <v>717</v>
      </c>
      <c r="AS100" s="173">
        <v>668</v>
      </c>
      <c r="AT100" s="206">
        <f>ABS(AS100-AR100)/AR100</f>
        <v>6.8340306834030681E-2</v>
      </c>
      <c r="AU100" s="697">
        <v>25</v>
      </c>
      <c r="AV100" s="42">
        <v>24.9</v>
      </c>
      <c r="AW100" s="212">
        <f>ABS(AV100-AU100)/AU100</f>
        <v>4.0000000000000565E-3</v>
      </c>
      <c r="BM100" s="798" t="s">
        <v>49</v>
      </c>
      <c r="BN100" s="607" t="s">
        <v>59</v>
      </c>
      <c r="BO100" s="66" t="s">
        <v>60</v>
      </c>
      <c r="BP100" s="47" t="s">
        <v>61</v>
      </c>
      <c r="BQ100" s="66" t="s">
        <v>82</v>
      </c>
      <c r="BR100" s="609" t="s">
        <v>83</v>
      </c>
      <c r="BS100" s="42" t="s">
        <v>84</v>
      </c>
      <c r="BT100" s="609" t="s">
        <v>59</v>
      </c>
      <c r="BU100" s="43" t="s">
        <v>61</v>
      </c>
    </row>
    <row r="101" spans="1:73" x14ac:dyDescent="0.3">
      <c r="A101" s="22">
        <v>4</v>
      </c>
      <c r="B101" s="22" t="s">
        <v>321</v>
      </c>
      <c r="M101" s="22" t="s">
        <v>80</v>
      </c>
      <c r="N101" s="22">
        <v>136.63999999999999</v>
      </c>
      <c r="O101" s="22">
        <v>1</v>
      </c>
      <c r="P101" s="22">
        <v>2.97</v>
      </c>
      <c r="Q101" s="690">
        <v>19.8047</v>
      </c>
      <c r="R101" s="683">
        <v>19.8047</v>
      </c>
      <c r="S101" s="683">
        <f t="shared" si="20"/>
        <v>0.17672414414414414</v>
      </c>
      <c r="T101" s="683">
        <f t="shared" si="21"/>
        <v>0.89233436580278491</v>
      </c>
      <c r="V101" s="22" t="s">
        <v>49</v>
      </c>
      <c r="AC101" s="749"/>
      <c r="AD101" s="756"/>
      <c r="AE101" s="64" t="s">
        <v>62</v>
      </c>
      <c r="AF101" s="171">
        <f t="shared" ref="AF101:AF123" si="23">AE$13</f>
        <v>40.300000000000004</v>
      </c>
      <c r="AG101" s="64">
        <v>38</v>
      </c>
      <c r="AH101" s="206">
        <f t="shared" ref="AG101:AH147" si="24">ABS(AG101-AF101)/AF101</f>
        <v>5.7071960297766851E-2</v>
      </c>
      <c r="AI101" s="171">
        <v>80</v>
      </c>
      <c r="AJ101" s="64">
        <v>76</v>
      </c>
      <c r="AK101" s="216">
        <f t="shared" si="22"/>
        <v>0.05</v>
      </c>
      <c r="AL101" s="173">
        <v>62</v>
      </c>
      <c r="AM101" s="64">
        <v>74</v>
      </c>
      <c r="AN101" s="216">
        <f t="shared" ref="AM101:AN147" si="25">ABS(AM101-AL101)/AL101</f>
        <v>0.19354838709677419</v>
      </c>
      <c r="AO101" s="171">
        <v>58</v>
      </c>
      <c r="AP101" s="173">
        <v>54.019997159200003</v>
      </c>
      <c r="AQ101" s="216">
        <f t="shared" ref="AP101:AQ147" si="26">ABS(AP101-AO101)/AO101</f>
        <v>6.8620738634482717E-2</v>
      </c>
      <c r="AR101" s="173">
        <v>717</v>
      </c>
      <c r="AS101" s="173">
        <v>680</v>
      </c>
      <c r="AT101" s="206">
        <f t="shared" ref="AS101:AT147" si="27">ABS(AS101-AR101)/AR101</f>
        <v>5.1603905160390519E-2</v>
      </c>
      <c r="AU101" s="183">
        <v>25</v>
      </c>
      <c r="AV101" s="64">
        <v>24.8</v>
      </c>
      <c r="AW101" s="207">
        <f t="shared" ref="AV101:AW147" si="28">ABS(AV101-AU101)/AU101</f>
        <v>7.9999999999999724E-3</v>
      </c>
      <c r="BM101" s="763"/>
      <c r="BN101" s="602" t="s">
        <v>209</v>
      </c>
      <c r="BO101" s="301" t="s">
        <v>209</v>
      </c>
      <c r="BP101" s="44" t="s">
        <v>209</v>
      </c>
      <c r="BQ101" s="301" t="s">
        <v>209</v>
      </c>
      <c r="BR101" s="68" t="s">
        <v>209</v>
      </c>
      <c r="BS101" s="305" t="s">
        <v>209</v>
      </c>
      <c r="BT101" s="68" t="s">
        <v>207</v>
      </c>
      <c r="BU101" s="46" t="s">
        <v>207</v>
      </c>
    </row>
    <row r="102" spans="1:73" x14ac:dyDescent="0.3">
      <c r="A102" s="22">
        <v>5</v>
      </c>
      <c r="B102" s="22" t="s">
        <v>322</v>
      </c>
      <c r="M102" s="22" t="s">
        <v>70</v>
      </c>
      <c r="N102" s="22" t="s">
        <v>444</v>
      </c>
      <c r="O102" s="22">
        <v>1</v>
      </c>
      <c r="P102" s="22">
        <v>2.97</v>
      </c>
      <c r="Q102" s="690">
        <v>20.805000000000003</v>
      </c>
      <c r="R102" s="683">
        <f>20.81/0.05*AM55</f>
        <v>19.251473059666463</v>
      </c>
      <c r="S102" s="683" t="e">
        <f t="shared" si="20"/>
        <v>#VALUE!</v>
      </c>
      <c r="T102" s="683" t="e">
        <f t="shared" si="21"/>
        <v>#VALUE!</v>
      </c>
      <c r="U102" s="22">
        <v>0</v>
      </c>
      <c r="V102" s="22" t="s">
        <v>50</v>
      </c>
      <c r="AC102" s="749"/>
      <c r="AD102" s="757"/>
      <c r="AE102" s="50" t="s">
        <v>65</v>
      </c>
      <c r="AF102" s="692">
        <f t="shared" si="23"/>
        <v>40.300000000000004</v>
      </c>
      <c r="AG102" s="50">
        <v>27</v>
      </c>
      <c r="AH102" s="214">
        <f t="shared" si="24"/>
        <v>0.3300248138957817</v>
      </c>
      <c r="AI102" s="692">
        <v>80</v>
      </c>
      <c r="AJ102" s="50">
        <v>75</v>
      </c>
      <c r="AK102" s="218">
        <f t="shared" si="22"/>
        <v>6.25E-2</v>
      </c>
      <c r="AL102" s="695">
        <v>62</v>
      </c>
      <c r="AM102" s="50">
        <v>68.999999999899998</v>
      </c>
      <c r="AN102" s="218">
        <f t="shared" si="25"/>
        <v>0.11290322580483868</v>
      </c>
      <c r="AO102" s="171">
        <v>58</v>
      </c>
      <c r="AP102" s="173">
        <v>33.0399943181</v>
      </c>
      <c r="AQ102" s="216">
        <f t="shared" si="26"/>
        <v>0.43034492554999998</v>
      </c>
      <c r="AR102" s="173">
        <v>717</v>
      </c>
      <c r="AS102" s="173">
        <v>78.759990530300001</v>
      </c>
      <c r="AT102" s="206">
        <f t="shared" si="27"/>
        <v>0.89015343022273363</v>
      </c>
      <c r="AU102" s="698">
        <v>25</v>
      </c>
      <c r="AV102" s="50">
        <v>24.8</v>
      </c>
      <c r="AW102" s="215">
        <f t="shared" si="28"/>
        <v>7.9999999999999724E-3</v>
      </c>
      <c r="BM102" s="800"/>
      <c r="BN102" s="604" t="s">
        <v>3</v>
      </c>
      <c r="BO102" s="67" t="s">
        <v>3</v>
      </c>
      <c r="BP102" s="48" t="s">
        <v>3</v>
      </c>
      <c r="BQ102" s="67" t="s">
        <v>3</v>
      </c>
      <c r="BR102" s="606" t="s">
        <v>3</v>
      </c>
      <c r="BS102" s="50" t="s">
        <v>3</v>
      </c>
      <c r="BT102" s="606" t="s">
        <v>3</v>
      </c>
      <c r="BU102" s="51" t="s">
        <v>3</v>
      </c>
    </row>
    <row r="103" spans="1:73" x14ac:dyDescent="0.3">
      <c r="A103" s="22">
        <v>6</v>
      </c>
      <c r="B103" s="22" t="s">
        <v>323</v>
      </c>
      <c r="M103" s="22" t="s">
        <v>78</v>
      </c>
      <c r="N103" s="22" t="s">
        <v>444</v>
      </c>
      <c r="O103" s="22">
        <v>1</v>
      </c>
      <c r="P103" s="22">
        <v>2.97</v>
      </c>
      <c r="Q103" s="690">
        <v>20.805000000000003</v>
      </c>
      <c r="R103" s="683">
        <f>Q103/0.05*0.047</f>
        <v>19.556700000000003</v>
      </c>
      <c r="S103" s="683" t="e">
        <f t="shared" si="20"/>
        <v>#VALUE!</v>
      </c>
      <c r="T103" s="683" t="e">
        <f t="shared" si="21"/>
        <v>#VALUE!</v>
      </c>
      <c r="V103" s="22" t="s">
        <v>50</v>
      </c>
      <c r="X103" s="294"/>
      <c r="Y103" s="294"/>
      <c r="Z103" s="294"/>
      <c r="AA103" s="294"/>
      <c r="AC103" s="749"/>
      <c r="AD103" s="756" t="s">
        <v>49</v>
      </c>
      <c r="AE103" s="64" t="s">
        <v>68</v>
      </c>
      <c r="AF103" s="171">
        <f t="shared" si="23"/>
        <v>40.300000000000004</v>
      </c>
      <c r="AG103" s="64">
        <v>43</v>
      </c>
      <c r="AH103" s="206">
        <f t="shared" si="24"/>
        <v>6.6997518610421719E-2</v>
      </c>
      <c r="AI103" s="171">
        <v>80</v>
      </c>
      <c r="AJ103" s="64">
        <v>71</v>
      </c>
      <c r="AK103" s="216">
        <f t="shared" si="22"/>
        <v>0.1125</v>
      </c>
      <c r="AL103" s="173">
        <v>42</v>
      </c>
      <c r="AM103" s="64">
        <v>77</v>
      </c>
      <c r="AN103" s="206">
        <f>ABS(AM103-AL103)/AL103</f>
        <v>0.83333333333333337</v>
      </c>
      <c r="AO103" s="691">
        <v>58</v>
      </c>
      <c r="AP103" s="694">
        <v>14.059991477300001</v>
      </c>
      <c r="AQ103" s="211">
        <f t="shared" si="26"/>
        <v>0.75758635383965511</v>
      </c>
      <c r="AR103" s="691">
        <v>732</v>
      </c>
      <c r="AS103" s="694">
        <v>681</v>
      </c>
      <c r="AT103" s="211">
        <f t="shared" si="27"/>
        <v>6.9672131147540978E-2</v>
      </c>
      <c r="AU103" s="183">
        <v>25</v>
      </c>
      <c r="AV103" s="64">
        <v>24.7</v>
      </c>
      <c r="AW103" s="207">
        <f t="shared" si="28"/>
        <v>1.2000000000000028E-2</v>
      </c>
      <c r="BM103" s="763" t="s">
        <v>50</v>
      </c>
      <c r="BN103" s="602" t="s">
        <v>59</v>
      </c>
      <c r="BO103" s="301" t="s">
        <v>60</v>
      </c>
      <c r="BP103" s="44" t="s">
        <v>61</v>
      </c>
      <c r="BQ103" s="301" t="s">
        <v>82</v>
      </c>
      <c r="BR103" s="68" t="s">
        <v>83</v>
      </c>
      <c r="BS103" s="305" t="s">
        <v>84</v>
      </c>
      <c r="BT103" s="68" t="s">
        <v>84</v>
      </c>
      <c r="BU103" s="46" t="s">
        <v>61</v>
      </c>
    </row>
    <row r="104" spans="1:73" x14ac:dyDescent="0.3">
      <c r="M104" s="22" t="s">
        <v>81</v>
      </c>
      <c r="N104" s="22" t="s">
        <v>444</v>
      </c>
      <c r="O104" s="22">
        <v>1</v>
      </c>
      <c r="P104" s="22">
        <v>2.97</v>
      </c>
      <c r="Q104" s="690">
        <v>20.805000000000003</v>
      </c>
      <c r="R104" s="683">
        <v>19.251473059666463</v>
      </c>
      <c r="S104" s="683" t="e">
        <f t="shared" si="20"/>
        <v>#VALUE!</v>
      </c>
      <c r="T104" s="683" t="e">
        <f t="shared" si="21"/>
        <v>#VALUE!</v>
      </c>
      <c r="V104" s="22" t="s">
        <v>50</v>
      </c>
      <c r="W104" s="37"/>
      <c r="X104" s="294"/>
      <c r="Y104" s="294"/>
      <c r="Z104" s="294"/>
      <c r="AA104" s="294"/>
      <c r="AC104" s="749"/>
      <c r="AD104" s="756"/>
      <c r="AE104" s="64" t="s">
        <v>76</v>
      </c>
      <c r="AF104" s="171">
        <f t="shared" si="23"/>
        <v>40.300000000000004</v>
      </c>
      <c r="AG104" s="64">
        <v>28</v>
      </c>
      <c r="AH104" s="206">
        <f t="shared" si="24"/>
        <v>0.30521091811414397</v>
      </c>
      <c r="AI104" s="171">
        <v>80</v>
      </c>
      <c r="AJ104" s="64">
        <v>78</v>
      </c>
      <c r="AK104" s="216">
        <f t="shared" si="22"/>
        <v>2.5000000000000001E-2</v>
      </c>
      <c r="AL104" s="173">
        <v>42</v>
      </c>
      <c r="AM104" s="64">
        <v>74</v>
      </c>
      <c r="AN104" s="206">
        <f t="shared" si="25"/>
        <v>0.76190476190476186</v>
      </c>
      <c r="AO104" s="171">
        <v>58</v>
      </c>
      <c r="AP104" s="173">
        <v>75</v>
      </c>
      <c r="AQ104" s="206">
        <f t="shared" si="26"/>
        <v>0.29310344827586204</v>
      </c>
      <c r="AR104" s="171">
        <v>732</v>
      </c>
      <c r="AS104" s="173">
        <v>679</v>
      </c>
      <c r="AT104" s="206">
        <f t="shared" si="27"/>
        <v>7.2404371584699451E-2</v>
      </c>
      <c r="AU104" s="183">
        <v>25</v>
      </c>
      <c r="AV104" s="64">
        <v>24.5</v>
      </c>
      <c r="AW104" s="207">
        <f t="shared" si="28"/>
        <v>0.02</v>
      </c>
      <c r="BM104" s="763"/>
      <c r="BN104" s="602" t="s">
        <v>209</v>
      </c>
      <c r="BO104" s="301" t="s">
        <v>209</v>
      </c>
      <c r="BP104" s="44" t="s">
        <v>209</v>
      </c>
      <c r="BQ104" s="301" t="s">
        <v>209</v>
      </c>
      <c r="BR104" s="68" t="s">
        <v>209</v>
      </c>
      <c r="BS104" s="305" t="s">
        <v>209</v>
      </c>
      <c r="BT104" s="68" t="s">
        <v>209</v>
      </c>
      <c r="BU104" s="46" t="s">
        <v>207</v>
      </c>
    </row>
    <row r="105" spans="1:73" x14ac:dyDescent="0.3">
      <c r="M105" s="22" t="s">
        <v>87</v>
      </c>
      <c r="N105" s="22">
        <v>2149.6799999999998</v>
      </c>
      <c r="O105" s="22">
        <v>1</v>
      </c>
      <c r="P105" s="22">
        <v>2.97</v>
      </c>
      <c r="Q105" s="683">
        <v>20.103000000000002</v>
      </c>
      <c r="R105" s="683">
        <f>Q105/0.05*0.049</f>
        <v>19.700939999999999</v>
      </c>
      <c r="S105" s="683">
        <f t="shared" si="20"/>
        <v>2.7803012162162162</v>
      </c>
      <c r="T105" s="683">
        <f t="shared" si="21"/>
        <v>14.112530753437227</v>
      </c>
      <c r="U105" s="683">
        <f>AVERAGE(T105:T107)</f>
        <v>11.641245215952884</v>
      </c>
      <c r="V105" s="22" t="s">
        <v>51</v>
      </c>
      <c r="W105" s="37"/>
      <c r="X105" s="294"/>
      <c r="Y105" s="294"/>
      <c r="Z105" s="294"/>
      <c r="AA105" s="294"/>
      <c r="AC105" s="750"/>
      <c r="AD105" s="756"/>
      <c r="AE105" s="64" t="s">
        <v>79</v>
      </c>
      <c r="AF105" s="171">
        <f t="shared" si="23"/>
        <v>40.300000000000004</v>
      </c>
      <c r="AG105" s="64">
        <v>43</v>
      </c>
      <c r="AH105" s="206">
        <f t="shared" si="24"/>
        <v>6.6997518610421719E-2</v>
      </c>
      <c r="AI105" s="171">
        <v>80</v>
      </c>
      <c r="AJ105" s="64">
        <v>74</v>
      </c>
      <c r="AK105" s="216">
        <f t="shared" si="22"/>
        <v>7.4999999999999997E-2</v>
      </c>
      <c r="AL105" s="173">
        <v>42</v>
      </c>
      <c r="AM105" s="64">
        <v>76</v>
      </c>
      <c r="AN105" s="206">
        <f t="shared" si="25"/>
        <v>0.80952380952380953</v>
      </c>
      <c r="AO105" s="692">
        <v>58</v>
      </c>
      <c r="AP105" s="695">
        <v>73</v>
      </c>
      <c r="AQ105" s="214">
        <f t="shared" si="26"/>
        <v>0.25862068965517243</v>
      </c>
      <c r="AR105" s="692">
        <v>732</v>
      </c>
      <c r="AS105" s="695">
        <v>162.649952652</v>
      </c>
      <c r="AT105" s="214">
        <f t="shared" si="27"/>
        <v>0.77780061113114751</v>
      </c>
      <c r="AU105" s="183">
        <v>25</v>
      </c>
      <c r="AV105" s="64">
        <v>24.7</v>
      </c>
      <c r="AW105" s="215">
        <f t="shared" si="28"/>
        <v>1.2000000000000028E-2</v>
      </c>
      <c r="BM105" s="763"/>
      <c r="BN105" s="602" t="s">
        <v>3</v>
      </c>
      <c r="BO105" s="301" t="s">
        <v>3</v>
      </c>
      <c r="BP105" s="44" t="s">
        <v>3</v>
      </c>
      <c r="BQ105" s="301" t="s">
        <v>3</v>
      </c>
      <c r="BR105" s="68" t="s">
        <v>3</v>
      </c>
      <c r="BS105" s="305" t="s">
        <v>3</v>
      </c>
      <c r="BT105" s="68" t="s">
        <v>3</v>
      </c>
      <c r="BU105" s="46" t="s">
        <v>3</v>
      </c>
    </row>
    <row r="106" spans="1:73" x14ac:dyDescent="0.3">
      <c r="M106" s="22" t="s">
        <v>88</v>
      </c>
      <c r="N106" s="22">
        <v>822.49</v>
      </c>
      <c r="O106" s="22">
        <v>1</v>
      </c>
      <c r="P106" s="22">
        <v>2.97</v>
      </c>
      <c r="Q106" s="683">
        <v>20.103000000000002</v>
      </c>
      <c r="R106" s="683">
        <v>20.103000000000002</v>
      </c>
      <c r="S106" s="683">
        <f t="shared" si="20"/>
        <v>1.063772257882883</v>
      </c>
      <c r="T106" s="683">
        <f t="shared" si="21"/>
        <v>5.2916095004869064</v>
      </c>
      <c r="V106" s="22" t="s">
        <v>51</v>
      </c>
      <c r="W106" s="37"/>
      <c r="X106" s="294"/>
      <c r="Y106" s="294"/>
      <c r="Z106" s="294"/>
      <c r="AA106" s="294"/>
      <c r="AC106" s="751" t="s">
        <v>49</v>
      </c>
      <c r="AD106" s="755" t="s">
        <v>48</v>
      </c>
      <c r="AE106" s="42" t="s">
        <v>60</v>
      </c>
      <c r="AF106" s="691">
        <f t="shared" si="23"/>
        <v>40.300000000000004</v>
      </c>
      <c r="AG106" s="42">
        <v>27</v>
      </c>
      <c r="AH106" s="211">
        <f t="shared" si="24"/>
        <v>0.3300248138957817</v>
      </c>
      <c r="AI106" s="691">
        <v>81</v>
      </c>
      <c r="AJ106" s="42">
        <v>74</v>
      </c>
      <c r="AK106" s="217">
        <f t="shared" si="22"/>
        <v>8.6419753086419748E-2</v>
      </c>
      <c r="AL106" s="694">
        <v>62</v>
      </c>
      <c r="AM106" s="64">
        <v>75</v>
      </c>
      <c r="AN106" s="217">
        <f t="shared" si="25"/>
        <v>0.20967741935483872</v>
      </c>
      <c r="AO106" s="171">
        <v>58</v>
      </c>
      <c r="AP106" s="173">
        <v>50.019996212099997</v>
      </c>
      <c r="AQ106" s="216">
        <f t="shared" ref="AQ106:AQ112" si="29">ABS(AP106-AO106)/AO106</f>
        <v>0.13758627220517247</v>
      </c>
      <c r="AR106" s="173">
        <v>703</v>
      </c>
      <c r="AS106" s="173">
        <v>681</v>
      </c>
      <c r="AT106" s="206">
        <f t="shared" si="27"/>
        <v>3.1294452347083924E-2</v>
      </c>
      <c r="AU106" s="697">
        <v>25</v>
      </c>
      <c r="AV106" s="42">
        <v>24.5</v>
      </c>
      <c r="AW106" s="207">
        <f t="shared" si="28"/>
        <v>0.02</v>
      </c>
      <c r="BM106" s="798" t="s">
        <v>51</v>
      </c>
      <c r="BN106" s="607" t="s">
        <v>59</v>
      </c>
      <c r="BO106" s="66" t="s">
        <v>60</v>
      </c>
      <c r="BP106" s="47" t="s">
        <v>61</v>
      </c>
      <c r="BQ106" s="66" t="s">
        <v>82</v>
      </c>
      <c r="BR106" s="609" t="s">
        <v>83</v>
      </c>
      <c r="BS106" s="42" t="s">
        <v>84</v>
      </c>
      <c r="BT106" s="609" t="s">
        <v>60</v>
      </c>
      <c r="BU106" s="113" t="s">
        <v>82</v>
      </c>
    </row>
    <row r="107" spans="1:73" x14ac:dyDescent="0.3">
      <c r="M107" s="22" t="s">
        <v>89</v>
      </c>
      <c r="N107" s="22">
        <v>2364.0100000000002</v>
      </c>
      <c r="O107" s="22">
        <v>1</v>
      </c>
      <c r="P107" s="22">
        <v>2.97</v>
      </c>
      <c r="Q107" s="683">
        <v>20.103000000000002</v>
      </c>
      <c r="R107" s="683">
        <v>19.700939999999999</v>
      </c>
      <c r="S107" s="683">
        <f t="shared" si="20"/>
        <v>3.0575061768018017</v>
      </c>
      <c r="T107" s="683">
        <f t="shared" si="21"/>
        <v>15.519595393934512</v>
      </c>
      <c r="V107" s="22" t="s">
        <v>51</v>
      </c>
      <c r="W107" s="37"/>
      <c r="X107" s="294"/>
      <c r="Y107" s="294"/>
      <c r="Z107" s="294"/>
      <c r="AA107" s="294"/>
      <c r="AC107" s="752"/>
      <c r="AD107" s="756"/>
      <c r="AE107" s="64" t="s">
        <v>63</v>
      </c>
      <c r="AF107" s="171">
        <f t="shared" si="23"/>
        <v>40.300000000000004</v>
      </c>
      <c r="AG107" s="64">
        <v>45</v>
      </c>
      <c r="AH107" s="206">
        <f t="shared" si="24"/>
        <v>0.11662531017369715</v>
      </c>
      <c r="AI107" s="171">
        <v>81</v>
      </c>
      <c r="AJ107" s="64">
        <v>73</v>
      </c>
      <c r="AK107" s="216">
        <f t="shared" si="22"/>
        <v>9.8765432098765427E-2</v>
      </c>
      <c r="AL107" s="173">
        <v>62</v>
      </c>
      <c r="AM107" s="64">
        <v>30</v>
      </c>
      <c r="AN107" s="216">
        <f t="shared" si="25"/>
        <v>0.5161290322580645</v>
      </c>
      <c r="AO107" s="171">
        <v>58</v>
      </c>
      <c r="AP107" s="173">
        <v>32.039993371199998</v>
      </c>
      <c r="AQ107" s="216">
        <f t="shared" si="29"/>
        <v>0.44758632118620695</v>
      </c>
      <c r="AR107" s="173">
        <v>703</v>
      </c>
      <c r="AS107" s="173">
        <v>679</v>
      </c>
      <c r="AT107" s="206">
        <f t="shared" si="27"/>
        <v>3.4139402560455195E-2</v>
      </c>
      <c r="AU107" s="183">
        <v>25</v>
      </c>
      <c r="AV107" s="64">
        <v>24.9</v>
      </c>
      <c r="AW107" s="207">
        <f t="shared" si="28"/>
        <v>4.0000000000000565E-3</v>
      </c>
      <c r="BM107" s="763"/>
      <c r="BN107" s="602" t="s">
        <v>208</v>
      </c>
      <c r="BO107" s="301" t="s">
        <v>208</v>
      </c>
      <c r="BP107" s="44" t="s">
        <v>208</v>
      </c>
      <c r="BQ107" s="301" t="s">
        <v>208</v>
      </c>
      <c r="BR107" s="68" t="s">
        <v>208</v>
      </c>
      <c r="BS107" s="305" t="s">
        <v>208</v>
      </c>
      <c r="BT107" s="68" t="s">
        <v>207</v>
      </c>
      <c r="BU107" s="112" t="s">
        <v>207</v>
      </c>
    </row>
    <row r="108" spans="1:73" x14ac:dyDescent="0.3">
      <c r="M108" s="22" t="s">
        <v>92</v>
      </c>
      <c r="N108" s="22">
        <v>525.66999999999996</v>
      </c>
      <c r="O108" s="22">
        <v>1</v>
      </c>
      <c r="P108" s="22">
        <v>2.97</v>
      </c>
      <c r="Q108" s="683">
        <v>19.203900000000001</v>
      </c>
      <c r="R108" s="683">
        <f>Q108/0.05*0.047</f>
        <v>18.051665999999997</v>
      </c>
      <c r="S108" s="683">
        <f t="shared" si="20"/>
        <v>0.67987837274774765</v>
      </c>
      <c r="T108" s="683">
        <f t="shared" si="21"/>
        <v>3.7662915586170702</v>
      </c>
      <c r="U108" s="683">
        <f>AVERAGE(T108:T110)</f>
        <v>4.0440209613168498</v>
      </c>
      <c r="V108" s="22" t="s">
        <v>52</v>
      </c>
      <c r="W108" s="37"/>
      <c r="X108" s="294"/>
      <c r="Y108" s="294"/>
      <c r="Z108" s="294"/>
      <c r="AA108" s="294"/>
      <c r="AC108" s="752"/>
      <c r="AD108" s="757"/>
      <c r="AE108" s="50" t="s">
        <v>66</v>
      </c>
      <c r="AF108" s="692">
        <f t="shared" si="23"/>
        <v>40.300000000000004</v>
      </c>
      <c r="AG108" s="50">
        <v>27</v>
      </c>
      <c r="AH108" s="214">
        <f t="shared" si="24"/>
        <v>0.3300248138957817</v>
      </c>
      <c r="AI108" s="692">
        <v>81</v>
      </c>
      <c r="AJ108" s="50">
        <v>75</v>
      </c>
      <c r="AK108" s="218">
        <f t="shared" si="22"/>
        <v>7.407407407407407E-2</v>
      </c>
      <c r="AL108" s="695">
        <v>62</v>
      </c>
      <c r="AM108" s="64">
        <v>14</v>
      </c>
      <c r="AN108" s="218">
        <f t="shared" si="25"/>
        <v>0.77419354838709675</v>
      </c>
      <c r="AO108" s="171">
        <v>58</v>
      </c>
      <c r="AP108" s="173">
        <v>15.0599895833</v>
      </c>
      <c r="AQ108" s="216">
        <f t="shared" si="29"/>
        <v>0.74034500718448271</v>
      </c>
      <c r="AR108" s="173">
        <v>703</v>
      </c>
      <c r="AS108" s="173">
        <v>248.539891098</v>
      </c>
      <c r="AT108" s="206">
        <f t="shared" si="27"/>
        <v>0.64645819189473686</v>
      </c>
      <c r="AU108" s="698">
        <v>25</v>
      </c>
      <c r="AV108" s="50">
        <v>24.5</v>
      </c>
      <c r="AW108" s="207">
        <f t="shared" si="28"/>
        <v>0.02</v>
      </c>
      <c r="BM108" s="800"/>
      <c r="BN108" s="604" t="s">
        <v>3</v>
      </c>
      <c r="BO108" s="67" t="s">
        <v>3</v>
      </c>
      <c r="BP108" s="48" t="s">
        <v>3</v>
      </c>
      <c r="BQ108" s="67" t="s">
        <v>3</v>
      </c>
      <c r="BR108" s="606" t="s">
        <v>3</v>
      </c>
      <c r="BS108" s="50" t="s">
        <v>3</v>
      </c>
      <c r="BT108" s="606" t="s">
        <v>3</v>
      </c>
      <c r="BU108" s="304" t="s">
        <v>3</v>
      </c>
    </row>
    <row r="109" spans="1:73" x14ac:dyDescent="0.3">
      <c r="M109" s="22" t="s">
        <v>93</v>
      </c>
      <c r="N109" s="22">
        <v>389.78</v>
      </c>
      <c r="O109" s="22">
        <v>1</v>
      </c>
      <c r="P109" s="22">
        <v>2.97</v>
      </c>
      <c r="Q109" s="683">
        <v>19.203900000000001</v>
      </c>
      <c r="R109" s="683">
        <v>18.051665999999997</v>
      </c>
      <c r="S109" s="683">
        <f t="shared" si="20"/>
        <v>0.5041242454954955</v>
      </c>
      <c r="T109" s="683">
        <f t="shared" si="21"/>
        <v>2.7926743464868871</v>
      </c>
      <c r="V109" s="22" t="s">
        <v>52</v>
      </c>
      <c r="W109" s="37"/>
      <c r="X109" s="294"/>
      <c r="Y109" s="294"/>
      <c r="Z109" s="294"/>
      <c r="AA109" s="294"/>
      <c r="AC109" s="752"/>
      <c r="AD109" s="756" t="s">
        <v>49</v>
      </c>
      <c r="AE109" s="64" t="s">
        <v>69</v>
      </c>
      <c r="AF109" s="171">
        <f t="shared" si="23"/>
        <v>40.300000000000004</v>
      </c>
      <c r="AG109" s="64">
        <v>42</v>
      </c>
      <c r="AH109" s="206">
        <f t="shared" si="24"/>
        <v>4.2183622828784011E-2</v>
      </c>
      <c r="AI109" s="171">
        <v>81</v>
      </c>
      <c r="AJ109" s="64">
        <v>73</v>
      </c>
      <c r="AK109" s="216">
        <f t="shared" si="22"/>
        <v>9.8765432098765427E-2</v>
      </c>
      <c r="AL109" s="173">
        <v>42</v>
      </c>
      <c r="AM109" s="42">
        <v>76</v>
      </c>
      <c r="AN109" s="206">
        <f t="shared" si="25"/>
        <v>0.80952380952380953</v>
      </c>
      <c r="AO109" s="691">
        <v>58</v>
      </c>
      <c r="AP109" s="694">
        <v>74</v>
      </c>
      <c r="AQ109" s="211">
        <f t="shared" si="29"/>
        <v>0.27586206896551724</v>
      </c>
      <c r="AR109" s="691">
        <v>718</v>
      </c>
      <c r="AS109" s="694">
        <v>680</v>
      </c>
      <c r="AT109" s="211">
        <f t="shared" si="27"/>
        <v>5.2924791086350974E-2</v>
      </c>
      <c r="AU109" s="183">
        <v>25</v>
      </c>
      <c r="AV109" s="64">
        <v>24.8</v>
      </c>
      <c r="AW109" s="212">
        <f t="shared" si="28"/>
        <v>7.9999999999999724E-3</v>
      </c>
      <c r="BM109" s="763" t="s">
        <v>52</v>
      </c>
      <c r="BN109" s="602" t="s">
        <v>59</v>
      </c>
      <c r="BO109" s="301" t="s">
        <v>60</v>
      </c>
      <c r="BP109" s="44" t="s">
        <v>61</v>
      </c>
      <c r="BQ109" s="301" t="s">
        <v>82</v>
      </c>
      <c r="BR109" s="68" t="s">
        <v>83</v>
      </c>
      <c r="BS109" s="305" t="s">
        <v>84</v>
      </c>
      <c r="BT109" s="68" t="s">
        <v>60</v>
      </c>
      <c r="BU109" s="112" t="s">
        <v>82</v>
      </c>
    </row>
    <row r="110" spans="1:73" x14ac:dyDescent="0.3">
      <c r="M110" s="22" t="s">
        <v>94</v>
      </c>
      <c r="N110" s="22">
        <v>827.5</v>
      </c>
      <c r="O110" s="22">
        <v>1</v>
      </c>
      <c r="P110" s="22">
        <v>2.97</v>
      </c>
      <c r="Q110" s="683">
        <v>19.203900000000001</v>
      </c>
      <c r="R110" s="683">
        <v>19.203900000000001</v>
      </c>
      <c r="S110" s="683">
        <f t="shared" si="20"/>
        <v>1.0702519707207208</v>
      </c>
      <c r="T110" s="683">
        <f t="shared" si="21"/>
        <v>5.5730969788465927</v>
      </c>
      <c r="V110" s="22" t="s">
        <v>52</v>
      </c>
      <c r="W110" s="37"/>
      <c r="X110" s="294"/>
      <c r="Y110" s="294"/>
      <c r="Z110" s="294"/>
      <c r="AA110" s="294"/>
      <c r="AC110" s="752"/>
      <c r="AD110" s="756"/>
      <c r="AE110" s="64" t="s">
        <v>77</v>
      </c>
      <c r="AF110" s="171">
        <f t="shared" si="23"/>
        <v>40.300000000000004</v>
      </c>
      <c r="AG110" s="64">
        <v>27</v>
      </c>
      <c r="AH110" s="206">
        <f t="shared" si="24"/>
        <v>0.3300248138957817</v>
      </c>
      <c r="AI110" s="171">
        <v>81</v>
      </c>
      <c r="AJ110" s="64">
        <v>80</v>
      </c>
      <c r="AK110" s="216">
        <f t="shared" si="22"/>
        <v>1.2345679012345678E-2</v>
      </c>
      <c r="AL110" s="173">
        <v>42</v>
      </c>
      <c r="AM110" s="64">
        <v>76</v>
      </c>
      <c r="AN110" s="206">
        <f t="shared" si="25"/>
        <v>0.80952380952380953</v>
      </c>
      <c r="AO110" s="171">
        <v>58</v>
      </c>
      <c r="AP110" s="173">
        <v>72</v>
      </c>
      <c r="AQ110" s="206">
        <f t="shared" si="29"/>
        <v>0.2413793103448276</v>
      </c>
      <c r="AR110" s="171">
        <v>718</v>
      </c>
      <c r="AS110" s="173">
        <v>679</v>
      </c>
      <c r="AT110" s="206">
        <f t="shared" si="27"/>
        <v>5.4317548746518104E-2</v>
      </c>
      <c r="AU110" s="183">
        <v>25</v>
      </c>
      <c r="AV110" s="64">
        <v>24.9</v>
      </c>
      <c r="AW110" s="207">
        <f t="shared" si="28"/>
        <v>4.0000000000000565E-3</v>
      </c>
      <c r="BM110" s="763"/>
      <c r="BN110" s="602" t="s">
        <v>208</v>
      </c>
      <c r="BO110" s="301" t="s">
        <v>208</v>
      </c>
      <c r="BP110" s="44" t="s">
        <v>208</v>
      </c>
      <c r="BQ110" s="301" t="s">
        <v>208</v>
      </c>
      <c r="BR110" s="68" t="s">
        <v>208</v>
      </c>
      <c r="BS110" s="305" t="s">
        <v>208</v>
      </c>
      <c r="BT110" s="68" t="s">
        <v>207</v>
      </c>
      <c r="BU110" s="112" t="s">
        <v>207</v>
      </c>
    </row>
    <row r="111" spans="1:73" x14ac:dyDescent="0.3">
      <c r="M111" s="22" t="s">
        <v>97</v>
      </c>
      <c r="N111" s="22" t="s">
        <v>449</v>
      </c>
      <c r="O111" s="22">
        <v>1</v>
      </c>
      <c r="P111" s="22">
        <v>2.97</v>
      </c>
      <c r="Q111" s="683">
        <v>19.8047</v>
      </c>
      <c r="R111" s="683">
        <f>19.8/0.05*0.049</f>
        <v>19.404</v>
      </c>
      <c r="S111" s="683" t="e">
        <f t="shared" si="20"/>
        <v>#VALUE!</v>
      </c>
      <c r="T111" s="683" t="e">
        <f t="shared" si="21"/>
        <v>#VALUE!</v>
      </c>
      <c r="U111" s="22">
        <v>0</v>
      </c>
      <c r="V111" s="22" t="s">
        <v>53</v>
      </c>
      <c r="W111" s="37"/>
      <c r="X111" s="294"/>
      <c r="Y111" s="294"/>
      <c r="Z111" s="294"/>
      <c r="AA111" s="294"/>
      <c r="AC111" s="753"/>
      <c r="AD111" s="756"/>
      <c r="AE111" s="64" t="s">
        <v>80</v>
      </c>
      <c r="AF111" s="171">
        <f t="shared" si="23"/>
        <v>40.300000000000004</v>
      </c>
      <c r="AG111" s="64">
        <v>43</v>
      </c>
      <c r="AH111" s="206">
        <f t="shared" si="24"/>
        <v>6.6997518610421719E-2</v>
      </c>
      <c r="AI111" s="171">
        <v>81</v>
      </c>
      <c r="AJ111" s="64">
        <v>80</v>
      </c>
      <c r="AK111" s="216">
        <f t="shared" si="22"/>
        <v>1.2345679012345678E-2</v>
      </c>
      <c r="AL111" s="173">
        <v>42</v>
      </c>
      <c r="AM111" s="50">
        <v>77</v>
      </c>
      <c r="AN111" s="206">
        <f t="shared" si="25"/>
        <v>0.83333333333333337</v>
      </c>
      <c r="AO111" s="692">
        <v>58</v>
      </c>
      <c r="AP111" s="695">
        <v>52.019997159100001</v>
      </c>
      <c r="AQ111" s="214">
        <f t="shared" si="29"/>
        <v>0.10310349725689653</v>
      </c>
      <c r="AR111" s="692">
        <v>718</v>
      </c>
      <c r="AS111" s="695">
        <v>334.42980587099999</v>
      </c>
      <c r="AT111" s="214">
        <f t="shared" si="27"/>
        <v>0.53422032608495829</v>
      </c>
      <c r="AU111" s="183">
        <v>25</v>
      </c>
      <c r="AV111" s="64">
        <v>24.6</v>
      </c>
      <c r="AW111" s="215">
        <f t="shared" si="28"/>
        <v>1.5999999999999945E-2</v>
      </c>
      <c r="BM111" s="763"/>
      <c r="BN111" s="602" t="s">
        <v>3</v>
      </c>
      <c r="BO111" s="301" t="s">
        <v>3</v>
      </c>
      <c r="BP111" s="44" t="s">
        <v>3</v>
      </c>
      <c r="BQ111" s="301" t="s">
        <v>3</v>
      </c>
      <c r="BR111" s="68" t="s">
        <v>3</v>
      </c>
      <c r="BS111" s="305" t="s">
        <v>3</v>
      </c>
      <c r="BT111" s="68" t="s">
        <v>3</v>
      </c>
      <c r="BU111" s="112" t="s">
        <v>3</v>
      </c>
    </row>
    <row r="112" spans="1:73" x14ac:dyDescent="0.3">
      <c r="M112" s="22" t="s">
        <v>98</v>
      </c>
      <c r="N112" s="22" t="s">
        <v>449</v>
      </c>
      <c r="O112" s="22">
        <v>1</v>
      </c>
      <c r="P112" s="22">
        <v>2.97</v>
      </c>
      <c r="Q112" s="683">
        <v>19.8047</v>
      </c>
      <c r="R112" s="683">
        <f>19.8/0.05*0.049</f>
        <v>19.404</v>
      </c>
      <c r="S112" s="683" t="e">
        <f t="shared" si="20"/>
        <v>#VALUE!</v>
      </c>
      <c r="T112" s="683" t="e">
        <f t="shared" si="21"/>
        <v>#VALUE!</v>
      </c>
      <c r="V112" s="22" t="s">
        <v>53</v>
      </c>
      <c r="W112" s="37"/>
      <c r="X112" s="294"/>
      <c r="Y112" s="294"/>
      <c r="Z112" s="294"/>
      <c r="AA112" s="294"/>
      <c r="AC112" s="748" t="s">
        <v>50</v>
      </c>
      <c r="AD112" s="755" t="s">
        <v>48</v>
      </c>
      <c r="AE112" s="42" t="s">
        <v>61</v>
      </c>
      <c r="AF112" s="691">
        <f t="shared" si="23"/>
        <v>40.300000000000004</v>
      </c>
      <c r="AG112" s="42">
        <v>28</v>
      </c>
      <c r="AH112" s="211">
        <f t="shared" si="24"/>
        <v>0.30521091811414397</v>
      </c>
      <c r="AI112" s="691">
        <v>81</v>
      </c>
      <c r="AJ112" s="42">
        <v>80</v>
      </c>
      <c r="AK112" s="217">
        <f t="shared" si="22"/>
        <v>1.2345679012345678E-2</v>
      </c>
      <c r="AL112" s="694">
        <v>62</v>
      </c>
      <c r="AM112" s="42">
        <v>2</v>
      </c>
      <c r="AN112" s="217">
        <f t="shared" si="25"/>
        <v>0.967741935483871</v>
      </c>
      <c r="AO112" s="171">
        <v>58</v>
      </c>
      <c r="AP112" s="173">
        <v>34.039993371199998</v>
      </c>
      <c r="AQ112" s="206">
        <f t="shared" si="29"/>
        <v>0.41310356256551728</v>
      </c>
      <c r="AR112" s="691">
        <v>694</v>
      </c>
      <c r="AS112" s="694">
        <v>680</v>
      </c>
      <c r="AT112" s="211">
        <f t="shared" si="27"/>
        <v>2.0172910662824207E-2</v>
      </c>
      <c r="AU112" s="697">
        <v>25</v>
      </c>
      <c r="AV112" s="42">
        <v>24.5</v>
      </c>
      <c r="AW112" s="207">
        <f t="shared" si="28"/>
        <v>0.02</v>
      </c>
      <c r="BM112" s="798" t="s">
        <v>53</v>
      </c>
      <c r="BN112" s="607" t="s">
        <v>59</v>
      </c>
      <c r="BO112" s="66" t="s">
        <v>60</v>
      </c>
      <c r="BP112" s="47" t="s">
        <v>61</v>
      </c>
      <c r="BQ112" s="66" t="s">
        <v>82</v>
      </c>
      <c r="BR112" s="609" t="s">
        <v>83</v>
      </c>
      <c r="BS112" s="42" t="s">
        <v>84</v>
      </c>
      <c r="BT112" s="609" t="s">
        <v>60</v>
      </c>
      <c r="BU112" s="113" t="s">
        <v>82</v>
      </c>
    </row>
    <row r="113" spans="13:73" x14ac:dyDescent="0.3">
      <c r="M113" s="22" t="s">
        <v>99</v>
      </c>
      <c r="N113" s="22" t="s">
        <v>449</v>
      </c>
      <c r="O113" s="22">
        <v>1</v>
      </c>
      <c r="P113" s="22">
        <v>2.97</v>
      </c>
      <c r="Q113" s="683">
        <v>19.8047</v>
      </c>
      <c r="R113" s="683">
        <f>19.8/0.05*0.048</f>
        <v>19.007999999999999</v>
      </c>
      <c r="S113" s="683" t="e">
        <f t="shared" si="20"/>
        <v>#VALUE!</v>
      </c>
      <c r="T113" s="683" t="e">
        <f t="shared" si="21"/>
        <v>#VALUE!</v>
      </c>
      <c r="V113" s="22" t="s">
        <v>53</v>
      </c>
      <c r="W113" s="37"/>
      <c r="X113" s="294"/>
      <c r="Y113" s="294"/>
      <c r="Z113" s="294"/>
      <c r="AA113" s="294"/>
      <c r="AC113" s="749"/>
      <c r="AD113" s="756"/>
      <c r="AE113" s="64" t="s">
        <v>64</v>
      </c>
      <c r="AF113" s="171">
        <f t="shared" si="23"/>
        <v>40.300000000000004</v>
      </c>
      <c r="AG113" s="64">
        <v>41</v>
      </c>
      <c r="AH113" s="206">
        <f t="shared" si="24"/>
        <v>1.7369727047146295E-2</v>
      </c>
      <c r="AI113" s="171">
        <v>81</v>
      </c>
      <c r="AJ113" s="64">
        <v>76</v>
      </c>
      <c r="AK113" s="216">
        <f t="shared" si="22"/>
        <v>6.1728395061728392E-2</v>
      </c>
      <c r="AL113" s="173">
        <v>62</v>
      </c>
      <c r="AM113" s="64">
        <v>74</v>
      </c>
      <c r="AN113" s="216">
        <f t="shared" si="25"/>
        <v>0.19354838709677419</v>
      </c>
      <c r="AO113" s="171">
        <v>58</v>
      </c>
      <c r="AP113" s="173">
        <v>14.0599895833</v>
      </c>
      <c r="AQ113" s="206">
        <f t="shared" si="26"/>
        <v>0.75758638649482757</v>
      </c>
      <c r="AR113" s="171">
        <v>694</v>
      </c>
      <c r="AS113" s="173">
        <v>679</v>
      </c>
      <c r="AT113" s="206">
        <f t="shared" si="27"/>
        <v>2.1613832853025938E-2</v>
      </c>
      <c r="AU113" s="183">
        <v>25</v>
      </c>
      <c r="AV113" s="64">
        <v>24.9</v>
      </c>
      <c r="AW113" s="207">
        <f t="shared" si="28"/>
        <v>4.0000000000000565E-3</v>
      </c>
      <c r="BM113" s="763"/>
      <c r="BN113" s="602" t="s">
        <v>208</v>
      </c>
      <c r="BO113" s="301" t="s">
        <v>208</v>
      </c>
      <c r="BP113" s="44" t="s">
        <v>208</v>
      </c>
      <c r="BQ113" s="301" t="s">
        <v>208</v>
      </c>
      <c r="BR113" s="68" t="s">
        <v>208</v>
      </c>
      <c r="BS113" s="305" t="s">
        <v>208</v>
      </c>
      <c r="BT113" s="68" t="s">
        <v>207</v>
      </c>
      <c r="BU113" s="112" t="s">
        <v>207</v>
      </c>
    </row>
    <row r="114" spans="13:73" ht="15" thickBot="1" x14ac:dyDescent="0.35">
      <c r="M114" s="22" t="s">
        <v>103</v>
      </c>
      <c r="N114" s="22">
        <v>75.41</v>
      </c>
      <c r="O114" s="22">
        <v>1</v>
      </c>
      <c r="P114" s="22">
        <v>2.97</v>
      </c>
      <c r="Q114" s="683">
        <v>19.607175000000002</v>
      </c>
      <c r="R114" s="683">
        <f>Q114/0.05*0.049</f>
        <v>19.215031500000002</v>
      </c>
      <c r="S114" s="683">
        <f t="shared" si="20"/>
        <v>9.7531965090090086E-2</v>
      </c>
      <c r="T114" s="683">
        <f t="shared" si="21"/>
        <v>0.50758160396505247</v>
      </c>
      <c r="U114" s="683">
        <f>AVERAGE(T114:T116)</f>
        <v>0.51100757607290348</v>
      </c>
      <c r="V114" s="22" t="s">
        <v>49</v>
      </c>
      <c r="W114" s="37"/>
      <c r="X114" s="294"/>
      <c r="Y114" s="294"/>
      <c r="Z114" s="294"/>
      <c r="AA114" s="294"/>
      <c r="AC114" s="749"/>
      <c r="AD114" s="757"/>
      <c r="AE114" s="50" t="s">
        <v>67</v>
      </c>
      <c r="AF114" s="692">
        <f t="shared" si="23"/>
        <v>40.300000000000004</v>
      </c>
      <c r="AG114" s="50">
        <v>29</v>
      </c>
      <c r="AH114" s="214">
        <f t="shared" si="24"/>
        <v>0.2803970223325063</v>
      </c>
      <c r="AI114" s="692">
        <v>81</v>
      </c>
      <c r="AJ114" s="50">
        <v>75</v>
      </c>
      <c r="AK114" s="218">
        <f t="shared" si="22"/>
        <v>7.407407407407407E-2</v>
      </c>
      <c r="AL114" s="695">
        <v>62</v>
      </c>
      <c r="AM114" s="50">
        <v>75</v>
      </c>
      <c r="AN114" s="218">
        <f t="shared" si="25"/>
        <v>0.20967741935483872</v>
      </c>
      <c r="AO114" s="171">
        <v>58</v>
      </c>
      <c r="AP114" s="173">
        <v>77</v>
      </c>
      <c r="AQ114" s="206">
        <f t="shared" si="26"/>
        <v>0.32758620689655171</v>
      </c>
      <c r="AR114" s="692">
        <v>694</v>
      </c>
      <c r="AS114" s="695">
        <v>422.31976799199998</v>
      </c>
      <c r="AT114" s="214">
        <f t="shared" si="27"/>
        <v>0.39147007493948127</v>
      </c>
      <c r="AU114" s="698">
        <v>25</v>
      </c>
      <c r="AV114" s="50">
        <v>25</v>
      </c>
      <c r="AW114" s="207">
        <f t="shared" si="28"/>
        <v>0</v>
      </c>
      <c r="BM114" s="764"/>
      <c r="BN114" s="616" t="s">
        <v>3</v>
      </c>
      <c r="BO114" s="115" t="s">
        <v>3</v>
      </c>
      <c r="BP114" s="52" t="s">
        <v>3</v>
      </c>
      <c r="BQ114" s="115" t="s">
        <v>3</v>
      </c>
      <c r="BR114" s="620" t="s">
        <v>3</v>
      </c>
      <c r="BS114" s="54" t="s">
        <v>3</v>
      </c>
      <c r="BT114" s="620" t="s">
        <v>3</v>
      </c>
      <c r="BU114" s="117" t="s">
        <v>3</v>
      </c>
    </row>
    <row r="115" spans="13:73" x14ac:dyDescent="0.3">
      <c r="M115" s="22" t="s">
        <v>104</v>
      </c>
      <c r="N115" s="22">
        <v>80.459999999999994</v>
      </c>
      <c r="O115" s="22">
        <v>1</v>
      </c>
      <c r="P115" s="22">
        <v>2.97</v>
      </c>
      <c r="Q115" s="683">
        <v>19.607175000000002</v>
      </c>
      <c r="R115" s="683">
        <f>Q115/0.05*0.049</f>
        <v>19.215031500000002</v>
      </c>
      <c r="S115" s="683">
        <f t="shared" si="20"/>
        <v>0.10406341216216215</v>
      </c>
      <c r="T115" s="683">
        <f t="shared" si="21"/>
        <v>0.54157294596244687</v>
      </c>
      <c r="V115" s="22" t="s">
        <v>49</v>
      </c>
      <c r="W115" s="37"/>
      <c r="X115" s="294"/>
      <c r="Y115" s="294"/>
      <c r="Z115" s="294"/>
      <c r="AA115" s="294"/>
      <c r="AC115" s="749"/>
      <c r="AD115" s="756" t="s">
        <v>49</v>
      </c>
      <c r="AE115" s="64" t="s">
        <v>70</v>
      </c>
      <c r="AF115" s="171">
        <f t="shared" si="23"/>
        <v>40.300000000000004</v>
      </c>
      <c r="AG115" s="64">
        <v>45</v>
      </c>
      <c r="AH115" s="206">
        <f t="shared" si="24"/>
        <v>0.11662531017369715</v>
      </c>
      <c r="AI115" s="171">
        <v>81</v>
      </c>
      <c r="AJ115" s="64">
        <v>75</v>
      </c>
      <c r="AK115" s="216">
        <f t="shared" si="22"/>
        <v>7.407407407407407E-2</v>
      </c>
      <c r="AL115" s="173">
        <v>42</v>
      </c>
      <c r="AM115" s="64">
        <v>78</v>
      </c>
      <c r="AN115" s="206">
        <f>ABS(AM115-AL115)/AL115</f>
        <v>0.8571428571428571</v>
      </c>
      <c r="AO115" s="691">
        <v>58</v>
      </c>
      <c r="AP115" s="694">
        <v>67</v>
      </c>
      <c r="AQ115" s="211">
        <f t="shared" si="26"/>
        <v>0.15517241379310345</v>
      </c>
      <c r="AR115" s="691">
        <v>709</v>
      </c>
      <c r="AS115" s="694">
        <v>680</v>
      </c>
      <c r="AT115" s="211">
        <f t="shared" si="27"/>
        <v>4.0902679830747531E-2</v>
      </c>
      <c r="AU115" s="183">
        <v>25</v>
      </c>
      <c r="AV115" s="64">
        <v>24.5</v>
      </c>
      <c r="AW115" s="212">
        <f t="shared" si="28"/>
        <v>0.02</v>
      </c>
    </row>
    <row r="116" spans="13:73" x14ac:dyDescent="0.3">
      <c r="M116" s="22" t="s">
        <v>105</v>
      </c>
      <c r="N116" s="22">
        <v>70.36</v>
      </c>
      <c r="O116" s="22">
        <v>1</v>
      </c>
      <c r="P116" s="22">
        <v>2.97</v>
      </c>
      <c r="Q116" s="683">
        <v>19.607175000000002</v>
      </c>
      <c r="R116" s="683">
        <f>Q116/0.049*0.047</f>
        <v>18.806882142857145</v>
      </c>
      <c r="S116" s="683">
        <f t="shared" si="20"/>
        <v>9.100051801801802E-2</v>
      </c>
      <c r="T116" s="683">
        <f t="shared" si="21"/>
        <v>0.48386817829121143</v>
      </c>
      <c r="V116" s="22" t="s">
        <v>49</v>
      </c>
      <c r="W116" s="37"/>
      <c r="X116" s="294"/>
      <c r="Y116" s="294"/>
      <c r="Z116" s="294"/>
      <c r="AA116" s="294"/>
      <c r="AC116" s="749"/>
      <c r="AD116" s="756"/>
      <c r="AE116" s="64" t="s">
        <v>78</v>
      </c>
      <c r="AF116" s="171">
        <f t="shared" si="23"/>
        <v>40.300000000000004</v>
      </c>
      <c r="AG116" s="64">
        <v>28</v>
      </c>
      <c r="AH116" s="206">
        <f t="shared" si="24"/>
        <v>0.30521091811414397</v>
      </c>
      <c r="AI116" s="171">
        <v>81</v>
      </c>
      <c r="AJ116" s="64">
        <v>76</v>
      </c>
      <c r="AK116" s="216">
        <f t="shared" si="22"/>
        <v>6.1728395061728392E-2</v>
      </c>
      <c r="AL116" s="173">
        <v>42</v>
      </c>
      <c r="AM116" s="64">
        <v>79.000000000100002</v>
      </c>
      <c r="AN116" s="206">
        <f>ABS(AM116-AL116)/AL116</f>
        <v>0.88095238095476192</v>
      </c>
      <c r="AO116" s="171">
        <v>58</v>
      </c>
      <c r="AP116" s="173">
        <v>55.019996212099997</v>
      </c>
      <c r="AQ116" s="206">
        <f t="shared" si="26"/>
        <v>5.1379375653448328E-2</v>
      </c>
      <c r="AR116" s="171">
        <v>709</v>
      </c>
      <c r="AS116" s="173">
        <v>679</v>
      </c>
      <c r="AT116" s="206">
        <f t="shared" si="27"/>
        <v>4.2313117066290547E-2</v>
      </c>
      <c r="AU116" s="183">
        <v>25</v>
      </c>
      <c r="AV116" s="64">
        <v>24.8</v>
      </c>
      <c r="AW116" s="207">
        <f t="shared" si="28"/>
        <v>7.9999999999999724E-3</v>
      </c>
    </row>
    <row r="117" spans="13:73" x14ac:dyDescent="0.3">
      <c r="M117" s="22" t="s">
        <v>109</v>
      </c>
      <c r="N117" s="22">
        <v>110.8</v>
      </c>
      <c r="O117" s="22">
        <v>1</v>
      </c>
      <c r="P117" s="22">
        <v>2.97</v>
      </c>
      <c r="Q117" s="683">
        <v>19.905705000000001</v>
      </c>
      <c r="R117" s="683">
        <f>Q117/0.05*0.049</f>
        <v>19.5075909</v>
      </c>
      <c r="S117" s="683">
        <f t="shared" si="20"/>
        <v>0.14330382882882883</v>
      </c>
      <c r="T117" s="683">
        <f t="shared" si="21"/>
        <v>0.73460546493636392</v>
      </c>
      <c r="U117" s="683">
        <f>AVERAGE(T117:T119)</f>
        <v>0.80629410789650391</v>
      </c>
      <c r="V117" s="22" t="s">
        <v>51</v>
      </c>
      <c r="W117" s="37"/>
      <c r="X117" s="294"/>
      <c r="Y117" s="294"/>
      <c r="Z117" s="294"/>
      <c r="AA117" s="294"/>
      <c r="AC117" s="750"/>
      <c r="AD117" s="756"/>
      <c r="AE117" s="64" t="s">
        <v>81</v>
      </c>
      <c r="AF117" s="171">
        <f t="shared" si="23"/>
        <v>40.300000000000004</v>
      </c>
      <c r="AG117" s="64">
        <v>46</v>
      </c>
      <c r="AH117" s="206">
        <f t="shared" si="24"/>
        <v>0.14143920595533488</v>
      </c>
      <c r="AI117" s="171">
        <v>81</v>
      </c>
      <c r="AJ117" s="64">
        <v>75</v>
      </c>
      <c r="AK117" s="216">
        <f t="shared" si="22"/>
        <v>7.407407407407407E-2</v>
      </c>
      <c r="AL117" s="173">
        <v>42</v>
      </c>
      <c r="AM117" s="64">
        <v>78</v>
      </c>
      <c r="AN117" s="206">
        <f>ABS(AM117-AL117)/AL117</f>
        <v>0.8571428571428571</v>
      </c>
      <c r="AO117" s="692">
        <v>58</v>
      </c>
      <c r="AP117" s="695">
        <v>35.0399933713</v>
      </c>
      <c r="AQ117" s="214">
        <f t="shared" si="26"/>
        <v>0.3958621832534483</v>
      </c>
      <c r="AR117" s="692">
        <v>709</v>
      </c>
      <c r="AS117" s="695">
        <v>418.209706439</v>
      </c>
      <c r="AT117" s="214">
        <f t="shared" si="27"/>
        <v>0.4101414577729196</v>
      </c>
      <c r="AU117" s="183">
        <v>25</v>
      </c>
      <c r="AV117" s="64">
        <v>24.8</v>
      </c>
      <c r="AW117" s="215">
        <f t="shared" si="28"/>
        <v>7.9999999999999724E-3</v>
      </c>
    </row>
    <row r="118" spans="13:73" x14ac:dyDescent="0.3">
      <c r="M118" s="22" t="s">
        <v>110</v>
      </c>
      <c r="N118" s="22">
        <v>112.5</v>
      </c>
      <c r="O118" s="22">
        <v>1</v>
      </c>
      <c r="P118" s="22">
        <v>2.97</v>
      </c>
      <c r="Q118" s="683">
        <v>19.905705000000001</v>
      </c>
      <c r="R118" s="683">
        <f>Q118/0.05*0.051</f>
        <v>20.303819099999998</v>
      </c>
      <c r="S118" s="683">
        <f t="shared" si="20"/>
        <v>0.14550253378378381</v>
      </c>
      <c r="T118" s="683">
        <f t="shared" si="21"/>
        <v>0.71662642908290985</v>
      </c>
      <c r="V118" s="22" t="s">
        <v>51</v>
      </c>
      <c r="W118" s="37"/>
      <c r="X118" s="294"/>
      <c r="Y118" s="294"/>
      <c r="Z118" s="294"/>
      <c r="AA118" s="294"/>
      <c r="AC118" s="748" t="s">
        <v>51</v>
      </c>
      <c r="AD118" s="755" t="s">
        <v>48</v>
      </c>
      <c r="AE118" s="42" t="s">
        <v>82</v>
      </c>
      <c r="AF118" s="691">
        <f t="shared" si="23"/>
        <v>40.300000000000004</v>
      </c>
      <c r="AG118" s="42">
        <v>27</v>
      </c>
      <c r="AH118" s="211">
        <f t="shared" si="24"/>
        <v>0.3300248138957817</v>
      </c>
      <c r="AI118" s="691">
        <v>81</v>
      </c>
      <c r="AJ118" s="64">
        <v>78</v>
      </c>
      <c r="AK118" s="217">
        <f>ABS(AI142-AI118)/AI118</f>
        <v>1.2345679012345678E-2</v>
      </c>
      <c r="AL118" s="694">
        <v>62</v>
      </c>
      <c r="AM118" s="64">
        <v>75</v>
      </c>
      <c r="AN118" s="217">
        <f t="shared" si="25"/>
        <v>0.20967741935483872</v>
      </c>
      <c r="AO118" s="691">
        <v>58</v>
      </c>
      <c r="AP118" s="694">
        <v>14.0599905303</v>
      </c>
      <c r="AQ118" s="217">
        <f t="shared" si="26"/>
        <v>0.7575863701672414</v>
      </c>
      <c r="AR118" s="173">
        <v>692</v>
      </c>
      <c r="AS118" s="173">
        <v>674</v>
      </c>
      <c r="AT118" s="206">
        <f t="shared" si="27"/>
        <v>2.6011560693641619E-2</v>
      </c>
      <c r="AU118" s="697">
        <v>25</v>
      </c>
      <c r="AV118" s="42">
        <v>24.5</v>
      </c>
      <c r="AW118" s="212">
        <f t="shared" si="28"/>
        <v>0.02</v>
      </c>
    </row>
    <row r="119" spans="13:73" x14ac:dyDescent="0.3">
      <c r="M119" s="22" t="s">
        <v>111</v>
      </c>
      <c r="N119" s="22">
        <v>145.94999999999999</v>
      </c>
      <c r="O119" s="22">
        <v>1</v>
      </c>
      <c r="P119" s="22">
        <v>2.97</v>
      </c>
      <c r="Q119" s="683">
        <v>19.905705000000001</v>
      </c>
      <c r="R119" s="683">
        <v>19.5075909</v>
      </c>
      <c r="S119" s="683">
        <f t="shared" si="20"/>
        <v>0.18876528716216218</v>
      </c>
      <c r="T119" s="683">
        <f t="shared" si="21"/>
        <v>0.96765042967023773</v>
      </c>
      <c r="V119" s="22" t="s">
        <v>51</v>
      </c>
      <c r="W119" s="37"/>
      <c r="X119" s="294"/>
      <c r="Y119" s="294"/>
      <c r="Z119" s="294"/>
      <c r="AA119" s="294"/>
      <c r="AC119" s="749"/>
      <c r="AD119" s="756"/>
      <c r="AE119" s="64" t="s">
        <v>85</v>
      </c>
      <c r="AF119" s="171">
        <f t="shared" si="23"/>
        <v>40.300000000000004</v>
      </c>
      <c r="AG119" s="64">
        <v>44</v>
      </c>
      <c r="AH119" s="206">
        <f t="shared" si="24"/>
        <v>9.1811414392059434E-2</v>
      </c>
      <c r="AI119" s="171">
        <v>81</v>
      </c>
      <c r="AJ119" s="64">
        <v>82</v>
      </c>
      <c r="AK119" s="216">
        <f>ABS(AI143-AI119)/AI119</f>
        <v>1.2345679012345678E-2</v>
      </c>
      <c r="AL119" s="173">
        <v>62</v>
      </c>
      <c r="AM119" s="64">
        <v>75</v>
      </c>
      <c r="AN119" s="216">
        <f t="shared" si="25"/>
        <v>0.20967741935483872</v>
      </c>
      <c r="AO119" s="171">
        <v>58</v>
      </c>
      <c r="AP119" s="173">
        <v>74</v>
      </c>
      <c r="AQ119" s="216">
        <f t="shared" si="26"/>
        <v>0.27586206896551724</v>
      </c>
      <c r="AR119" s="173">
        <v>692</v>
      </c>
      <c r="AS119" s="173">
        <v>680</v>
      </c>
      <c r="AT119" s="206">
        <f t="shared" si="27"/>
        <v>1.7341040462427744E-2</v>
      </c>
      <c r="AU119" s="183">
        <v>25</v>
      </c>
      <c r="AV119" s="64">
        <v>24.5</v>
      </c>
      <c r="AW119" s="207">
        <f t="shared" si="28"/>
        <v>0.02</v>
      </c>
    </row>
    <row r="120" spans="13:73" x14ac:dyDescent="0.3">
      <c r="W120" s="37"/>
      <c r="X120" s="294"/>
      <c r="Y120" s="294"/>
      <c r="Z120" s="294"/>
      <c r="AA120" s="294"/>
      <c r="AC120" s="749"/>
      <c r="AD120" s="757"/>
      <c r="AE120" s="50" t="s">
        <v>86</v>
      </c>
      <c r="AF120" s="692">
        <f t="shared" si="23"/>
        <v>40.300000000000004</v>
      </c>
      <c r="AG120" s="50">
        <v>29</v>
      </c>
      <c r="AH120" s="214">
        <f t="shared" si="24"/>
        <v>0.2803970223325063</v>
      </c>
      <c r="AI120" s="692">
        <v>81</v>
      </c>
      <c r="AJ120" s="64">
        <v>77</v>
      </c>
      <c r="AK120" s="218">
        <f>ABS(AI144-AI120)/AI120</f>
        <v>6.1728395061728392E-2</v>
      </c>
      <c r="AL120" s="695">
        <v>62</v>
      </c>
      <c r="AM120" s="64">
        <v>75</v>
      </c>
      <c r="AN120" s="218">
        <f t="shared" si="25"/>
        <v>0.20967741935483872</v>
      </c>
      <c r="AO120" s="171">
        <v>58</v>
      </c>
      <c r="AP120" s="173">
        <v>71</v>
      </c>
      <c r="AQ120" s="216">
        <f t="shared" si="26"/>
        <v>0.22413793103448276</v>
      </c>
      <c r="AR120" s="173">
        <v>692</v>
      </c>
      <c r="AS120" s="173">
        <v>77.759966856099993</v>
      </c>
      <c r="AT120" s="206">
        <f t="shared" si="27"/>
        <v>0.88763010569927758</v>
      </c>
      <c r="AU120" s="698">
        <v>25</v>
      </c>
      <c r="AV120" s="50">
        <v>24.9</v>
      </c>
      <c r="AW120" s="207">
        <f t="shared" si="28"/>
        <v>4.0000000000000565E-3</v>
      </c>
    </row>
    <row r="121" spans="13:73" x14ac:dyDescent="0.3">
      <c r="W121" s="37"/>
      <c r="X121" s="294"/>
      <c r="Y121" s="294"/>
      <c r="Z121" s="294"/>
      <c r="AA121" s="294"/>
      <c r="AC121" s="749"/>
      <c r="AD121" s="756" t="s">
        <v>49</v>
      </c>
      <c r="AE121" s="64" t="s">
        <v>87</v>
      </c>
      <c r="AF121" s="171">
        <f t="shared" si="23"/>
        <v>40.300000000000004</v>
      </c>
      <c r="AG121" s="64">
        <v>43</v>
      </c>
      <c r="AH121" s="206">
        <f t="shared" si="24"/>
        <v>6.6997518610421719E-2</v>
      </c>
      <c r="AI121" s="171">
        <v>81</v>
      </c>
      <c r="AJ121" s="42">
        <v>79</v>
      </c>
      <c r="AK121" s="216">
        <f t="shared" ref="AK121:AK123" si="30">ABS(AJ118-AI121)/AI121</f>
        <v>3.7037037037037035E-2</v>
      </c>
      <c r="AL121" s="173">
        <v>42</v>
      </c>
      <c r="AM121" s="42">
        <v>74</v>
      </c>
      <c r="AN121" s="206">
        <f t="shared" si="25"/>
        <v>0.76190476190476186</v>
      </c>
      <c r="AO121" s="691">
        <v>58</v>
      </c>
      <c r="AP121" s="694">
        <v>51.019996212099997</v>
      </c>
      <c r="AQ121" s="211">
        <f t="shared" si="26"/>
        <v>0.12034489289482764</v>
      </c>
      <c r="AR121" s="691">
        <v>707</v>
      </c>
      <c r="AS121" s="694">
        <v>682</v>
      </c>
      <c r="AT121" s="211">
        <f t="shared" si="27"/>
        <v>3.536067892503536E-2</v>
      </c>
      <c r="AU121" s="183">
        <v>25</v>
      </c>
      <c r="AV121" s="64">
        <v>24.5</v>
      </c>
      <c r="AW121" s="212">
        <f t="shared" si="28"/>
        <v>0.02</v>
      </c>
    </row>
    <row r="122" spans="13:73" x14ac:dyDescent="0.3">
      <c r="M122" s="22" t="s">
        <v>439</v>
      </c>
      <c r="AC122" s="749"/>
      <c r="AD122" s="756"/>
      <c r="AE122" s="64" t="s">
        <v>88</v>
      </c>
      <c r="AF122" s="171">
        <f t="shared" si="23"/>
        <v>40.300000000000004</v>
      </c>
      <c r="AG122" s="64">
        <v>30</v>
      </c>
      <c r="AH122" s="206">
        <f t="shared" si="24"/>
        <v>0.25558312655086857</v>
      </c>
      <c r="AI122" s="171">
        <v>81</v>
      </c>
      <c r="AJ122" s="64">
        <v>80.999999999899998</v>
      </c>
      <c r="AK122" s="216">
        <f t="shared" si="30"/>
        <v>1.2345679012345678E-2</v>
      </c>
      <c r="AL122" s="173">
        <v>42</v>
      </c>
      <c r="AM122" s="64">
        <v>77</v>
      </c>
      <c r="AN122" s="206">
        <f t="shared" si="25"/>
        <v>0.83333333333333337</v>
      </c>
      <c r="AO122" s="171">
        <v>58</v>
      </c>
      <c r="AP122" s="173">
        <v>37.039993371199998</v>
      </c>
      <c r="AQ122" s="206">
        <f t="shared" si="26"/>
        <v>0.3613794246344828</v>
      </c>
      <c r="AR122" s="171">
        <v>707</v>
      </c>
      <c r="AS122" s="173">
        <v>680</v>
      </c>
      <c r="AT122" s="206">
        <f t="shared" si="27"/>
        <v>3.818953323903819E-2</v>
      </c>
      <c r="AU122" s="183">
        <v>25</v>
      </c>
      <c r="AV122" s="64">
        <v>24.9</v>
      </c>
      <c r="AW122" s="207">
        <f t="shared" si="28"/>
        <v>4.0000000000000565E-3</v>
      </c>
    </row>
    <row r="123" spans="13:73" ht="15" thickBot="1" x14ac:dyDescent="0.35">
      <c r="AC123" s="750"/>
      <c r="AD123" s="756"/>
      <c r="AE123" s="64" t="s">
        <v>89</v>
      </c>
      <c r="AF123" s="171">
        <f t="shared" si="23"/>
        <v>40.300000000000004</v>
      </c>
      <c r="AG123" s="64">
        <v>42</v>
      </c>
      <c r="AH123" s="206">
        <f t="shared" si="24"/>
        <v>4.2183622828784011E-2</v>
      </c>
      <c r="AI123" s="171">
        <v>81</v>
      </c>
      <c r="AJ123" s="50">
        <v>80</v>
      </c>
      <c r="AK123" s="216">
        <f t="shared" si="30"/>
        <v>4.9382716049382713E-2</v>
      </c>
      <c r="AL123" s="173">
        <v>42</v>
      </c>
      <c r="AM123" s="50">
        <v>79.000000000100002</v>
      </c>
      <c r="AN123" s="206">
        <f t="shared" si="25"/>
        <v>0.88095238095476192</v>
      </c>
      <c r="AO123" s="692">
        <v>58</v>
      </c>
      <c r="AP123" s="695">
        <v>14.0599905303</v>
      </c>
      <c r="AQ123" s="214">
        <f t="shared" si="26"/>
        <v>0.7575863701672414</v>
      </c>
      <c r="AR123" s="692">
        <v>707</v>
      </c>
      <c r="AS123" s="695">
        <v>163.649928977</v>
      </c>
      <c r="AT123" s="214">
        <f t="shared" si="27"/>
        <v>0.76852909621357857</v>
      </c>
      <c r="AU123" s="698">
        <v>25</v>
      </c>
      <c r="AV123" s="50">
        <v>24.5</v>
      </c>
      <c r="AW123" s="215">
        <f t="shared" si="28"/>
        <v>0.02</v>
      </c>
    </row>
    <row r="124" spans="13:73" x14ac:dyDescent="0.3">
      <c r="M124" s="432" t="s">
        <v>199</v>
      </c>
      <c r="N124" s="716" t="s">
        <v>200</v>
      </c>
      <c r="O124" s="716" t="s">
        <v>476</v>
      </c>
      <c r="P124" s="716" t="s">
        <v>477</v>
      </c>
      <c r="Q124" s="716" t="s">
        <v>475</v>
      </c>
      <c r="R124" s="716" t="s">
        <v>472</v>
      </c>
      <c r="S124" s="716" t="s">
        <v>478</v>
      </c>
      <c r="T124" s="433" t="s">
        <v>474</v>
      </c>
      <c r="AB124" s="748" t="s">
        <v>52</v>
      </c>
      <c r="AC124" s="755" t="s">
        <v>48</v>
      </c>
      <c r="AD124" s="42" t="s">
        <v>83</v>
      </c>
      <c r="AE124" s="691">
        <f t="shared" ref="AE124:AE147" si="31">AE$13</f>
        <v>40.300000000000004</v>
      </c>
      <c r="AF124" s="42">
        <v>32</v>
      </c>
      <c r="AG124" s="211">
        <f t="shared" si="24"/>
        <v>0.20595533498759314</v>
      </c>
      <c r="AH124" s="691">
        <v>81</v>
      </c>
      <c r="AI124" s="64">
        <v>81</v>
      </c>
      <c r="AJ124" s="217">
        <f>ABS(AJ121-AH124)/AH124</f>
        <v>2.4691358024691357E-2</v>
      </c>
      <c r="AK124" s="694">
        <v>62</v>
      </c>
      <c r="AL124" s="42">
        <v>74</v>
      </c>
      <c r="AM124" s="217">
        <f t="shared" si="25"/>
        <v>0.19354838709677419</v>
      </c>
      <c r="AN124" s="691">
        <v>58</v>
      </c>
      <c r="AO124" s="694">
        <v>77</v>
      </c>
      <c r="AP124" s="217">
        <f t="shared" si="26"/>
        <v>0.32758620689655171</v>
      </c>
      <c r="AQ124" s="173">
        <v>706</v>
      </c>
      <c r="AR124" s="173">
        <v>680</v>
      </c>
      <c r="AS124" s="206">
        <f t="shared" si="27"/>
        <v>3.6827195467422094E-2</v>
      </c>
      <c r="AT124" s="183">
        <v>25</v>
      </c>
      <c r="AU124" s="64">
        <v>24.5</v>
      </c>
      <c r="AV124" s="212">
        <f t="shared" si="28"/>
        <v>0.02</v>
      </c>
    </row>
    <row r="125" spans="13:73" x14ac:dyDescent="0.3">
      <c r="M125" s="123" t="s">
        <v>59</v>
      </c>
      <c r="N125" s="694">
        <v>1489.12</v>
      </c>
      <c r="O125" s="42">
        <v>2.97</v>
      </c>
      <c r="P125" s="57">
        <v>16.155475000000003</v>
      </c>
      <c r="Q125" s="57">
        <v>15.520761353419289</v>
      </c>
      <c r="R125" s="57">
        <v>1.925962072072072</v>
      </c>
      <c r="S125" s="694">
        <v>12.408940697021764</v>
      </c>
      <c r="T125" s="813">
        <v>9.3771020818700332</v>
      </c>
      <c r="AB125" s="749"/>
      <c r="AC125" s="756"/>
      <c r="AD125" s="64" t="s">
        <v>90</v>
      </c>
      <c r="AE125" s="171">
        <f t="shared" si="31"/>
        <v>40.300000000000004</v>
      </c>
      <c r="AF125" s="64">
        <v>35</v>
      </c>
      <c r="AG125" s="206">
        <f t="shared" si="24"/>
        <v>0.13151364764268</v>
      </c>
      <c r="AH125" s="171">
        <v>81</v>
      </c>
      <c r="AI125" s="64">
        <v>81.000000000100002</v>
      </c>
      <c r="AJ125" s="216">
        <f>ABS(AJ122-AH125)/AH125</f>
        <v>1.2345899337145247E-12</v>
      </c>
      <c r="AK125" s="173">
        <v>62</v>
      </c>
      <c r="AL125" s="64">
        <v>76</v>
      </c>
      <c r="AM125" s="216">
        <f t="shared" si="25"/>
        <v>0.22580645161290322</v>
      </c>
      <c r="AN125" s="171">
        <v>58</v>
      </c>
      <c r="AO125" s="173">
        <v>72</v>
      </c>
      <c r="AP125" s="216">
        <f t="shared" si="26"/>
        <v>0.2413793103448276</v>
      </c>
      <c r="AQ125" s="173">
        <v>706</v>
      </c>
      <c r="AR125" s="173">
        <v>680</v>
      </c>
      <c r="AS125" s="206">
        <f t="shared" si="27"/>
        <v>3.6827195467422094E-2</v>
      </c>
      <c r="AT125" s="183">
        <v>25</v>
      </c>
      <c r="AU125" s="64">
        <v>24.5</v>
      </c>
      <c r="AV125" s="207">
        <f t="shared" si="28"/>
        <v>0.02</v>
      </c>
    </row>
    <row r="126" spans="13:73" x14ac:dyDescent="0.3">
      <c r="M126" s="124" t="s">
        <v>62</v>
      </c>
      <c r="N126" s="173">
        <v>827.85</v>
      </c>
      <c r="O126" s="64">
        <v>2.97</v>
      </c>
      <c r="P126" s="78">
        <v>16.155475000000003</v>
      </c>
      <c r="Q126" s="78">
        <v>15.319193024154103</v>
      </c>
      <c r="R126" s="78">
        <v>1.0707046452702702</v>
      </c>
      <c r="S126" s="78">
        <v>6.9893018749882394</v>
      </c>
      <c r="T126" s="810"/>
      <c r="AB126" s="749"/>
      <c r="AC126" s="757"/>
      <c r="AD126" s="50" t="s">
        <v>91</v>
      </c>
      <c r="AE126" s="692">
        <f t="shared" si="31"/>
        <v>40.300000000000004</v>
      </c>
      <c r="AF126" s="50">
        <v>32</v>
      </c>
      <c r="AG126" s="214">
        <f t="shared" si="24"/>
        <v>0.20595533498759314</v>
      </c>
      <c r="AH126" s="692">
        <v>81</v>
      </c>
      <c r="AI126" s="64">
        <v>81.000000000100002</v>
      </c>
      <c r="AJ126" s="218">
        <f>ABS(AJ123-AH126)/AH126</f>
        <v>1.2345679012345678E-2</v>
      </c>
      <c r="AK126" s="695">
        <v>62</v>
      </c>
      <c r="AL126" s="50">
        <v>75</v>
      </c>
      <c r="AM126" s="218">
        <f t="shared" si="25"/>
        <v>0.20967741935483872</v>
      </c>
      <c r="AN126" s="692">
        <v>58</v>
      </c>
      <c r="AO126" s="695">
        <v>51.019996212099997</v>
      </c>
      <c r="AP126" s="218">
        <f t="shared" si="26"/>
        <v>0.12034489289482764</v>
      </c>
      <c r="AQ126" s="173">
        <v>706</v>
      </c>
      <c r="AR126" s="173">
        <v>248.53986742399999</v>
      </c>
      <c r="AS126" s="206">
        <f t="shared" si="27"/>
        <v>0.64796052772804524</v>
      </c>
      <c r="AT126" s="698">
        <v>25</v>
      </c>
      <c r="AU126" s="50">
        <v>24.9</v>
      </c>
      <c r="AV126" s="215">
        <f t="shared" si="28"/>
        <v>4.0000000000000565E-3</v>
      </c>
    </row>
    <row r="127" spans="13:73" x14ac:dyDescent="0.3">
      <c r="M127" s="738" t="s">
        <v>65</v>
      </c>
      <c r="N127" s="695">
        <v>1020.78</v>
      </c>
      <c r="O127" s="50">
        <v>2.97</v>
      </c>
      <c r="P127" s="58">
        <v>16.155475000000003</v>
      </c>
      <c r="Q127" s="58">
        <v>15.117624694888917</v>
      </c>
      <c r="R127" s="58">
        <v>1.3202317905405405</v>
      </c>
      <c r="S127" s="58">
        <v>8.7330636736000908</v>
      </c>
      <c r="T127" s="814"/>
      <c r="AB127" s="749"/>
      <c r="AC127" s="756" t="s">
        <v>49</v>
      </c>
      <c r="AD127" s="64" t="s">
        <v>92</v>
      </c>
      <c r="AE127" s="171">
        <f t="shared" si="31"/>
        <v>40.300000000000004</v>
      </c>
      <c r="AF127" s="64">
        <v>36</v>
      </c>
      <c r="AG127" s="206">
        <f t="shared" si="24"/>
        <v>0.10669975186104227</v>
      </c>
      <c r="AH127" s="171">
        <v>81</v>
      </c>
      <c r="AI127" s="64">
        <v>76</v>
      </c>
      <c r="AJ127" s="216">
        <f t="shared" si="22"/>
        <v>6.1728395061728392E-2</v>
      </c>
      <c r="AK127" s="173">
        <v>42</v>
      </c>
      <c r="AL127" s="64">
        <v>79.000000000100002</v>
      </c>
      <c r="AM127" s="206">
        <f t="shared" si="25"/>
        <v>0.88095238095476192</v>
      </c>
      <c r="AN127" s="691">
        <v>58</v>
      </c>
      <c r="AO127" s="694">
        <v>35.0399933713</v>
      </c>
      <c r="AP127" s="211">
        <f t="shared" si="26"/>
        <v>0.3958621832534483</v>
      </c>
      <c r="AQ127" s="691">
        <v>720</v>
      </c>
      <c r="AR127" s="694">
        <v>680</v>
      </c>
      <c r="AS127" s="211">
        <f t="shared" si="27"/>
        <v>5.5555555555555552E-2</v>
      </c>
      <c r="AT127" s="183">
        <v>25</v>
      </c>
      <c r="AU127" s="64">
        <v>24.7</v>
      </c>
      <c r="AV127" s="212">
        <f t="shared" si="28"/>
        <v>1.2000000000000028E-2</v>
      </c>
    </row>
    <row r="128" spans="13:73" x14ac:dyDescent="0.3">
      <c r="M128" s="124" t="s">
        <v>60</v>
      </c>
      <c r="N128" s="173">
        <v>50.3</v>
      </c>
      <c r="O128" s="64">
        <v>2.97</v>
      </c>
      <c r="P128" s="78">
        <v>18.105650000000001</v>
      </c>
      <c r="Q128" s="78">
        <v>16.616849090541955</v>
      </c>
      <c r="R128" s="78">
        <v>6.5055799549549542E-2</v>
      </c>
      <c r="S128" s="310">
        <v>0.39150502718700297</v>
      </c>
      <c r="T128" s="808">
        <v>0.92136908320943922</v>
      </c>
      <c r="AB128" s="749"/>
      <c r="AC128" s="756"/>
      <c r="AD128" s="64" t="s">
        <v>93</v>
      </c>
      <c r="AE128" s="171">
        <f t="shared" si="31"/>
        <v>40.300000000000004</v>
      </c>
      <c r="AF128" s="64">
        <v>32</v>
      </c>
      <c r="AG128" s="206">
        <f t="shared" si="24"/>
        <v>0.20595533498759314</v>
      </c>
      <c r="AH128" s="171">
        <v>81</v>
      </c>
      <c r="AI128" s="64">
        <v>75</v>
      </c>
      <c r="AJ128" s="216">
        <f t="shared" si="22"/>
        <v>7.407407407407407E-2</v>
      </c>
      <c r="AK128" s="173">
        <v>42</v>
      </c>
      <c r="AL128" s="64">
        <v>64</v>
      </c>
      <c r="AM128" s="206">
        <f t="shared" si="25"/>
        <v>0.52380952380952384</v>
      </c>
      <c r="AN128" s="171">
        <v>58</v>
      </c>
      <c r="AO128" s="173">
        <v>16.059990530299999</v>
      </c>
      <c r="AP128" s="206">
        <f t="shared" si="26"/>
        <v>0.72310361154655178</v>
      </c>
      <c r="AQ128" s="171">
        <v>720</v>
      </c>
      <c r="AR128" s="173">
        <v>679</v>
      </c>
      <c r="AS128" s="206">
        <f t="shared" si="27"/>
        <v>5.6944444444444443E-2</v>
      </c>
      <c r="AT128" s="183">
        <v>25</v>
      </c>
      <c r="AU128" s="64">
        <v>24.8</v>
      </c>
      <c r="AV128" s="207">
        <f t="shared" si="28"/>
        <v>7.9999999999999724E-3</v>
      </c>
    </row>
    <row r="129" spans="5:48" x14ac:dyDescent="0.3">
      <c r="M129" s="124" t="s">
        <v>63</v>
      </c>
      <c r="N129" s="173">
        <v>232.79</v>
      </c>
      <c r="O129" s="64">
        <v>2.97</v>
      </c>
      <c r="P129" s="78">
        <v>18.105650000000001</v>
      </c>
      <c r="Q129" s="78">
        <v>16.392297075804901</v>
      </c>
      <c r="R129" s="78">
        <v>0.30108030968468469</v>
      </c>
      <c r="S129" s="78">
        <v>1.8367182359638936</v>
      </c>
      <c r="T129" s="808"/>
      <c r="AB129" s="750"/>
      <c r="AC129" s="756"/>
      <c r="AD129" s="64" t="s">
        <v>94</v>
      </c>
      <c r="AE129" s="171">
        <f t="shared" si="31"/>
        <v>40.300000000000004</v>
      </c>
      <c r="AF129" s="64">
        <v>40</v>
      </c>
      <c r="AG129" s="206">
        <f t="shared" si="24"/>
        <v>7.4441687344914201E-3</v>
      </c>
      <c r="AH129" s="171">
        <v>81</v>
      </c>
      <c r="AI129" s="64">
        <v>81.000000000100002</v>
      </c>
      <c r="AJ129" s="216">
        <f t="shared" si="22"/>
        <v>1.2345899337145247E-12</v>
      </c>
      <c r="AK129" s="173">
        <v>42</v>
      </c>
      <c r="AL129" s="64">
        <v>65</v>
      </c>
      <c r="AM129" s="206">
        <f t="shared" si="25"/>
        <v>0.54761904761904767</v>
      </c>
      <c r="AN129" s="692">
        <v>58</v>
      </c>
      <c r="AO129" s="695">
        <v>78</v>
      </c>
      <c r="AP129" s="214">
        <f t="shared" si="26"/>
        <v>0.34482758620689657</v>
      </c>
      <c r="AQ129" s="692">
        <v>720</v>
      </c>
      <c r="AR129" s="695">
        <v>334.42978219700001</v>
      </c>
      <c r="AS129" s="214">
        <f t="shared" si="27"/>
        <v>0.53551419139305556</v>
      </c>
      <c r="AT129" s="698">
        <v>25</v>
      </c>
      <c r="AU129" s="50">
        <v>24.6</v>
      </c>
      <c r="AV129" s="215">
        <f t="shared" si="28"/>
        <v>1.5999999999999945E-2</v>
      </c>
    </row>
    <row r="130" spans="5:48" x14ac:dyDescent="0.3">
      <c r="M130" s="124" t="s">
        <v>66</v>
      </c>
      <c r="N130" s="173">
        <v>69.78</v>
      </c>
      <c r="O130" s="64">
        <v>2.97</v>
      </c>
      <c r="P130" s="78">
        <v>18.105650000000001</v>
      </c>
      <c r="Q130" s="78">
        <v>16.841401105279012</v>
      </c>
      <c r="R130" s="78">
        <v>9.0250371621621625E-2</v>
      </c>
      <c r="S130" s="310">
        <v>0.53588398647742108</v>
      </c>
      <c r="T130" s="808"/>
      <c r="AB130" s="748" t="s">
        <v>53</v>
      </c>
      <c r="AC130" s="755" t="s">
        <v>48</v>
      </c>
      <c r="AD130" s="42" t="s">
        <v>84</v>
      </c>
      <c r="AE130" s="691">
        <f t="shared" si="31"/>
        <v>40.300000000000004</v>
      </c>
      <c r="AF130" s="42">
        <v>32</v>
      </c>
      <c r="AG130" s="211">
        <f t="shared" si="24"/>
        <v>0.20595533498759314</v>
      </c>
      <c r="AH130" s="691">
        <v>81</v>
      </c>
      <c r="AI130" s="42">
        <v>82</v>
      </c>
      <c r="AJ130" s="217">
        <f t="shared" si="22"/>
        <v>1.2345679012345678E-2</v>
      </c>
      <c r="AK130" s="694">
        <v>62</v>
      </c>
      <c r="AL130" s="64">
        <v>75</v>
      </c>
      <c r="AM130" s="217">
        <f>ABS(AL130-AK130)/AK130</f>
        <v>0.20967741935483872</v>
      </c>
      <c r="AN130" s="691">
        <v>58</v>
      </c>
      <c r="AO130" s="694">
        <v>71</v>
      </c>
      <c r="AP130" s="217">
        <f t="shared" si="26"/>
        <v>0.22413793103448276</v>
      </c>
      <c r="AQ130" s="173">
        <v>703</v>
      </c>
      <c r="AR130" s="173">
        <v>679</v>
      </c>
      <c r="AS130" s="206">
        <f t="shared" si="27"/>
        <v>3.4139402560455195E-2</v>
      </c>
      <c r="AT130" s="183">
        <v>25</v>
      </c>
      <c r="AU130" s="64">
        <v>24.9</v>
      </c>
      <c r="AV130" s="212">
        <f t="shared" si="28"/>
        <v>4.0000000000000565E-3</v>
      </c>
    </row>
    <row r="131" spans="5:48" x14ac:dyDescent="0.3">
      <c r="M131" s="123" t="s">
        <v>82</v>
      </c>
      <c r="N131" s="694">
        <v>511.9</v>
      </c>
      <c r="O131" s="42">
        <v>2.97</v>
      </c>
      <c r="P131" s="57">
        <v>18.405000000000001</v>
      </c>
      <c r="Q131" s="57">
        <v>17.637118509344329</v>
      </c>
      <c r="R131" s="57">
        <v>0.66206886261261255</v>
      </c>
      <c r="S131" s="57">
        <v>3.7538380334737873</v>
      </c>
      <c r="T131" s="813">
        <v>8.0505739235692015</v>
      </c>
      <c r="AB131" s="749"/>
      <c r="AC131" s="756"/>
      <c r="AD131" s="64" t="s">
        <v>95</v>
      </c>
      <c r="AE131" s="171">
        <f t="shared" si="31"/>
        <v>40.300000000000004</v>
      </c>
      <c r="AF131" s="64">
        <v>30</v>
      </c>
      <c r="AG131" s="206">
        <f t="shared" si="24"/>
        <v>0.25558312655086857</v>
      </c>
      <c r="AH131" s="171">
        <v>81</v>
      </c>
      <c r="AI131" s="64">
        <v>80</v>
      </c>
      <c r="AJ131" s="216">
        <f t="shared" si="22"/>
        <v>1.2345679012345678E-2</v>
      </c>
      <c r="AK131" s="173">
        <v>62</v>
      </c>
      <c r="AL131" s="64">
        <v>75</v>
      </c>
      <c r="AM131" s="216">
        <f>ABS(AL131-AK131)/AK131</f>
        <v>0.20967741935483872</v>
      </c>
      <c r="AN131" s="171">
        <v>58</v>
      </c>
      <c r="AO131" s="173">
        <v>51.019996212099997</v>
      </c>
      <c r="AP131" s="216">
        <f t="shared" si="26"/>
        <v>0.12034489289482764</v>
      </c>
      <c r="AQ131" s="173">
        <v>703</v>
      </c>
      <c r="AR131" s="173">
        <v>679</v>
      </c>
      <c r="AS131" s="206">
        <f t="shared" si="27"/>
        <v>3.4139402560455195E-2</v>
      </c>
      <c r="AT131" s="183">
        <v>25</v>
      </c>
      <c r="AU131" s="64">
        <v>24.5</v>
      </c>
      <c r="AV131" s="207">
        <f t="shared" si="28"/>
        <v>0.02</v>
      </c>
    </row>
    <row r="132" spans="5:48" x14ac:dyDescent="0.3">
      <c r="E132" s="22" t="s">
        <v>47</v>
      </c>
      <c r="G132" s="22">
        <v>3</v>
      </c>
      <c r="H132" s="22">
        <v>4</v>
      </c>
      <c r="I132" s="22">
        <v>5</v>
      </c>
      <c r="J132" s="22">
        <v>6</v>
      </c>
      <c r="K132" s="22">
        <v>7</v>
      </c>
      <c r="M132" s="124" t="s">
        <v>85</v>
      </c>
      <c r="N132" s="173">
        <v>2251.36</v>
      </c>
      <c r="O132" s="64">
        <v>2.97</v>
      </c>
      <c r="P132" s="78">
        <v>18.405000000000001</v>
      </c>
      <c r="Q132" s="78">
        <v>18.405000000000001</v>
      </c>
      <c r="R132" s="78">
        <v>2.9118096396396398</v>
      </c>
      <c r="S132" s="173">
        <v>15.820753271609018</v>
      </c>
      <c r="T132" s="810"/>
      <c r="AB132" s="749"/>
      <c r="AC132" s="757"/>
      <c r="AD132" s="50" t="s">
        <v>96</v>
      </c>
      <c r="AE132" s="692">
        <f t="shared" si="31"/>
        <v>40.300000000000004</v>
      </c>
      <c r="AF132" s="50">
        <v>32</v>
      </c>
      <c r="AG132" s="214">
        <f t="shared" si="24"/>
        <v>0.20595533498759314</v>
      </c>
      <c r="AH132" s="692">
        <v>81</v>
      </c>
      <c r="AI132" s="50">
        <v>79.000000000100002</v>
      </c>
      <c r="AJ132" s="218">
        <f t="shared" si="22"/>
        <v>2.4691358023456768E-2</v>
      </c>
      <c r="AK132" s="695">
        <v>62</v>
      </c>
      <c r="AL132" s="64">
        <v>77</v>
      </c>
      <c r="AM132" s="218">
        <f>ABS(AL132-AK132)/AK132</f>
        <v>0.24193548387096775</v>
      </c>
      <c r="AN132" s="692">
        <v>58</v>
      </c>
      <c r="AO132" s="695">
        <v>37.039993371199998</v>
      </c>
      <c r="AP132" s="218">
        <f t="shared" si="26"/>
        <v>0.3613794246344828</v>
      </c>
      <c r="AQ132" s="173">
        <v>703</v>
      </c>
      <c r="AR132" s="173">
        <v>421.31976799199998</v>
      </c>
      <c r="AS132" s="206">
        <f t="shared" si="27"/>
        <v>0.40068311807681367</v>
      </c>
      <c r="AT132" s="698">
        <v>25</v>
      </c>
      <c r="AU132" s="50">
        <v>24.8</v>
      </c>
      <c r="AV132" s="215">
        <f t="shared" si="28"/>
        <v>7.9999999999999724E-3</v>
      </c>
    </row>
    <row r="133" spans="5:48" x14ac:dyDescent="0.3">
      <c r="E133" s="791" t="s">
        <v>35</v>
      </c>
      <c r="F133" s="22" t="s">
        <v>10</v>
      </c>
      <c r="I133" s="22">
        <v>9.3771020818700332</v>
      </c>
      <c r="M133" s="738" t="s">
        <v>86</v>
      </c>
      <c r="N133" s="695">
        <v>624.16999999999996</v>
      </c>
      <c r="O133" s="50">
        <v>2.97</v>
      </c>
      <c r="P133" s="58">
        <v>18.405000000000001</v>
      </c>
      <c r="Q133" s="58">
        <v>17.637118509344329</v>
      </c>
      <c r="R133" s="58">
        <v>0.80727392454954949</v>
      </c>
      <c r="S133" s="58">
        <v>4.5771304656247978</v>
      </c>
      <c r="T133" s="814"/>
      <c r="AB133" s="749"/>
      <c r="AC133" s="756" t="s">
        <v>49</v>
      </c>
      <c r="AD133" s="64" t="s">
        <v>97</v>
      </c>
      <c r="AE133" s="171">
        <f t="shared" si="31"/>
        <v>40.300000000000004</v>
      </c>
      <c r="AF133" s="64">
        <v>30.999999999900002</v>
      </c>
      <c r="AG133" s="206">
        <f t="shared" si="24"/>
        <v>0.23076923077171219</v>
      </c>
      <c r="AH133" s="171">
        <v>81</v>
      </c>
      <c r="AI133" s="64">
        <v>79.000000000100002</v>
      </c>
      <c r="AJ133" s="216">
        <f t="shared" si="22"/>
        <v>2.4691358023456768E-2</v>
      </c>
      <c r="AK133" s="173">
        <v>42</v>
      </c>
      <c r="AL133" s="64">
        <v>65</v>
      </c>
      <c r="AM133" s="206">
        <f t="shared" si="25"/>
        <v>0.54761904761904767</v>
      </c>
      <c r="AN133" s="691">
        <v>58</v>
      </c>
      <c r="AO133" s="694">
        <v>14.0599905303</v>
      </c>
      <c r="AP133" s="211">
        <f t="shared" si="26"/>
        <v>0.7575863701672414</v>
      </c>
      <c r="AQ133" s="691">
        <v>718</v>
      </c>
      <c r="AR133" s="694">
        <v>679</v>
      </c>
      <c r="AS133" s="211">
        <f t="shared" si="27"/>
        <v>5.4317548746518104E-2</v>
      </c>
      <c r="AT133" s="183">
        <v>25</v>
      </c>
      <c r="AU133" s="64">
        <v>24.6</v>
      </c>
      <c r="AV133" s="212">
        <f t="shared" si="28"/>
        <v>1.5999999999999945E-2</v>
      </c>
    </row>
    <row r="134" spans="5:48" x14ac:dyDescent="0.3">
      <c r="E134" s="791"/>
      <c r="F134" s="22" t="s">
        <v>73</v>
      </c>
      <c r="I134" s="22">
        <v>0.92136908320943922</v>
      </c>
      <c r="M134" s="124" t="s">
        <v>83</v>
      </c>
      <c r="N134" s="173">
        <v>228.4</v>
      </c>
      <c r="O134" s="64">
        <v>2.97</v>
      </c>
      <c r="P134" s="78">
        <v>17.505649999999999</v>
      </c>
      <c r="Q134" s="78">
        <v>17.505649999999999</v>
      </c>
      <c r="R134" s="78">
        <v>0.2954024774774775</v>
      </c>
      <c r="S134" s="78">
        <v>1.6874693454826155</v>
      </c>
      <c r="T134" s="810">
        <v>2.2768522464763392</v>
      </c>
      <c r="AB134" s="749"/>
      <c r="AC134" s="756"/>
      <c r="AD134" s="64" t="s">
        <v>98</v>
      </c>
      <c r="AE134" s="171">
        <f t="shared" si="31"/>
        <v>40.300000000000004</v>
      </c>
      <c r="AF134" s="64">
        <v>33.000000000100002</v>
      </c>
      <c r="AG134" s="206">
        <f t="shared" si="24"/>
        <v>0.18114143920347398</v>
      </c>
      <c r="AH134" s="171">
        <v>81</v>
      </c>
      <c r="AI134" s="64">
        <v>79.000000000100002</v>
      </c>
      <c r="AJ134" s="216">
        <f t="shared" si="22"/>
        <v>2.4691358023456768E-2</v>
      </c>
      <c r="AK134" s="173">
        <v>42</v>
      </c>
      <c r="AL134" s="64">
        <v>78</v>
      </c>
      <c r="AM134" s="206">
        <f t="shared" si="25"/>
        <v>0.8571428571428571</v>
      </c>
      <c r="AN134" s="171">
        <v>58</v>
      </c>
      <c r="AO134" s="173">
        <v>72</v>
      </c>
      <c r="AP134" s="206">
        <f t="shared" si="26"/>
        <v>0.2413793103448276</v>
      </c>
      <c r="AQ134" s="171">
        <v>718</v>
      </c>
      <c r="AR134" s="173">
        <v>680</v>
      </c>
      <c r="AS134" s="206">
        <f t="shared" si="27"/>
        <v>5.2924791086350974E-2</v>
      </c>
      <c r="AT134" s="183">
        <v>25</v>
      </c>
      <c r="AU134" s="64">
        <v>24.6</v>
      </c>
      <c r="AV134" s="207">
        <f t="shared" si="28"/>
        <v>1.5999999999999945E-2</v>
      </c>
    </row>
    <row r="135" spans="5:48" x14ac:dyDescent="0.3">
      <c r="E135" s="791"/>
      <c r="F135" s="22" t="s">
        <v>25</v>
      </c>
      <c r="I135" s="22">
        <v>0</v>
      </c>
      <c r="M135" s="124" t="s">
        <v>90</v>
      </c>
      <c r="N135" s="173">
        <v>331.78</v>
      </c>
      <c r="O135" s="64">
        <v>2.97</v>
      </c>
      <c r="P135" s="78">
        <v>17.505649999999999</v>
      </c>
      <c r="Q135" s="78">
        <v>17.505649999999999</v>
      </c>
      <c r="R135" s="78">
        <v>0.42910960585585584</v>
      </c>
      <c r="S135" s="78">
        <v>2.4512634826804822</v>
      </c>
      <c r="T135" s="810"/>
      <c r="AB135" s="749"/>
      <c r="AC135" s="756"/>
      <c r="AD135" s="64" t="s">
        <v>99</v>
      </c>
      <c r="AE135" s="171">
        <f t="shared" si="31"/>
        <v>40.300000000000004</v>
      </c>
      <c r="AF135" s="64">
        <v>31</v>
      </c>
      <c r="AG135" s="206">
        <f t="shared" si="24"/>
        <v>0.23076923076923084</v>
      </c>
      <c r="AH135" s="171">
        <v>81</v>
      </c>
      <c r="AI135" s="64">
        <v>78.000000000100002</v>
      </c>
      <c r="AJ135" s="216">
        <f t="shared" si="22"/>
        <v>3.7037037035802446E-2</v>
      </c>
      <c r="AK135" s="173">
        <v>42</v>
      </c>
      <c r="AL135" s="64">
        <v>78</v>
      </c>
      <c r="AM135" s="206">
        <f t="shared" si="25"/>
        <v>0.8571428571428571</v>
      </c>
      <c r="AN135" s="171">
        <v>58</v>
      </c>
      <c r="AO135" s="173">
        <v>72</v>
      </c>
      <c r="AP135" s="206">
        <f t="shared" si="26"/>
        <v>0.2413793103448276</v>
      </c>
      <c r="AQ135" s="692">
        <v>718</v>
      </c>
      <c r="AR135" s="695">
        <v>99.209706439399994</v>
      </c>
      <c r="AS135" s="214">
        <f t="shared" si="27"/>
        <v>0.86182492139359335</v>
      </c>
      <c r="AT135" s="183">
        <v>25</v>
      </c>
      <c r="AU135" s="64">
        <v>24.5</v>
      </c>
      <c r="AV135" s="207">
        <f t="shared" si="28"/>
        <v>0.02</v>
      </c>
    </row>
    <row r="136" spans="5:48" x14ac:dyDescent="0.3">
      <c r="E136" s="791"/>
      <c r="F136" s="22" t="s">
        <v>227</v>
      </c>
      <c r="I136" s="22">
        <v>0</v>
      </c>
      <c r="M136" s="124" t="s">
        <v>91</v>
      </c>
      <c r="N136" s="173">
        <v>364.34</v>
      </c>
      <c r="O136" s="64">
        <v>2.97</v>
      </c>
      <c r="P136" s="78">
        <v>17.505649999999999</v>
      </c>
      <c r="Q136" s="78">
        <v>17.505649999999999</v>
      </c>
      <c r="R136" s="78">
        <v>0.47122127252252244</v>
      </c>
      <c r="S136" s="78">
        <v>2.6918239112659195</v>
      </c>
      <c r="T136" s="810"/>
      <c r="AB136" s="801" t="s">
        <v>48</v>
      </c>
      <c r="AC136" s="804" t="s">
        <v>50</v>
      </c>
      <c r="AD136" s="41" t="s">
        <v>100</v>
      </c>
      <c r="AE136" s="691">
        <f t="shared" si="31"/>
        <v>40.300000000000004</v>
      </c>
      <c r="AF136" s="42">
        <v>33.000000000100002</v>
      </c>
      <c r="AG136" s="211">
        <f t="shared" si="24"/>
        <v>0.18114143920347398</v>
      </c>
      <c r="AH136" s="691">
        <v>81</v>
      </c>
      <c r="AI136" s="42">
        <v>76</v>
      </c>
      <c r="AJ136" s="217">
        <f t="shared" si="22"/>
        <v>6.1728395061728392E-2</v>
      </c>
      <c r="AK136" s="694">
        <v>56</v>
      </c>
      <c r="AL136" s="42">
        <v>77</v>
      </c>
      <c r="AM136" s="211">
        <f t="shared" si="25"/>
        <v>0.375</v>
      </c>
      <c r="AN136" s="691">
        <v>58</v>
      </c>
      <c r="AO136" s="694">
        <v>50.019996212099997</v>
      </c>
      <c r="AP136" s="217">
        <f t="shared" si="26"/>
        <v>0.13758627220517247</v>
      </c>
      <c r="AQ136" s="173">
        <v>722</v>
      </c>
      <c r="AR136" s="173">
        <v>677</v>
      </c>
      <c r="AS136" s="206">
        <f t="shared" si="27"/>
        <v>6.2326869806094184E-2</v>
      </c>
      <c r="AT136" s="697">
        <v>25</v>
      </c>
      <c r="AU136" s="42">
        <v>27.2</v>
      </c>
      <c r="AV136" s="212">
        <f t="shared" si="28"/>
        <v>8.7999999999999967E-2</v>
      </c>
    </row>
    <row r="137" spans="5:48" x14ac:dyDescent="0.3">
      <c r="E137" s="791"/>
      <c r="F137" s="22" t="s">
        <v>13</v>
      </c>
      <c r="I137" s="22">
        <v>8.0505739235692015</v>
      </c>
      <c r="M137" s="123" t="s">
        <v>100</v>
      </c>
      <c r="N137" s="694">
        <v>1399.44</v>
      </c>
      <c r="O137" s="42">
        <v>2.97</v>
      </c>
      <c r="P137" s="57">
        <v>17.616690000000002</v>
      </c>
      <c r="Q137" s="57">
        <v>16.704768789322834</v>
      </c>
      <c r="R137" s="57">
        <v>1.809973918918919</v>
      </c>
      <c r="S137" s="694">
        <v>10.835073156330052</v>
      </c>
      <c r="T137" s="815">
        <v>10.837065633388614</v>
      </c>
      <c r="AB137" s="802"/>
      <c r="AC137" s="805"/>
      <c r="AD137" s="45" t="s">
        <v>101</v>
      </c>
      <c r="AE137" s="171">
        <f t="shared" si="31"/>
        <v>40.300000000000004</v>
      </c>
      <c r="AF137" s="64">
        <v>32</v>
      </c>
      <c r="AG137" s="206">
        <f t="shared" si="24"/>
        <v>0.20595533498759314</v>
      </c>
      <c r="AH137" s="171">
        <v>81</v>
      </c>
      <c r="AI137" s="64">
        <v>78</v>
      </c>
      <c r="AJ137" s="216">
        <f t="shared" si="22"/>
        <v>3.7037037037037035E-2</v>
      </c>
      <c r="AK137" s="173">
        <v>56</v>
      </c>
      <c r="AL137" s="64">
        <v>78</v>
      </c>
      <c r="AM137" s="206">
        <f t="shared" si="25"/>
        <v>0.39285714285714285</v>
      </c>
      <c r="AN137" s="171">
        <v>58</v>
      </c>
      <c r="AO137" s="173">
        <v>37.039994318200002</v>
      </c>
      <c r="AP137" s="216">
        <f t="shared" si="26"/>
        <v>0.36137940830689652</v>
      </c>
      <c r="AQ137" s="173">
        <v>722</v>
      </c>
      <c r="AR137" s="173">
        <v>681</v>
      </c>
      <c r="AS137" s="206">
        <f t="shared" si="27"/>
        <v>5.6786703601108032E-2</v>
      </c>
      <c r="AT137" s="183">
        <v>25</v>
      </c>
      <c r="AU137" s="64">
        <v>24.9</v>
      </c>
      <c r="AV137" s="207">
        <f t="shared" si="28"/>
        <v>4.0000000000000565E-3</v>
      </c>
    </row>
    <row r="138" spans="5:48" x14ac:dyDescent="0.3">
      <c r="E138" s="791"/>
      <c r="F138" s="22" t="s">
        <v>24</v>
      </c>
      <c r="I138" s="22">
        <v>2.2768522464763392</v>
      </c>
      <c r="M138" s="124" t="s">
        <v>101</v>
      </c>
      <c r="N138" s="173">
        <v>1484.7</v>
      </c>
      <c r="O138" s="64">
        <v>2.97</v>
      </c>
      <c r="P138" s="78">
        <v>17.616690000000002</v>
      </c>
      <c r="Q138" s="78">
        <v>17.144367967989229</v>
      </c>
      <c r="R138" s="78">
        <v>1.9202454391891892</v>
      </c>
      <c r="S138" s="173">
        <v>11.200444616999226</v>
      </c>
      <c r="T138" s="812"/>
      <c r="AB138" s="802"/>
      <c r="AC138" s="805"/>
      <c r="AD138" s="49" t="s">
        <v>102</v>
      </c>
      <c r="AE138" s="692">
        <f t="shared" si="31"/>
        <v>40.300000000000004</v>
      </c>
      <c r="AF138" s="50">
        <v>33.000000000100002</v>
      </c>
      <c r="AG138" s="214">
        <f t="shared" si="24"/>
        <v>0.18114143920347398</v>
      </c>
      <c r="AH138" s="692">
        <v>81</v>
      </c>
      <c r="AI138" s="50">
        <v>78</v>
      </c>
      <c r="AJ138" s="218">
        <f t="shared" si="22"/>
        <v>3.7037037037037035E-2</v>
      </c>
      <c r="AK138" s="695">
        <v>56</v>
      </c>
      <c r="AL138" s="50">
        <v>78</v>
      </c>
      <c r="AM138" s="214">
        <f t="shared" si="25"/>
        <v>0.39285714285714285</v>
      </c>
      <c r="AN138" s="692">
        <v>58</v>
      </c>
      <c r="AO138" s="695">
        <v>14.0599905303</v>
      </c>
      <c r="AP138" s="218">
        <f t="shared" si="26"/>
        <v>0.7575863701672414</v>
      </c>
      <c r="AQ138" s="173">
        <v>722</v>
      </c>
      <c r="AR138" s="173">
        <v>77.759943181799997</v>
      </c>
      <c r="AS138" s="206">
        <f t="shared" si="27"/>
        <v>0.89229924767063706</v>
      </c>
      <c r="AT138" s="698">
        <v>25</v>
      </c>
      <c r="AU138" s="50">
        <v>25</v>
      </c>
      <c r="AV138" s="215">
        <f t="shared" si="28"/>
        <v>0</v>
      </c>
    </row>
    <row r="139" spans="5:48" x14ac:dyDescent="0.3">
      <c r="E139" s="791" t="s">
        <v>480</v>
      </c>
      <c r="F139" s="22" t="s">
        <v>10</v>
      </c>
      <c r="I139" s="22">
        <v>8.8604126217914523</v>
      </c>
      <c r="M139" s="738" t="s">
        <v>102</v>
      </c>
      <c r="N139" s="695">
        <v>1406.43</v>
      </c>
      <c r="O139" s="50">
        <v>2.97</v>
      </c>
      <c r="P139" s="58">
        <v>17.616690000000002</v>
      </c>
      <c r="Q139" s="58">
        <v>17.364167557322421</v>
      </c>
      <c r="R139" s="58">
        <v>1.8190144763513516</v>
      </c>
      <c r="S139" s="695">
        <v>10.475679126836566</v>
      </c>
      <c r="T139" s="816"/>
      <c r="AB139" s="801" t="s">
        <v>49</v>
      </c>
      <c r="AC139" s="805"/>
      <c r="AD139" s="41" t="s">
        <v>103</v>
      </c>
      <c r="AE139" s="691">
        <f t="shared" si="31"/>
        <v>40.300000000000004</v>
      </c>
      <c r="AF139" s="42">
        <v>32.999999999899998</v>
      </c>
      <c r="AG139" s="211">
        <f t="shared" si="24"/>
        <v>0.18114143920843687</v>
      </c>
      <c r="AH139" s="691">
        <v>81</v>
      </c>
      <c r="AI139" s="42">
        <v>78.999999999899998</v>
      </c>
      <c r="AJ139" s="217">
        <f t="shared" si="22"/>
        <v>2.4691358025925949E-2</v>
      </c>
      <c r="AK139" s="694">
        <v>56</v>
      </c>
      <c r="AL139" s="42">
        <v>78</v>
      </c>
      <c r="AM139" s="211">
        <f t="shared" si="25"/>
        <v>0.39285714285714285</v>
      </c>
      <c r="AN139" s="691">
        <v>58</v>
      </c>
      <c r="AO139" s="694">
        <v>72</v>
      </c>
      <c r="AP139" s="211">
        <f t="shared" si="26"/>
        <v>0.2413793103448276</v>
      </c>
      <c r="AQ139" s="691">
        <v>708</v>
      </c>
      <c r="AR139" s="694">
        <v>681</v>
      </c>
      <c r="AS139" s="211">
        <f t="shared" si="27"/>
        <v>3.8135593220338986E-2</v>
      </c>
      <c r="AT139" s="697">
        <v>25</v>
      </c>
      <c r="AU139" s="42">
        <v>24.8</v>
      </c>
      <c r="AV139" s="212">
        <f t="shared" si="28"/>
        <v>7.9999999999999724E-3</v>
      </c>
    </row>
    <row r="140" spans="5:48" x14ac:dyDescent="0.3">
      <c r="E140" s="791"/>
      <c r="F140" s="22" t="s">
        <v>73</v>
      </c>
      <c r="I140" s="22">
        <v>0.97033573995376832</v>
      </c>
      <c r="M140" s="124" t="s">
        <v>68</v>
      </c>
      <c r="N140" s="173">
        <v>1739.65</v>
      </c>
      <c r="O140" s="64">
        <v>2.97</v>
      </c>
      <c r="P140" s="78">
        <v>17.887889999999999</v>
      </c>
      <c r="Q140" s="78">
        <v>15.846013763008443</v>
      </c>
      <c r="R140" s="78">
        <v>2.2499865146396396</v>
      </c>
      <c r="S140" s="173">
        <v>14.199069547018169</v>
      </c>
      <c r="T140" s="810">
        <v>8.8604126217914523</v>
      </c>
      <c r="AB140" s="802"/>
      <c r="AC140" s="805"/>
      <c r="AD140" s="45" t="s">
        <v>104</v>
      </c>
      <c r="AE140" s="171">
        <f t="shared" si="31"/>
        <v>40.300000000000004</v>
      </c>
      <c r="AF140" s="64">
        <v>33.000000000100002</v>
      </c>
      <c r="AG140" s="206">
        <f t="shared" si="24"/>
        <v>0.18114143920347398</v>
      </c>
      <c r="AH140" s="171">
        <v>81</v>
      </c>
      <c r="AI140" s="64">
        <v>79</v>
      </c>
      <c r="AJ140" s="216">
        <f t="shared" si="22"/>
        <v>2.4691358024691357E-2</v>
      </c>
      <c r="AK140" s="173">
        <v>56</v>
      </c>
      <c r="AL140" s="64">
        <v>74</v>
      </c>
      <c r="AM140" s="206">
        <f t="shared" si="25"/>
        <v>0.32142857142857145</v>
      </c>
      <c r="AN140" s="171">
        <v>58</v>
      </c>
      <c r="AO140" s="173">
        <v>70</v>
      </c>
      <c r="AP140" s="206">
        <f t="shared" si="26"/>
        <v>0.20689655172413793</v>
      </c>
      <c r="AQ140" s="171">
        <v>708</v>
      </c>
      <c r="AR140" s="173">
        <v>679</v>
      </c>
      <c r="AS140" s="206">
        <f t="shared" si="27"/>
        <v>4.0960451977401127E-2</v>
      </c>
      <c r="AT140" s="183">
        <v>25</v>
      </c>
      <c r="AU140" s="64">
        <v>24.7</v>
      </c>
      <c r="AV140" s="207">
        <f t="shared" si="28"/>
        <v>1.2000000000000028E-2</v>
      </c>
    </row>
    <row r="141" spans="5:48" x14ac:dyDescent="0.3">
      <c r="E141" s="791"/>
      <c r="F141" s="22" t="s">
        <v>25</v>
      </c>
      <c r="I141" s="22">
        <v>0</v>
      </c>
      <c r="M141" s="124" t="s">
        <v>76</v>
      </c>
      <c r="N141" s="173">
        <v>381.67</v>
      </c>
      <c r="O141" s="64">
        <v>2.97</v>
      </c>
      <c r="P141" s="78">
        <v>17.887889999999999</v>
      </c>
      <c r="Q141" s="78">
        <v>17.646697145168496</v>
      </c>
      <c r="R141" s="78">
        <v>0.49363512950450456</v>
      </c>
      <c r="S141" s="78">
        <v>2.7973230652947279</v>
      </c>
      <c r="T141" s="810"/>
      <c r="AB141" s="802"/>
      <c r="AC141" s="805"/>
      <c r="AD141" s="49" t="s">
        <v>105</v>
      </c>
      <c r="AE141" s="692">
        <f t="shared" si="31"/>
        <v>40.300000000000004</v>
      </c>
      <c r="AF141" s="50">
        <v>32.999999999899998</v>
      </c>
      <c r="AG141" s="214">
        <f t="shared" si="24"/>
        <v>0.18114143920843687</v>
      </c>
      <c r="AH141" s="692">
        <v>81</v>
      </c>
      <c r="AI141" s="50">
        <v>76</v>
      </c>
      <c r="AJ141" s="218">
        <f t="shared" si="22"/>
        <v>6.1728395061728392E-2</v>
      </c>
      <c r="AK141" s="695">
        <v>56</v>
      </c>
      <c r="AL141" s="50">
        <v>74.999999999899998</v>
      </c>
      <c r="AM141" s="214">
        <f t="shared" si="25"/>
        <v>0.33928571428392856</v>
      </c>
      <c r="AN141" s="692">
        <v>58</v>
      </c>
      <c r="AO141" s="695">
        <v>50.019995265200002</v>
      </c>
      <c r="AP141" s="214">
        <f t="shared" si="26"/>
        <v>0.13758628853103444</v>
      </c>
      <c r="AQ141" s="692">
        <v>708</v>
      </c>
      <c r="AR141" s="695">
        <v>162.64985795499999</v>
      </c>
      <c r="AS141" s="214">
        <f t="shared" si="27"/>
        <v>0.77026856221045192</v>
      </c>
      <c r="AT141" s="698">
        <v>25</v>
      </c>
      <c r="AU141" s="50">
        <v>25.2</v>
      </c>
      <c r="AV141" s="215">
        <f t="shared" si="28"/>
        <v>7.9999999999999724E-3</v>
      </c>
    </row>
    <row r="142" spans="5:48" x14ac:dyDescent="0.3">
      <c r="E142" s="791"/>
      <c r="F142" s="22" t="s">
        <v>227</v>
      </c>
      <c r="I142" s="912">
        <v>0</v>
      </c>
      <c r="M142" s="124" t="s">
        <v>79</v>
      </c>
      <c r="N142" s="173">
        <v>1227.7</v>
      </c>
      <c r="O142" s="64">
        <v>2.97</v>
      </c>
      <c r="P142" s="78">
        <v>17.887889999999999</v>
      </c>
      <c r="Q142" s="78">
        <v>16.566287115872466</v>
      </c>
      <c r="R142" s="78">
        <v>1.5878529842342344</v>
      </c>
      <c r="S142" s="78">
        <v>9.5848452530614612</v>
      </c>
      <c r="T142" s="810"/>
      <c r="AB142" s="801" t="s">
        <v>50</v>
      </c>
      <c r="AC142" s="805"/>
      <c r="AD142" s="41" t="s">
        <v>106</v>
      </c>
      <c r="AE142" s="691">
        <f t="shared" si="31"/>
        <v>40.300000000000004</v>
      </c>
      <c r="AF142" s="42">
        <v>33.000000000100002</v>
      </c>
      <c r="AG142" s="211">
        <f t="shared" si="24"/>
        <v>0.18114143920347398</v>
      </c>
      <c r="AH142" s="691">
        <v>81</v>
      </c>
      <c r="AI142" s="42">
        <v>80</v>
      </c>
      <c r="AJ142" s="217">
        <f>ABS(AI142-AH142)/AH142</f>
        <v>1.2345679012345678E-2</v>
      </c>
      <c r="AK142" s="694">
        <v>56</v>
      </c>
      <c r="AL142" s="42">
        <v>75</v>
      </c>
      <c r="AM142" s="211">
        <f t="shared" si="25"/>
        <v>0.3392857142857143</v>
      </c>
      <c r="AN142" s="691">
        <v>58</v>
      </c>
      <c r="AO142" s="694">
        <v>35.039991477299999</v>
      </c>
      <c r="AP142" s="217">
        <f t="shared" si="26"/>
        <v>0.3958622159086207</v>
      </c>
      <c r="AQ142" s="173">
        <v>699</v>
      </c>
      <c r="AR142" s="173">
        <v>680</v>
      </c>
      <c r="AS142" s="206">
        <f t="shared" si="27"/>
        <v>2.7181688125894134E-2</v>
      </c>
      <c r="AT142" s="697">
        <v>25</v>
      </c>
      <c r="AU142" s="42">
        <v>24.5</v>
      </c>
      <c r="AV142" s="212">
        <f t="shared" si="28"/>
        <v>0.02</v>
      </c>
    </row>
    <row r="143" spans="5:48" x14ac:dyDescent="0.3">
      <c r="E143" s="791"/>
      <c r="F143" s="22" t="s">
        <v>13</v>
      </c>
      <c r="I143" s="22">
        <v>11.641245215952884</v>
      </c>
      <c r="M143" s="123" t="s">
        <v>69</v>
      </c>
      <c r="N143" s="694">
        <v>194.51</v>
      </c>
      <c r="O143" s="42">
        <v>2.97</v>
      </c>
      <c r="P143" s="57">
        <v>19.8047</v>
      </c>
      <c r="Q143" s="57">
        <v>17.82423</v>
      </c>
      <c r="R143" s="57">
        <v>0.25157064752252251</v>
      </c>
      <c r="S143" s="57">
        <v>1.4113970001650702</v>
      </c>
      <c r="T143" s="807">
        <v>0.97033573995376832</v>
      </c>
      <c r="AB143" s="802"/>
      <c r="AC143" s="805"/>
      <c r="AD143" s="45" t="s">
        <v>107</v>
      </c>
      <c r="AE143" s="171">
        <f t="shared" si="31"/>
        <v>40.300000000000004</v>
      </c>
      <c r="AF143" s="64">
        <v>34</v>
      </c>
      <c r="AG143" s="206">
        <f t="shared" si="24"/>
        <v>0.15632754342431771</v>
      </c>
      <c r="AH143" s="171">
        <v>81</v>
      </c>
      <c r="AI143" s="64">
        <v>80</v>
      </c>
      <c r="AJ143" s="216">
        <f t="shared" ref="AJ143:AJ144" si="32">ABS(AI143-AH143)/AH143</f>
        <v>1.2345679012345678E-2</v>
      </c>
      <c r="AK143" s="173">
        <v>56</v>
      </c>
      <c r="AL143" s="64">
        <v>80.000000000100002</v>
      </c>
      <c r="AM143" s="206">
        <f t="shared" si="25"/>
        <v>0.42857142857321434</v>
      </c>
      <c r="AN143" s="171">
        <v>58</v>
      </c>
      <c r="AO143" s="173">
        <v>5.99876893939E-2</v>
      </c>
      <c r="AP143" s="216">
        <f t="shared" si="26"/>
        <v>0.99896572949320861</v>
      </c>
      <c r="AQ143" s="173">
        <v>699</v>
      </c>
      <c r="AR143" s="173">
        <v>679</v>
      </c>
      <c r="AS143" s="206">
        <f t="shared" si="27"/>
        <v>2.8612303290414878E-2</v>
      </c>
      <c r="AT143" s="183">
        <v>25</v>
      </c>
      <c r="AU143" s="64">
        <v>24.9</v>
      </c>
      <c r="AV143" s="207">
        <f t="shared" si="28"/>
        <v>4.0000000000000565E-3</v>
      </c>
    </row>
    <row r="144" spans="5:48" x14ac:dyDescent="0.3">
      <c r="E144" s="791"/>
      <c r="F144" s="22" t="s">
        <v>24</v>
      </c>
      <c r="I144" s="22">
        <v>4.0440209613168498</v>
      </c>
      <c r="M144" s="124" t="s">
        <v>77</v>
      </c>
      <c r="N144" s="173">
        <v>92.99</v>
      </c>
      <c r="O144" s="64">
        <v>2.97</v>
      </c>
      <c r="P144" s="78">
        <v>19.8047</v>
      </c>
      <c r="Q144" s="78">
        <v>19.8047</v>
      </c>
      <c r="R144" s="78">
        <v>0.12026916103603603</v>
      </c>
      <c r="S144" s="310">
        <v>0.60727585389344974</v>
      </c>
      <c r="T144" s="808"/>
      <c r="AB144" s="802"/>
      <c r="AC144" s="805"/>
      <c r="AD144" s="49" t="s">
        <v>108</v>
      </c>
      <c r="AE144" s="692">
        <f t="shared" si="31"/>
        <v>40.300000000000004</v>
      </c>
      <c r="AF144" s="50">
        <v>33.000000000100002</v>
      </c>
      <c r="AG144" s="214">
        <f t="shared" si="24"/>
        <v>0.18114143920347398</v>
      </c>
      <c r="AH144" s="692">
        <v>81</v>
      </c>
      <c r="AI144" s="50">
        <v>76</v>
      </c>
      <c r="AJ144" s="218">
        <f t="shared" si="32"/>
        <v>6.1728395061728392E-2</v>
      </c>
      <c r="AK144" s="695">
        <v>56</v>
      </c>
      <c r="AL144" s="50">
        <v>77</v>
      </c>
      <c r="AM144" s="214">
        <f t="shared" si="25"/>
        <v>0.375</v>
      </c>
      <c r="AN144" s="692">
        <v>58</v>
      </c>
      <c r="AO144" s="695">
        <v>48</v>
      </c>
      <c r="AP144" s="218">
        <f t="shared" si="26"/>
        <v>0.17241379310344829</v>
      </c>
      <c r="AQ144" s="173">
        <v>699</v>
      </c>
      <c r="AR144" s="173">
        <v>249.53982007600001</v>
      </c>
      <c r="AS144" s="206">
        <f t="shared" si="27"/>
        <v>0.64300454924749639</v>
      </c>
      <c r="AT144" s="698">
        <v>25</v>
      </c>
      <c r="AU144" s="50">
        <v>24.5</v>
      </c>
      <c r="AV144" s="215">
        <f t="shared" si="28"/>
        <v>0.02</v>
      </c>
    </row>
    <row r="145" spans="5:48" x14ac:dyDescent="0.3">
      <c r="E145" s="791" t="s">
        <v>340</v>
      </c>
      <c r="F145" s="22" t="s">
        <v>10</v>
      </c>
      <c r="I145" s="22">
        <v>10.837065633388614</v>
      </c>
      <c r="M145" s="738" t="s">
        <v>80</v>
      </c>
      <c r="N145" s="695">
        <v>136.63999999999999</v>
      </c>
      <c r="O145" s="50">
        <v>2.97</v>
      </c>
      <c r="P145" s="58">
        <v>19.8047</v>
      </c>
      <c r="Q145" s="58">
        <v>19.8047</v>
      </c>
      <c r="R145" s="58">
        <v>0.17672414414414414</v>
      </c>
      <c r="S145" s="739">
        <v>0.89233436580278491</v>
      </c>
      <c r="T145" s="811"/>
      <c r="AB145" s="801" t="s">
        <v>51</v>
      </c>
      <c r="AC145" s="805"/>
      <c r="AD145" s="41" t="s">
        <v>109</v>
      </c>
      <c r="AE145" s="691">
        <f t="shared" si="31"/>
        <v>40.300000000000004</v>
      </c>
      <c r="AF145" s="42">
        <v>32</v>
      </c>
      <c r="AG145" s="211">
        <f t="shared" si="24"/>
        <v>0.20595533498759314</v>
      </c>
      <c r="AH145" s="691">
        <v>81</v>
      </c>
      <c r="AI145" s="305">
        <v>80</v>
      </c>
      <c r="AJ145" s="217">
        <f t="shared" si="22"/>
        <v>1.2345679012345678E-2</v>
      </c>
      <c r="AK145" s="694">
        <v>56</v>
      </c>
      <c r="AL145" s="42">
        <v>78</v>
      </c>
      <c r="AM145" s="211">
        <f t="shared" si="25"/>
        <v>0.39285714285714285</v>
      </c>
      <c r="AN145" s="691">
        <v>58</v>
      </c>
      <c r="AO145" s="694">
        <v>0</v>
      </c>
      <c r="AP145" s="211">
        <f t="shared" si="26"/>
        <v>1</v>
      </c>
      <c r="AQ145" s="691">
        <v>697</v>
      </c>
      <c r="AR145" s="694">
        <v>680</v>
      </c>
      <c r="AS145" s="211">
        <f t="shared" si="27"/>
        <v>2.4390243902439025E-2</v>
      </c>
      <c r="AT145" s="697">
        <v>25</v>
      </c>
      <c r="AU145" s="42">
        <v>24.6</v>
      </c>
      <c r="AV145" s="212">
        <f t="shared" si="28"/>
        <v>1.5999999999999945E-2</v>
      </c>
    </row>
    <row r="146" spans="5:48" x14ac:dyDescent="0.3">
      <c r="E146" s="791"/>
      <c r="F146" s="22" t="s">
        <v>73</v>
      </c>
      <c r="I146" s="22">
        <v>0.51100757607290348</v>
      </c>
      <c r="M146" s="124" t="s">
        <v>87</v>
      </c>
      <c r="N146" s="173">
        <v>2149.6799999999998</v>
      </c>
      <c r="O146" s="64">
        <v>2.97</v>
      </c>
      <c r="P146" s="78">
        <v>20.103000000000002</v>
      </c>
      <c r="Q146" s="78">
        <v>19.700939999999999</v>
      </c>
      <c r="R146" s="78">
        <v>2.7803012162162162</v>
      </c>
      <c r="S146" s="173">
        <v>14.112530753437227</v>
      </c>
      <c r="T146" s="812">
        <v>11.641245215952884</v>
      </c>
      <c r="AB146" s="802"/>
      <c r="AC146" s="805"/>
      <c r="AD146" s="45" t="s">
        <v>110</v>
      </c>
      <c r="AE146" s="171">
        <f t="shared" si="31"/>
        <v>40.300000000000004</v>
      </c>
      <c r="AF146" s="64">
        <v>33.000000000100002</v>
      </c>
      <c r="AG146" s="206">
        <f t="shared" si="24"/>
        <v>0.18114143920347398</v>
      </c>
      <c r="AH146" s="171">
        <v>81</v>
      </c>
      <c r="AI146" s="305">
        <v>83.000000000100002</v>
      </c>
      <c r="AJ146" s="216">
        <f t="shared" si="22"/>
        <v>2.4691358025925949E-2</v>
      </c>
      <c r="AK146" s="173">
        <v>56</v>
      </c>
      <c r="AL146" s="64">
        <v>76</v>
      </c>
      <c r="AM146" s="206">
        <f t="shared" si="25"/>
        <v>0.35714285714285715</v>
      </c>
      <c r="AN146" s="171">
        <v>58</v>
      </c>
      <c r="AO146" s="173">
        <v>1.0199962121499999</v>
      </c>
      <c r="AP146" s="206">
        <f t="shared" si="26"/>
        <v>0.98241385841120699</v>
      </c>
      <c r="AQ146" s="171">
        <v>697</v>
      </c>
      <c r="AR146" s="173">
        <v>680</v>
      </c>
      <c r="AS146" s="206">
        <f t="shared" si="27"/>
        <v>2.4390243902439025E-2</v>
      </c>
      <c r="AT146" s="183">
        <v>25</v>
      </c>
      <c r="AU146" s="64">
        <v>25.3</v>
      </c>
      <c r="AV146" s="207">
        <f t="shared" si="28"/>
        <v>1.2000000000000028E-2</v>
      </c>
    </row>
    <row r="147" spans="5:48" ht="15" thickBot="1" x14ac:dyDescent="0.35">
      <c r="E147" s="791"/>
      <c r="F147" s="22" t="s">
        <v>25</v>
      </c>
      <c r="I147" s="22" t="s">
        <v>9</v>
      </c>
      <c r="M147" s="124" t="s">
        <v>88</v>
      </c>
      <c r="N147" s="173">
        <v>822.49</v>
      </c>
      <c r="O147" s="64">
        <v>2.97</v>
      </c>
      <c r="P147" s="78">
        <v>20.103000000000002</v>
      </c>
      <c r="Q147" s="78">
        <v>20.103000000000002</v>
      </c>
      <c r="R147" s="78">
        <v>1.063772257882883</v>
      </c>
      <c r="S147" s="78">
        <v>5.2916095004869064</v>
      </c>
      <c r="T147" s="812"/>
      <c r="AB147" s="803"/>
      <c r="AC147" s="806"/>
      <c r="AD147" s="53" t="s">
        <v>111</v>
      </c>
      <c r="AE147" s="693">
        <f t="shared" si="31"/>
        <v>40.300000000000004</v>
      </c>
      <c r="AF147" s="54">
        <v>33</v>
      </c>
      <c r="AG147" s="208">
        <f t="shared" si="24"/>
        <v>0.18114143920595543</v>
      </c>
      <c r="AH147" s="693">
        <v>81</v>
      </c>
      <c r="AI147" s="305">
        <v>79</v>
      </c>
      <c r="AJ147" s="219">
        <f t="shared" si="22"/>
        <v>2.4691358024691357E-2</v>
      </c>
      <c r="AK147" s="696">
        <v>56</v>
      </c>
      <c r="AL147" s="54">
        <v>74.999999999899998</v>
      </c>
      <c r="AM147" s="208">
        <f t="shared" si="25"/>
        <v>0.33928571428392856</v>
      </c>
      <c r="AN147" s="693">
        <v>58</v>
      </c>
      <c r="AO147" s="696">
        <v>3.9993371212099997E-2</v>
      </c>
      <c r="AP147" s="208">
        <f t="shared" si="26"/>
        <v>0.99931045911703276</v>
      </c>
      <c r="AQ147" s="693">
        <v>697</v>
      </c>
      <c r="AR147" s="696">
        <v>335.42971117399998</v>
      </c>
      <c r="AS147" s="208">
        <f t="shared" si="27"/>
        <v>0.51875220778479203</v>
      </c>
      <c r="AT147" s="699">
        <v>25</v>
      </c>
      <c r="AU147" s="54">
        <v>25.9</v>
      </c>
      <c r="AV147" s="209">
        <f t="shared" si="28"/>
        <v>3.5999999999999942E-2</v>
      </c>
    </row>
    <row r="148" spans="5:48" x14ac:dyDescent="0.3">
      <c r="E148" s="791"/>
      <c r="F148" s="22" t="s">
        <v>227</v>
      </c>
      <c r="I148" s="22">
        <v>0</v>
      </c>
      <c r="M148" s="124" t="s">
        <v>89</v>
      </c>
      <c r="N148" s="173">
        <v>2364.0100000000002</v>
      </c>
      <c r="O148" s="64">
        <v>2.97</v>
      </c>
      <c r="P148" s="78">
        <v>20.103000000000002</v>
      </c>
      <c r="Q148" s="78">
        <v>19.700939999999999</v>
      </c>
      <c r="R148" s="78">
        <v>3.0575061768018017</v>
      </c>
      <c r="S148" s="173">
        <v>15.519595393934512</v>
      </c>
      <c r="T148" s="812"/>
    </row>
    <row r="149" spans="5:48" x14ac:dyDescent="0.3">
      <c r="E149" s="791"/>
      <c r="F149" s="22" t="s">
        <v>13</v>
      </c>
      <c r="I149" s="22">
        <v>0.80629410789650391</v>
      </c>
      <c r="M149" s="123" t="s">
        <v>92</v>
      </c>
      <c r="N149" s="694">
        <v>525.66999999999996</v>
      </c>
      <c r="O149" s="42">
        <v>2.97</v>
      </c>
      <c r="P149" s="57">
        <v>19.203900000000001</v>
      </c>
      <c r="Q149" s="57">
        <v>18.051665999999997</v>
      </c>
      <c r="R149" s="57">
        <v>0.67987837274774765</v>
      </c>
      <c r="S149" s="57">
        <v>3.7662915586170702</v>
      </c>
      <c r="T149" s="813">
        <v>4.0440209613168498</v>
      </c>
      <c r="AA149" s="5"/>
      <c r="AB149" s="5"/>
      <c r="AC149" s="5"/>
      <c r="AD149" s="5"/>
      <c r="AE149" s="5"/>
      <c r="AF149" s="5"/>
      <c r="AG149" s="5"/>
    </row>
    <row r="150" spans="5:48" ht="15" thickBot="1" x14ac:dyDescent="0.35">
      <c r="E150" s="791"/>
      <c r="F150" s="22" t="s">
        <v>24</v>
      </c>
      <c r="I150" s="22" t="s">
        <v>9</v>
      </c>
      <c r="M150" s="124" t="s">
        <v>93</v>
      </c>
      <c r="N150" s="173">
        <v>389.78</v>
      </c>
      <c r="O150" s="64">
        <v>2.97</v>
      </c>
      <c r="P150" s="78">
        <v>19.203900000000001</v>
      </c>
      <c r="Q150" s="78">
        <v>18.051665999999997</v>
      </c>
      <c r="R150" s="78">
        <v>0.5041242454954955</v>
      </c>
      <c r="S150" s="78">
        <v>2.7926743464868871</v>
      </c>
      <c r="T150" s="810"/>
      <c r="AA150" s="5"/>
      <c r="AB150" s="5"/>
      <c r="AC150" s="5"/>
      <c r="AD150" s="5"/>
      <c r="AE150" s="5"/>
      <c r="AF150" s="5"/>
      <c r="AG150" s="5"/>
    </row>
    <row r="151" spans="5:48" ht="15" thickBot="1" x14ac:dyDescent="0.35">
      <c r="E151" s="791" t="s">
        <v>481</v>
      </c>
      <c r="F151" s="22" t="s">
        <v>10</v>
      </c>
      <c r="I151" s="22" t="s">
        <v>9</v>
      </c>
      <c r="M151" s="738" t="s">
        <v>94</v>
      </c>
      <c r="N151" s="695">
        <v>827.5</v>
      </c>
      <c r="O151" s="50">
        <v>2.97</v>
      </c>
      <c r="P151" s="58">
        <v>19.203900000000001</v>
      </c>
      <c r="Q151" s="58">
        <v>19.203900000000001</v>
      </c>
      <c r="R151" s="58">
        <v>1.0702519707207208</v>
      </c>
      <c r="S151" s="58">
        <v>5.5730969788465927</v>
      </c>
      <c r="T151" s="814"/>
      <c r="AA151" s="4"/>
      <c r="AB151" s="745" t="s">
        <v>167</v>
      </c>
      <c r="AC151" s="746"/>
      <c r="AD151" s="747"/>
      <c r="AE151" s="631"/>
      <c r="AF151" s="631"/>
      <c r="AG151" s="5"/>
    </row>
    <row r="152" spans="5:48" ht="15" thickBot="1" x14ac:dyDescent="0.35">
      <c r="E152" s="791"/>
      <c r="F152" s="22" t="s">
        <v>73</v>
      </c>
      <c r="I152" s="22" t="s">
        <v>9</v>
      </c>
      <c r="M152" s="124" t="s">
        <v>103</v>
      </c>
      <c r="N152" s="173">
        <v>75.41</v>
      </c>
      <c r="O152" s="64">
        <v>2.97</v>
      </c>
      <c r="P152" s="78">
        <v>19.607175000000002</v>
      </c>
      <c r="Q152" s="78">
        <v>19.215031500000002</v>
      </c>
      <c r="R152" s="78">
        <v>9.7531965090090086E-2</v>
      </c>
      <c r="S152" s="310">
        <v>0.50758160396505247</v>
      </c>
      <c r="T152" s="808">
        <v>0.51100757607290348</v>
      </c>
      <c r="AA152" s="6"/>
      <c r="AB152" s="287" t="s">
        <v>115</v>
      </c>
      <c r="AC152" s="288" t="s">
        <v>165</v>
      </c>
      <c r="AD152" s="289" t="s">
        <v>164</v>
      </c>
      <c r="AE152" s="26"/>
      <c r="AF152" s="26"/>
      <c r="AG152" s="5"/>
    </row>
    <row r="153" spans="5:48" x14ac:dyDescent="0.3">
      <c r="E153" s="791"/>
      <c r="F153" s="22" t="s">
        <v>25</v>
      </c>
      <c r="I153" s="22" t="s">
        <v>9</v>
      </c>
      <c r="M153" s="124" t="s">
        <v>104</v>
      </c>
      <c r="N153" s="173">
        <v>80.459999999999994</v>
      </c>
      <c r="O153" s="64">
        <v>2.97</v>
      </c>
      <c r="P153" s="78">
        <v>19.607175000000002</v>
      </c>
      <c r="Q153" s="78">
        <v>19.215031500000002</v>
      </c>
      <c r="R153" s="78">
        <v>0.10406341216216215</v>
      </c>
      <c r="S153" s="310">
        <v>0.54157294596244687</v>
      </c>
      <c r="T153" s="808"/>
      <c r="AA153" s="758" t="s">
        <v>163</v>
      </c>
      <c r="AB153" s="124" t="s">
        <v>19</v>
      </c>
      <c r="AC153" s="64">
        <v>0.1</v>
      </c>
      <c r="AD153" s="207">
        <f>AVERAGE(AH100:AH147)</f>
        <v>40.589743589743591</v>
      </c>
      <c r="AE153" s="26"/>
      <c r="AF153" s="423"/>
      <c r="AG153" s="5"/>
    </row>
    <row r="154" spans="5:48" x14ac:dyDescent="0.3">
      <c r="E154" s="791"/>
      <c r="F154" s="22" t="s">
        <v>227</v>
      </c>
      <c r="I154" s="22" t="s">
        <v>9</v>
      </c>
      <c r="M154" s="124" t="s">
        <v>105</v>
      </c>
      <c r="N154" s="173">
        <v>70.36</v>
      </c>
      <c r="O154" s="64">
        <v>2.97</v>
      </c>
      <c r="P154" s="78">
        <v>19.607175000000002</v>
      </c>
      <c r="Q154" s="78">
        <v>18.806882142857145</v>
      </c>
      <c r="R154" s="78">
        <v>9.100051801801802E-2</v>
      </c>
      <c r="S154" s="310">
        <v>0.48386817829121143</v>
      </c>
      <c r="T154" s="808"/>
      <c r="AA154" s="759"/>
      <c r="AB154" s="124" t="s">
        <v>46</v>
      </c>
      <c r="AC154" s="64">
        <v>0.1</v>
      </c>
      <c r="AD154" s="207">
        <f>AVERAGE(AK100:AK147)</f>
        <v>27.026842206790121</v>
      </c>
      <c r="AE154" s="26"/>
      <c r="AF154" s="423"/>
      <c r="AG154" s="5"/>
    </row>
    <row r="155" spans="5:48" x14ac:dyDescent="0.3">
      <c r="E155" s="791"/>
      <c r="F155" s="22" t="s">
        <v>13</v>
      </c>
      <c r="I155" s="22" t="s">
        <v>9</v>
      </c>
      <c r="M155" s="123" t="s">
        <v>109</v>
      </c>
      <c r="N155" s="694">
        <v>110.8</v>
      </c>
      <c r="O155" s="42">
        <v>2.97</v>
      </c>
      <c r="P155" s="57">
        <v>19.905705000000001</v>
      </c>
      <c r="Q155" s="57">
        <v>19.5075909</v>
      </c>
      <c r="R155" s="57">
        <v>0.14330382882882883</v>
      </c>
      <c r="S155" s="737">
        <v>0.73460546493636392</v>
      </c>
      <c r="T155" s="807">
        <v>0.80629410789650391</v>
      </c>
      <c r="AA155" s="759"/>
      <c r="AB155" s="124" t="s">
        <v>47</v>
      </c>
      <c r="AC155" s="64">
        <v>0.1</v>
      </c>
      <c r="AD155" s="207">
        <f>AVERAGE(AN100:AN147)</f>
        <v>29.291522657450145</v>
      </c>
      <c r="AE155" s="26"/>
      <c r="AF155" s="423"/>
      <c r="AG155" s="5"/>
    </row>
    <row r="156" spans="5:48" x14ac:dyDescent="0.3">
      <c r="E156" s="791"/>
      <c r="F156" s="22" t="s">
        <v>24</v>
      </c>
      <c r="I156" s="22" t="s">
        <v>9</v>
      </c>
      <c r="M156" s="124" t="s">
        <v>110</v>
      </c>
      <c r="N156" s="173">
        <v>112.5</v>
      </c>
      <c r="O156" s="64">
        <v>2.97</v>
      </c>
      <c r="P156" s="78">
        <v>19.905705000000001</v>
      </c>
      <c r="Q156" s="78">
        <v>20.303819099999998</v>
      </c>
      <c r="R156" s="78">
        <v>0.14550253378378381</v>
      </c>
      <c r="S156" s="310">
        <v>0.71662642908290985</v>
      </c>
      <c r="T156" s="808"/>
      <c r="AA156" s="759"/>
      <c r="AB156" s="124" t="s">
        <v>5</v>
      </c>
      <c r="AC156" s="64">
        <v>0.1</v>
      </c>
      <c r="AD156" s="207">
        <f>AVERAGE(AQ100:AQ147)</f>
        <v>354.74224141434553</v>
      </c>
      <c r="AE156" s="26"/>
      <c r="AF156" s="423"/>
      <c r="AG156" s="5"/>
    </row>
    <row r="157" spans="5:48" ht="15" thickBot="1" x14ac:dyDescent="0.35">
      <c r="M157" s="125" t="s">
        <v>111</v>
      </c>
      <c r="N157" s="696">
        <v>145.94999999999999</v>
      </c>
      <c r="O157" s="54">
        <v>2.97</v>
      </c>
      <c r="P157" s="59">
        <v>19.905705000000001</v>
      </c>
      <c r="Q157" s="59">
        <v>19.5075909</v>
      </c>
      <c r="R157" s="59">
        <v>0.18876528716216218</v>
      </c>
      <c r="S157" s="314">
        <v>0.96765042967023773</v>
      </c>
      <c r="T157" s="809"/>
      <c r="AA157" s="760"/>
      <c r="AB157" s="124" t="s">
        <v>160</v>
      </c>
      <c r="AC157" s="64">
        <v>1.25</v>
      </c>
      <c r="AD157" s="207">
        <f>AVERAGE(AT100:AT147)</f>
        <v>12.62464594910748</v>
      </c>
      <c r="AE157" s="26"/>
      <c r="AF157" s="423"/>
      <c r="AG157" s="5"/>
    </row>
    <row r="158" spans="5:48" ht="15" thickBot="1" x14ac:dyDescent="0.35">
      <c r="AB158" s="125" t="s">
        <v>166</v>
      </c>
      <c r="AC158" s="164" t="s">
        <v>8</v>
      </c>
      <c r="AD158" s="165" t="s">
        <v>9</v>
      </c>
      <c r="AE158" s="227">
        <f>AVERAGE(AW100:AW147)</f>
        <v>1.1833333333333343E-2</v>
      </c>
      <c r="AF158" s="26"/>
      <c r="AG158" s="423"/>
      <c r="AH158" s="5"/>
    </row>
    <row r="159" spans="5:48" x14ac:dyDescent="0.3">
      <c r="AB159" s="5"/>
      <c r="AC159" s="5"/>
      <c r="AD159" s="5"/>
      <c r="AE159" s="5"/>
      <c r="AF159" s="5"/>
      <c r="AG159" s="5"/>
      <c r="AH159" s="5"/>
    </row>
  </sheetData>
  <mergeCells count="115">
    <mergeCell ref="E133:E138"/>
    <mergeCell ref="E139:E144"/>
    <mergeCell ref="E145:E150"/>
    <mergeCell ref="E151:E156"/>
    <mergeCell ref="AA153:AA157"/>
    <mergeCell ref="AB136:AB138"/>
    <mergeCell ref="AC136:AC147"/>
    <mergeCell ref="AB139:AB141"/>
    <mergeCell ref="AB142:AB144"/>
    <mergeCell ref="AB145:AB147"/>
    <mergeCell ref="AB151:AD151"/>
    <mergeCell ref="AC118:AC123"/>
    <mergeCell ref="AD118:AD120"/>
    <mergeCell ref="AD121:AD123"/>
    <mergeCell ref="AB124:AB129"/>
    <mergeCell ref="AC124:AC126"/>
    <mergeCell ref="AC127:AC129"/>
    <mergeCell ref="AB130:AB135"/>
    <mergeCell ref="AC130:AC132"/>
    <mergeCell ref="AC133:AC135"/>
    <mergeCell ref="BM100:BM102"/>
    <mergeCell ref="BM103:BM105"/>
    <mergeCell ref="BM106:BM108"/>
    <mergeCell ref="BM109:BM111"/>
    <mergeCell ref="BM112:BM114"/>
    <mergeCell ref="AC100:AC105"/>
    <mergeCell ref="AD100:AD102"/>
    <mergeCell ref="AD103:AD105"/>
    <mergeCell ref="AC106:AC111"/>
    <mergeCell ref="AD106:AD108"/>
    <mergeCell ref="AD109:AD111"/>
    <mergeCell ref="AC112:AC117"/>
    <mergeCell ref="AD112:AD114"/>
    <mergeCell ref="AD115:AD117"/>
    <mergeCell ref="BM97:BM99"/>
    <mergeCell ref="AO98:AQ98"/>
    <mergeCell ref="AR98:AT98"/>
    <mergeCell ref="AU98:AW98"/>
    <mergeCell ref="AC65:AC77"/>
    <mergeCell ref="BH67:BH86"/>
    <mergeCell ref="BI67:BM67"/>
    <mergeCell ref="CG67:CK67"/>
    <mergeCell ref="CM67:CQ67"/>
    <mergeCell ref="AC78:AC90"/>
    <mergeCell ref="AE93:AT93"/>
    <mergeCell ref="AE95:AT95"/>
    <mergeCell ref="BO67:BS67"/>
    <mergeCell ref="BU67:BY67"/>
    <mergeCell ref="CA67:CE67"/>
    <mergeCell ref="AF97:AT97"/>
    <mergeCell ref="AU97:AW97"/>
    <mergeCell ref="AF98:AH98"/>
    <mergeCell ref="AI98:AK98"/>
    <mergeCell ref="AL98:AN98"/>
    <mergeCell ref="J63:K63"/>
    <mergeCell ref="AC39:AC51"/>
    <mergeCell ref="BH39:BH58"/>
    <mergeCell ref="BI39:BM39"/>
    <mergeCell ref="BO39:BS39"/>
    <mergeCell ref="CG39:CK39"/>
    <mergeCell ref="CM39:CQ39"/>
    <mergeCell ref="BD40:BE40"/>
    <mergeCell ref="R41:R46"/>
    <mergeCell ref="AC52:AC64"/>
    <mergeCell ref="BU39:BY39"/>
    <mergeCell ref="CA39:CE39"/>
    <mergeCell ref="F24:G24"/>
    <mergeCell ref="H24:I24"/>
    <mergeCell ref="AC26:AC38"/>
    <mergeCell ref="R29:R34"/>
    <mergeCell ref="R35:R40"/>
    <mergeCell ref="AW11:AX11"/>
    <mergeCell ref="AZ11:BA11"/>
    <mergeCell ref="AC13:AC25"/>
    <mergeCell ref="R17:R22"/>
    <mergeCell ref="R23:R28"/>
    <mergeCell ref="CA10:CE10"/>
    <mergeCell ref="CG10:CK10"/>
    <mergeCell ref="CM10:CQ10"/>
    <mergeCell ref="R11:R16"/>
    <mergeCell ref="AE11:AF11"/>
    <mergeCell ref="AH11:AI11"/>
    <mergeCell ref="AK11:AL11"/>
    <mergeCell ref="AN11:AO11"/>
    <mergeCell ref="AQ11:AR11"/>
    <mergeCell ref="AT11:AU11"/>
    <mergeCell ref="AZ10:BB10"/>
    <mergeCell ref="BD10:BE10"/>
    <mergeCell ref="BH10:BH29"/>
    <mergeCell ref="BI10:BM10"/>
    <mergeCell ref="BO10:BS10"/>
    <mergeCell ref="BU10:BY10"/>
    <mergeCell ref="BD24:BF24"/>
    <mergeCell ref="BD25:BE25"/>
    <mergeCell ref="AC7:BB9"/>
    <mergeCell ref="BD9:BF9"/>
    <mergeCell ref="AC10:AD10"/>
    <mergeCell ref="AE10:AG10"/>
    <mergeCell ref="AH10:AJ10"/>
    <mergeCell ref="AK10:AM10"/>
    <mergeCell ref="AN10:AP10"/>
    <mergeCell ref="AQ10:AS10"/>
    <mergeCell ref="AT10:AV10"/>
    <mergeCell ref="AW10:AY10"/>
    <mergeCell ref="T155:T157"/>
    <mergeCell ref="T140:T142"/>
    <mergeCell ref="T143:T145"/>
    <mergeCell ref="T146:T148"/>
    <mergeCell ref="T149:T151"/>
    <mergeCell ref="T152:T154"/>
    <mergeCell ref="T125:T127"/>
    <mergeCell ref="T128:T130"/>
    <mergeCell ref="T131:T133"/>
    <mergeCell ref="T134:T136"/>
    <mergeCell ref="T137:T139"/>
  </mergeCells>
  <pageMargins left="0.7" right="0.7" top="0.75" bottom="0.75" header="0.3" footer="0.3"/>
  <pageSetup orientation="portrait" r:id="rId1"/>
  <drawing r:id="rId2"/>
  <legacyDrawing r:id="rId3"/>
  <oleObjects>
    <mc:AlternateContent xmlns:mc="http://schemas.openxmlformats.org/markup-compatibility/2006">
      <mc:Choice Requires="x14">
        <oleObject progId="ChemDraw.Document.6.0" shapeId="6145" r:id="rId4">
          <objectPr defaultSize="0" autoPict="0" r:id="rId5">
            <anchor moveWithCells="1">
              <from>
                <xdr:col>60</xdr:col>
                <xdr:colOff>266700</xdr:colOff>
                <xdr:row>10</xdr:row>
                <xdr:rowOff>106680</xdr:rowOff>
              </from>
              <to>
                <xdr:col>66</xdr:col>
                <xdr:colOff>76200</xdr:colOff>
                <xdr:row>25</xdr:row>
                <xdr:rowOff>60960</xdr:rowOff>
              </to>
            </anchor>
          </objectPr>
        </oleObject>
      </mc:Choice>
      <mc:Fallback>
        <oleObject progId="ChemDraw.Document.6.0" shapeId="6145" r:id="rId4"/>
      </mc:Fallback>
    </mc:AlternateContent>
    <mc:AlternateContent xmlns:mc="http://schemas.openxmlformats.org/markup-compatibility/2006">
      <mc:Choice Requires="x14">
        <oleObject progId="ChemDraw.Document.6.0" shapeId="6146" r:id="rId6">
          <objectPr defaultSize="0" autoPict="0" r:id="rId7">
            <anchor moveWithCells="1">
              <from>
                <xdr:col>60</xdr:col>
                <xdr:colOff>563880</xdr:colOff>
                <xdr:row>39</xdr:row>
                <xdr:rowOff>99060</xdr:rowOff>
              </from>
              <to>
                <xdr:col>65</xdr:col>
                <xdr:colOff>457200</xdr:colOff>
                <xdr:row>54</xdr:row>
                <xdr:rowOff>76200</xdr:rowOff>
              </to>
            </anchor>
          </objectPr>
        </oleObject>
      </mc:Choice>
      <mc:Fallback>
        <oleObject progId="ChemDraw.Document.6.0" shapeId="6146" r:id="rId6"/>
      </mc:Fallback>
    </mc:AlternateContent>
    <mc:AlternateContent xmlns:mc="http://schemas.openxmlformats.org/markup-compatibility/2006">
      <mc:Choice Requires="x14">
        <oleObject progId="ChemDraw.Document.6.0" shapeId="6147" r:id="rId8">
          <objectPr defaultSize="0" autoPict="0" r:id="rId9">
            <anchor moveWithCells="1">
              <from>
                <xdr:col>66</xdr:col>
                <xdr:colOff>289560</xdr:colOff>
                <xdr:row>10</xdr:row>
                <xdr:rowOff>106680</xdr:rowOff>
              </from>
              <to>
                <xdr:col>72</xdr:col>
                <xdr:colOff>152400</xdr:colOff>
                <xdr:row>25</xdr:row>
                <xdr:rowOff>22860</xdr:rowOff>
              </to>
            </anchor>
          </objectPr>
        </oleObject>
      </mc:Choice>
      <mc:Fallback>
        <oleObject progId="ChemDraw.Document.6.0" shapeId="6147" r:id="rId8"/>
      </mc:Fallback>
    </mc:AlternateContent>
    <mc:AlternateContent xmlns:mc="http://schemas.openxmlformats.org/markup-compatibility/2006">
      <mc:Choice Requires="x14">
        <oleObject progId="ChemDraw.Document.6.0" shapeId="6148" r:id="rId10">
          <objectPr defaultSize="0" autoPict="0" r:id="rId11">
            <anchor moveWithCells="1">
              <from>
                <xdr:col>66</xdr:col>
                <xdr:colOff>236220</xdr:colOff>
                <xdr:row>39</xdr:row>
                <xdr:rowOff>129540</xdr:rowOff>
              </from>
              <to>
                <xdr:col>72</xdr:col>
                <xdr:colOff>152400</xdr:colOff>
                <xdr:row>54</xdr:row>
                <xdr:rowOff>114300</xdr:rowOff>
              </to>
            </anchor>
          </objectPr>
        </oleObject>
      </mc:Choice>
      <mc:Fallback>
        <oleObject progId="ChemDraw.Document.6.0" shapeId="6148" r:id="rId10"/>
      </mc:Fallback>
    </mc:AlternateContent>
    <mc:AlternateContent xmlns:mc="http://schemas.openxmlformats.org/markup-compatibility/2006">
      <mc:Choice Requires="x14">
        <oleObject progId="ChemDraw.Document.6.0" shapeId="6149" r:id="rId12">
          <objectPr defaultSize="0" autoPict="0" r:id="rId13">
            <anchor moveWithCells="1">
              <from>
                <xdr:col>72</xdr:col>
                <xdr:colOff>160020</xdr:colOff>
                <xdr:row>10</xdr:row>
                <xdr:rowOff>91440</xdr:rowOff>
              </from>
              <to>
                <xdr:col>78</xdr:col>
                <xdr:colOff>152400</xdr:colOff>
                <xdr:row>22</xdr:row>
                <xdr:rowOff>114300</xdr:rowOff>
              </to>
            </anchor>
          </objectPr>
        </oleObject>
      </mc:Choice>
      <mc:Fallback>
        <oleObject progId="ChemDraw.Document.6.0" shapeId="6149" r:id="rId12"/>
      </mc:Fallback>
    </mc:AlternateContent>
    <mc:AlternateContent xmlns:mc="http://schemas.openxmlformats.org/markup-compatibility/2006">
      <mc:Choice Requires="x14">
        <oleObject progId="ChemDraw.Document.6.0" shapeId="6150" r:id="rId14">
          <objectPr defaultSize="0" autoPict="0" r:id="rId15">
            <anchor moveWithCells="1">
              <from>
                <xdr:col>78</xdr:col>
                <xdr:colOff>137160</xdr:colOff>
                <xdr:row>10</xdr:row>
                <xdr:rowOff>83820</xdr:rowOff>
              </from>
              <to>
                <xdr:col>84</xdr:col>
                <xdr:colOff>441960</xdr:colOff>
                <xdr:row>22</xdr:row>
                <xdr:rowOff>22860</xdr:rowOff>
              </to>
            </anchor>
          </objectPr>
        </oleObject>
      </mc:Choice>
      <mc:Fallback>
        <oleObject progId="ChemDraw.Document.6.0" shapeId="6150" r:id="rId14"/>
      </mc:Fallback>
    </mc:AlternateContent>
    <mc:AlternateContent xmlns:mc="http://schemas.openxmlformats.org/markup-compatibility/2006">
      <mc:Choice Requires="x14">
        <oleObject progId="ChemDraw.Document.6.0" shapeId="6151" r:id="rId16">
          <objectPr defaultSize="0" autoPict="0" r:id="rId17">
            <anchor moveWithCells="1">
              <from>
                <xdr:col>72</xdr:col>
                <xdr:colOff>91440</xdr:colOff>
                <xdr:row>39</xdr:row>
                <xdr:rowOff>114300</xdr:rowOff>
              </from>
              <to>
                <xdr:col>78</xdr:col>
                <xdr:colOff>228600</xdr:colOff>
                <xdr:row>54</xdr:row>
                <xdr:rowOff>76200</xdr:rowOff>
              </to>
            </anchor>
          </objectPr>
        </oleObject>
      </mc:Choice>
      <mc:Fallback>
        <oleObject progId="ChemDraw.Document.6.0" shapeId="6151" r:id="rId16"/>
      </mc:Fallback>
    </mc:AlternateContent>
    <mc:AlternateContent xmlns:mc="http://schemas.openxmlformats.org/markup-compatibility/2006">
      <mc:Choice Requires="x14">
        <oleObject progId="ChemDraw.Document.6.0" shapeId="6152" r:id="rId18">
          <objectPr defaultSize="0" autoPict="0" r:id="rId19">
            <anchor moveWithCells="1">
              <from>
                <xdr:col>78</xdr:col>
                <xdr:colOff>236220</xdr:colOff>
                <xdr:row>39</xdr:row>
                <xdr:rowOff>83820</xdr:rowOff>
              </from>
              <to>
                <xdr:col>84</xdr:col>
                <xdr:colOff>381000</xdr:colOff>
                <xdr:row>53</xdr:row>
                <xdr:rowOff>137160</xdr:rowOff>
              </to>
            </anchor>
          </objectPr>
        </oleObject>
      </mc:Choice>
      <mc:Fallback>
        <oleObject progId="ChemDraw.Document.6.0" shapeId="6152" r:id="rId18"/>
      </mc:Fallback>
    </mc:AlternateContent>
    <mc:AlternateContent xmlns:mc="http://schemas.openxmlformats.org/markup-compatibility/2006">
      <mc:Choice Requires="x14">
        <oleObject progId="ChemDraw.Document.6.0" shapeId="6153" r:id="rId20">
          <objectPr defaultSize="0" autoPict="0" r:id="rId21">
            <anchor moveWithCells="1" sizeWithCells="1">
              <from>
                <xdr:col>60</xdr:col>
                <xdr:colOff>609600</xdr:colOff>
                <xdr:row>67</xdr:row>
                <xdr:rowOff>60960</xdr:rowOff>
              </from>
              <to>
                <xdr:col>64</xdr:col>
                <xdr:colOff>487680</xdr:colOff>
                <xdr:row>81</xdr:row>
                <xdr:rowOff>15240</xdr:rowOff>
              </to>
            </anchor>
          </objectPr>
        </oleObject>
      </mc:Choice>
      <mc:Fallback>
        <oleObject progId="ChemDraw.Document.6.0" shapeId="6153" r:id="rId20"/>
      </mc:Fallback>
    </mc:AlternateContent>
    <mc:AlternateContent xmlns:mc="http://schemas.openxmlformats.org/markup-compatibility/2006">
      <mc:Choice Requires="x14">
        <oleObject progId="ChemDraw.Document.6.0" shapeId="6154" r:id="rId22">
          <objectPr defaultSize="0" autoPict="0" r:id="rId23">
            <anchor moveWithCells="1" sizeWithCells="1">
              <from>
                <xdr:col>66</xdr:col>
                <xdr:colOff>30480</xdr:colOff>
                <xdr:row>67</xdr:row>
                <xdr:rowOff>60960</xdr:rowOff>
              </from>
              <to>
                <xdr:col>70</xdr:col>
                <xdr:colOff>358140</xdr:colOff>
                <xdr:row>80</xdr:row>
                <xdr:rowOff>30480</xdr:rowOff>
              </to>
            </anchor>
          </objectPr>
        </oleObject>
      </mc:Choice>
      <mc:Fallback>
        <oleObject progId="ChemDraw.Document.6.0" shapeId="6154" r:id="rId22"/>
      </mc:Fallback>
    </mc:AlternateContent>
    <mc:AlternateContent xmlns:mc="http://schemas.openxmlformats.org/markup-compatibility/2006">
      <mc:Choice Requires="x14">
        <oleObject progId="ChemDraw.Document.6.0" shapeId="6155" r:id="rId24">
          <objectPr defaultSize="0" autoPict="0" r:id="rId25">
            <anchor moveWithCells="1" sizeWithCells="1">
              <from>
                <xdr:col>72</xdr:col>
                <xdr:colOff>0</xdr:colOff>
                <xdr:row>67</xdr:row>
                <xdr:rowOff>0</xdr:rowOff>
              </from>
              <to>
                <xdr:col>76</xdr:col>
                <xdr:colOff>0</xdr:colOff>
                <xdr:row>79</xdr:row>
                <xdr:rowOff>76200</xdr:rowOff>
              </to>
            </anchor>
          </objectPr>
        </oleObject>
      </mc:Choice>
      <mc:Fallback>
        <oleObject progId="ChemDraw.Document.6.0" shapeId="6155" r:id="rId24"/>
      </mc:Fallback>
    </mc:AlternateContent>
    <mc:AlternateContent xmlns:mc="http://schemas.openxmlformats.org/markup-compatibility/2006">
      <mc:Choice Requires="x14">
        <oleObject progId="ChemDraw.Document.6.0" shapeId="6156" r:id="rId26">
          <objectPr defaultSize="0" autoPict="0" r:id="rId27">
            <anchor moveWithCells="1" sizeWithCells="1">
              <from>
                <xdr:col>78</xdr:col>
                <xdr:colOff>365760</xdr:colOff>
                <xdr:row>67</xdr:row>
                <xdr:rowOff>38100</xdr:rowOff>
              </from>
              <to>
                <xdr:col>82</xdr:col>
                <xdr:colOff>708660</xdr:colOff>
                <xdr:row>79</xdr:row>
                <xdr:rowOff>114300</xdr:rowOff>
              </to>
            </anchor>
          </objectPr>
        </oleObject>
      </mc:Choice>
      <mc:Fallback>
        <oleObject progId="ChemDraw.Document.6.0" shapeId="6156" r:id="rId26"/>
      </mc:Fallback>
    </mc:AlternateContent>
    <mc:AlternateContent xmlns:mc="http://schemas.openxmlformats.org/markup-compatibility/2006">
      <mc:Choice Requires="x14">
        <oleObject progId="ChemDraw.Document.6.0" shapeId="6157" r:id="rId28">
          <objectPr defaultSize="0" autoPict="0" r:id="rId29">
            <anchor moveWithCells="1" sizeWithCells="1">
              <from>
                <xdr:col>84</xdr:col>
                <xdr:colOff>655320</xdr:colOff>
                <xdr:row>10</xdr:row>
                <xdr:rowOff>129540</xdr:rowOff>
              </from>
              <to>
                <xdr:col>89</xdr:col>
                <xdr:colOff>510540</xdr:colOff>
                <xdr:row>22</xdr:row>
                <xdr:rowOff>106680</xdr:rowOff>
              </to>
            </anchor>
          </objectPr>
        </oleObject>
      </mc:Choice>
      <mc:Fallback>
        <oleObject progId="ChemDraw.Document.6.0" shapeId="6157" r:id="rId28"/>
      </mc:Fallback>
    </mc:AlternateContent>
    <mc:AlternateContent xmlns:mc="http://schemas.openxmlformats.org/markup-compatibility/2006">
      <mc:Choice Requires="x14">
        <oleObject progId="ChemDraw.Document.6.0" shapeId="6158" r:id="rId30">
          <objectPr defaultSize="0" autoPict="0" r:id="rId31">
            <anchor moveWithCells="1" sizeWithCells="1">
              <from>
                <xdr:col>90</xdr:col>
                <xdr:colOff>289560</xdr:colOff>
                <xdr:row>10</xdr:row>
                <xdr:rowOff>106680</xdr:rowOff>
              </from>
              <to>
                <xdr:col>94</xdr:col>
                <xdr:colOff>647700</xdr:colOff>
                <xdr:row>25</xdr:row>
                <xdr:rowOff>0</xdr:rowOff>
              </to>
            </anchor>
          </objectPr>
        </oleObject>
      </mc:Choice>
      <mc:Fallback>
        <oleObject progId="ChemDraw.Document.6.0" shapeId="6158" r:id="rId30"/>
      </mc:Fallback>
    </mc:AlternateContent>
    <mc:AlternateContent xmlns:mc="http://schemas.openxmlformats.org/markup-compatibility/2006">
      <mc:Choice Requires="x14">
        <oleObject progId="ChemDraw.Document.6.0" shapeId="6159" r:id="rId32">
          <objectPr defaultSize="0" autoPict="0" r:id="rId33">
            <anchor moveWithCells="1" sizeWithCells="1">
              <from>
                <xdr:col>85</xdr:col>
                <xdr:colOff>0</xdr:colOff>
                <xdr:row>39</xdr:row>
                <xdr:rowOff>38100</xdr:rowOff>
              </from>
              <to>
                <xdr:col>89</xdr:col>
                <xdr:colOff>480060</xdr:colOff>
                <xdr:row>53</xdr:row>
                <xdr:rowOff>60960</xdr:rowOff>
              </to>
            </anchor>
          </objectPr>
        </oleObject>
      </mc:Choice>
      <mc:Fallback>
        <oleObject progId="ChemDraw.Document.6.0" shapeId="6159" r:id="rId32"/>
      </mc:Fallback>
    </mc:AlternateContent>
    <mc:AlternateContent xmlns:mc="http://schemas.openxmlformats.org/markup-compatibility/2006">
      <mc:Choice Requires="x14">
        <oleObject progId="ChemDraw.Document.6.0" shapeId="6160" r:id="rId34">
          <objectPr defaultSize="0" autoPict="0" r:id="rId35">
            <anchor moveWithCells="1" sizeWithCells="1">
              <from>
                <xdr:col>90</xdr:col>
                <xdr:colOff>68580</xdr:colOff>
                <xdr:row>39</xdr:row>
                <xdr:rowOff>38100</xdr:rowOff>
              </from>
              <to>
                <xdr:col>94</xdr:col>
                <xdr:colOff>266700</xdr:colOff>
                <xdr:row>51</xdr:row>
                <xdr:rowOff>99060</xdr:rowOff>
              </to>
            </anchor>
          </objectPr>
        </oleObject>
      </mc:Choice>
      <mc:Fallback>
        <oleObject progId="ChemDraw.Document.6.0" shapeId="6160" r:id="rId3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DBD51-E6E2-4B0D-9F7D-92265B9B7519}">
  <dimension ref="A4:CX120"/>
  <sheetViews>
    <sheetView topLeftCell="A67" zoomScale="70" zoomScaleNormal="70" workbookViewId="0">
      <selection activeCell="F95" sqref="F95:N120"/>
    </sheetView>
  </sheetViews>
  <sheetFormatPr defaultColWidth="11.5546875" defaultRowHeight="14.4" x14ac:dyDescent="0.3"/>
  <cols>
    <col min="1" max="1" width="16.5546875" style="22" customWidth="1"/>
    <col min="2" max="2" width="31.5546875" style="22" customWidth="1"/>
    <col min="3" max="3" width="19.5546875" style="22" customWidth="1"/>
    <col min="4" max="4" width="26.109375" style="22" customWidth="1"/>
    <col min="5" max="5" width="25.33203125" style="22" customWidth="1"/>
    <col min="6" max="6" width="27" style="22" customWidth="1"/>
    <col min="7" max="7" width="25.5546875" style="22" customWidth="1"/>
    <col min="8" max="8" width="24.6640625" style="22" customWidth="1"/>
    <col min="9" max="9" width="30.6640625" style="22" customWidth="1"/>
    <col min="10" max="10" width="25.33203125" style="22" customWidth="1"/>
    <col min="11" max="14" width="15.21875" style="22" customWidth="1"/>
    <col min="15" max="15" width="8.21875" style="22" customWidth="1"/>
    <col min="16" max="16" width="11.5546875" style="22" customWidth="1"/>
    <col min="17" max="17" width="16.33203125" style="22" customWidth="1"/>
    <col min="18" max="18" width="24.109375" style="22" customWidth="1"/>
    <col min="19" max="19" width="22.109375" style="22" customWidth="1"/>
    <col min="20" max="20" width="9.6640625" style="22" customWidth="1"/>
    <col min="21" max="21" width="23" style="22" customWidth="1"/>
    <col min="22" max="31" width="15.21875" style="22" customWidth="1"/>
    <col min="32" max="32" width="20.44140625" style="22" customWidth="1"/>
    <col min="33" max="33" width="18.88671875" style="22" customWidth="1"/>
    <col min="34" max="36" width="11.5546875" style="22"/>
    <col min="37" max="37" width="13.5546875" style="22" customWidth="1"/>
    <col min="38" max="39" width="11.5546875" style="22"/>
    <col min="40" max="40" width="13.6640625" style="22" customWidth="1"/>
    <col min="41" max="42" width="11.5546875" style="22"/>
    <col min="43" max="43" width="12.6640625" style="22" customWidth="1"/>
    <col min="44" max="62" width="11.5546875" style="22"/>
    <col min="63" max="63" width="14.6640625" style="22" customWidth="1"/>
    <col min="64" max="64" width="32.6640625" style="22" customWidth="1"/>
    <col min="65" max="65" width="34" style="22" customWidth="1"/>
    <col min="66" max="66" width="11.5546875" style="22"/>
    <col min="67" max="67" width="29.5546875" style="22" customWidth="1"/>
    <col min="68" max="68" width="12.33203125" style="22" customWidth="1"/>
    <col min="69" max="16384" width="11.5546875" style="22"/>
  </cols>
  <sheetData>
    <row r="4" spans="1:102" x14ac:dyDescent="0.3">
      <c r="A4" s="22" t="s">
        <v>211</v>
      </c>
      <c r="B4" s="22" t="s">
        <v>21</v>
      </c>
      <c r="C4" s="22" t="s">
        <v>20</v>
      </c>
      <c r="K4" s="2"/>
    </row>
    <row r="5" spans="1:102" x14ac:dyDescent="0.3">
      <c r="A5" s="22">
        <v>1200</v>
      </c>
      <c r="B5" s="2">
        <f>H11+H13+H16+F22+H17</f>
        <v>525.46853749008949</v>
      </c>
      <c r="C5" s="1">
        <v>2</v>
      </c>
    </row>
    <row r="6" spans="1:102" x14ac:dyDescent="0.3">
      <c r="M6" s="2">
        <f>M16-10</f>
        <v>84.222500000000011</v>
      </c>
      <c r="N6" s="22">
        <f>M6/G16</f>
        <v>77.268348623853214</v>
      </c>
    </row>
    <row r="7" spans="1:102" ht="14.4" customHeight="1" x14ac:dyDescent="0.3">
      <c r="AL7" s="700"/>
      <c r="AM7" s="700"/>
      <c r="AN7" s="700"/>
      <c r="AO7" s="700"/>
      <c r="AP7" s="700"/>
      <c r="AQ7" s="700"/>
      <c r="AR7" s="700"/>
      <c r="AS7" s="700"/>
      <c r="AT7" s="700"/>
      <c r="AU7" s="700"/>
      <c r="AV7" s="700"/>
      <c r="AW7" s="700"/>
      <c r="AX7" s="700"/>
      <c r="AY7" s="700"/>
      <c r="AZ7" s="700"/>
      <c r="BA7" s="700"/>
      <c r="BB7" s="700"/>
      <c r="BC7" s="700"/>
      <c r="BD7" s="700"/>
      <c r="BE7" s="700"/>
      <c r="BF7" s="700"/>
      <c r="BG7" s="700"/>
      <c r="BH7" s="700"/>
      <c r="BI7" s="700"/>
    </row>
    <row r="8" spans="1:102" ht="14.4" customHeight="1" x14ac:dyDescent="0.3">
      <c r="P8" s="22" t="s">
        <v>22</v>
      </c>
      <c r="R8" s="22" t="s">
        <v>452</v>
      </c>
      <c r="T8" s="22" t="s">
        <v>453</v>
      </c>
      <c r="AL8" s="700"/>
      <c r="AM8" s="700"/>
      <c r="AN8" s="700"/>
      <c r="AO8" s="700"/>
      <c r="AP8" s="700"/>
      <c r="AQ8" s="700"/>
      <c r="AR8" s="700"/>
      <c r="AS8" s="700"/>
      <c r="AT8" s="700"/>
      <c r="AU8" s="700"/>
      <c r="AV8" s="700"/>
      <c r="AW8" s="700"/>
      <c r="AX8" s="700"/>
      <c r="AY8" s="700"/>
      <c r="AZ8" s="700"/>
      <c r="BA8" s="700"/>
      <c r="BB8" s="700"/>
      <c r="BC8" s="700"/>
      <c r="BD8" s="700"/>
      <c r="BE8" s="700"/>
      <c r="BF8" s="700"/>
      <c r="BG8" s="700"/>
      <c r="BH8" s="700"/>
      <c r="BI8" s="700"/>
    </row>
    <row r="9" spans="1:102" ht="15" customHeight="1" x14ac:dyDescent="0.3">
      <c r="A9" s="316" t="s">
        <v>23</v>
      </c>
      <c r="I9" s="795" t="s">
        <v>454</v>
      </c>
      <c r="J9" s="796"/>
      <c r="K9" s="795" t="s">
        <v>455</v>
      </c>
      <c r="L9" s="796"/>
      <c r="M9" s="795" t="s">
        <v>415</v>
      </c>
      <c r="N9" s="796"/>
      <c r="O9" s="22" t="s">
        <v>32</v>
      </c>
      <c r="P9" s="550" t="s">
        <v>456</v>
      </c>
      <c r="Q9" s="551" t="s">
        <v>457</v>
      </c>
      <c r="R9" s="550" t="s">
        <v>456</v>
      </c>
      <c r="S9" s="551" t="s">
        <v>457</v>
      </c>
      <c r="T9" s="550" t="s">
        <v>458</v>
      </c>
      <c r="U9" s="434"/>
      <c r="V9" s="434" t="s">
        <v>459</v>
      </c>
      <c r="W9" s="551"/>
      <c r="AL9" s="700"/>
      <c r="AM9" s="700"/>
      <c r="AN9" s="700"/>
      <c r="AO9" s="700"/>
      <c r="AP9" s="700"/>
      <c r="AQ9" s="700"/>
      <c r="AR9" s="700"/>
      <c r="AS9" s="700"/>
      <c r="AT9" s="700"/>
      <c r="AU9" s="700"/>
      <c r="AV9" s="700"/>
      <c r="AW9" s="700"/>
      <c r="AX9" s="700"/>
      <c r="AY9" s="700"/>
      <c r="AZ9" s="700"/>
      <c r="BA9" s="700"/>
      <c r="BB9" s="700"/>
      <c r="BC9" s="700"/>
      <c r="BD9" s="700"/>
      <c r="BE9" s="700"/>
      <c r="BF9" s="700"/>
      <c r="BG9" s="700"/>
      <c r="BH9" s="700"/>
      <c r="BI9" s="700"/>
      <c r="BK9" s="842"/>
      <c r="BL9" s="842"/>
      <c r="BM9" s="842"/>
    </row>
    <row r="10" spans="1:102" x14ac:dyDescent="0.3">
      <c r="C10" s="22" t="s">
        <v>14</v>
      </c>
      <c r="D10" s="22" t="s">
        <v>0</v>
      </c>
      <c r="E10" s="22" t="s">
        <v>213</v>
      </c>
      <c r="F10" s="22" t="s">
        <v>214</v>
      </c>
      <c r="G10" s="22" t="s">
        <v>215</v>
      </c>
      <c r="H10" s="22" t="s">
        <v>216</v>
      </c>
      <c r="I10" s="552" t="s">
        <v>27</v>
      </c>
      <c r="J10" s="553" t="s">
        <v>26</v>
      </c>
      <c r="K10" s="552" t="s">
        <v>27</v>
      </c>
      <c r="L10" s="553" t="s">
        <v>26</v>
      </c>
      <c r="M10" s="552" t="s">
        <v>27</v>
      </c>
      <c r="N10" s="553" t="s">
        <v>26</v>
      </c>
      <c r="P10" s="552" t="s">
        <v>26</v>
      </c>
      <c r="Q10" s="553" t="s">
        <v>26</v>
      </c>
      <c r="R10" s="552" t="s">
        <v>26</v>
      </c>
      <c r="S10" s="553" t="s">
        <v>26</v>
      </c>
      <c r="T10" s="552" t="s">
        <v>214</v>
      </c>
      <c r="U10" s="22" t="s">
        <v>460</v>
      </c>
      <c r="V10" s="22" t="s">
        <v>216</v>
      </c>
      <c r="W10" s="553" t="s">
        <v>461</v>
      </c>
      <c r="BK10" s="842"/>
      <c r="BL10" s="842"/>
      <c r="BM10" s="306"/>
      <c r="BO10" s="37"/>
      <c r="BP10" s="791"/>
      <c r="BQ10" s="791"/>
      <c r="BR10" s="791"/>
      <c r="BS10" s="791"/>
      <c r="BT10" s="791"/>
      <c r="BV10" s="791"/>
      <c r="BW10" s="791"/>
      <c r="BX10" s="791"/>
      <c r="BY10" s="791"/>
      <c r="BZ10" s="791"/>
      <c r="CB10" s="791"/>
      <c r="CC10" s="791"/>
      <c r="CD10" s="791"/>
      <c r="CE10" s="791"/>
      <c r="CF10" s="791"/>
      <c r="CH10" s="791"/>
      <c r="CI10" s="791"/>
      <c r="CJ10" s="791"/>
      <c r="CK10" s="791"/>
      <c r="CL10" s="791"/>
      <c r="CN10" s="791"/>
      <c r="CO10" s="791"/>
      <c r="CP10" s="791"/>
      <c r="CQ10" s="791"/>
      <c r="CR10" s="791"/>
      <c r="CT10" s="791"/>
      <c r="CU10" s="791"/>
      <c r="CV10" s="791"/>
      <c r="CW10" s="791"/>
      <c r="CX10" s="791"/>
    </row>
    <row r="11" spans="1:102" x14ac:dyDescent="0.3">
      <c r="A11" s="22" t="s">
        <v>19</v>
      </c>
      <c r="F11" s="22">
        <f>1+(H11*E22)</f>
        <v>1</v>
      </c>
      <c r="H11" s="2"/>
      <c r="I11" s="701">
        <f>F11*C$5</f>
        <v>2</v>
      </c>
      <c r="J11" s="702" t="s">
        <v>9</v>
      </c>
      <c r="K11" s="701">
        <f t="shared" ref="K11:K17" si="0">L11*E$22</f>
        <v>78.600000000000009</v>
      </c>
      <c r="L11" s="703">
        <v>100</v>
      </c>
      <c r="M11" s="701">
        <f>I11+K11</f>
        <v>80.600000000000009</v>
      </c>
      <c r="N11" s="702" t="s">
        <v>9</v>
      </c>
      <c r="O11" s="2">
        <v>12</v>
      </c>
      <c r="P11" s="701"/>
      <c r="Q11" s="703"/>
      <c r="R11" s="552"/>
      <c r="S11" s="553"/>
      <c r="T11" s="552">
        <f>I11*O11*1.5</f>
        <v>36</v>
      </c>
      <c r="U11" s="22">
        <v>36</v>
      </c>
      <c r="V11" s="22">
        <f>L11*O11*1.5</f>
        <v>1800</v>
      </c>
      <c r="W11" s="553">
        <f>U11* (V11/T11)</f>
        <v>1800</v>
      </c>
      <c r="AN11" s="294"/>
      <c r="AQ11" s="294"/>
      <c r="AT11" s="294"/>
      <c r="AW11" s="294"/>
      <c r="AZ11" s="294"/>
      <c r="BC11" s="294"/>
      <c r="BF11" s="294"/>
      <c r="BI11" s="294"/>
      <c r="BK11" s="294"/>
      <c r="BL11" s="294"/>
      <c r="BM11" s="704"/>
      <c r="BO11" s="37"/>
    </row>
    <row r="12" spans="1:102" x14ac:dyDescent="0.3">
      <c r="A12" s="22" t="s">
        <v>1</v>
      </c>
      <c r="B12" s="22" t="s">
        <v>10</v>
      </c>
      <c r="C12" s="22" t="s">
        <v>15</v>
      </c>
      <c r="D12" s="22">
        <v>96.08</v>
      </c>
      <c r="E12" s="22">
        <v>0.05</v>
      </c>
      <c r="F12" s="22">
        <f t="shared" ref="F12" si="1">E12*D12</f>
        <v>4.8040000000000003</v>
      </c>
      <c r="G12" s="22">
        <v>1.1599999999999999</v>
      </c>
      <c r="H12" s="2">
        <f>F12/G12</f>
        <v>4.1413793103448278</v>
      </c>
      <c r="I12" s="701">
        <f t="shared" ref="I12" si="2">F12*C$5</f>
        <v>9.6080000000000005</v>
      </c>
      <c r="J12" s="703">
        <f>I12/G12</f>
        <v>8.2827586206896555</v>
      </c>
      <c r="K12" s="701">
        <f t="shared" si="0"/>
        <v>78.600000000000009</v>
      </c>
      <c r="L12" s="703">
        <v>100</v>
      </c>
      <c r="M12" s="701">
        <f>I12+K12</f>
        <v>88.208000000000013</v>
      </c>
      <c r="N12" s="703">
        <f>J12+L12</f>
        <v>108.28275862068966</v>
      </c>
      <c r="O12" s="2">
        <v>3</v>
      </c>
      <c r="P12" s="701">
        <f>J12*O12</f>
        <v>24.848275862068967</v>
      </c>
      <c r="Q12" s="703">
        <f>L12*O12</f>
        <v>300</v>
      </c>
      <c r="R12" s="570">
        <f>P12*1.5</f>
        <v>37.272413793103453</v>
      </c>
      <c r="S12" s="571">
        <f>Q12*1.5</f>
        <v>450</v>
      </c>
      <c r="T12" s="482" t="s">
        <v>9</v>
      </c>
      <c r="U12" s="681" t="s">
        <v>9</v>
      </c>
      <c r="V12" s="681" t="s">
        <v>9</v>
      </c>
      <c r="W12" s="705" t="s">
        <v>9</v>
      </c>
      <c r="X12" s="338"/>
      <c r="AL12" s="294"/>
      <c r="AM12" s="294"/>
      <c r="AN12" s="294"/>
      <c r="AO12" s="294"/>
      <c r="AP12" s="294"/>
      <c r="AQ12" s="294"/>
      <c r="AR12" s="294"/>
      <c r="AS12" s="294"/>
      <c r="AT12" s="294"/>
      <c r="AU12" s="294"/>
      <c r="AV12" s="294"/>
      <c r="AW12" s="294"/>
      <c r="AX12" s="294"/>
      <c r="AY12" s="294"/>
      <c r="AZ12" s="294"/>
      <c r="BA12" s="294"/>
      <c r="BB12" s="294"/>
      <c r="BC12" s="294"/>
      <c r="BD12" s="294"/>
      <c r="BE12" s="294"/>
      <c r="BF12" s="294"/>
      <c r="BG12" s="294"/>
      <c r="BH12" s="294"/>
      <c r="BI12" s="294"/>
      <c r="BK12" s="294"/>
      <c r="BL12" s="294"/>
      <c r="BM12" s="704"/>
      <c r="BO12" s="37"/>
    </row>
    <row r="13" spans="1:102" x14ac:dyDescent="0.3">
      <c r="A13" s="22" t="s">
        <v>2</v>
      </c>
      <c r="B13" s="22" t="s">
        <v>13</v>
      </c>
      <c r="C13" s="22" t="s">
        <v>16</v>
      </c>
      <c r="D13" s="22">
        <v>142.1</v>
      </c>
      <c r="E13" s="22">
        <v>0.05</v>
      </c>
      <c r="F13" s="22">
        <f>E13*D13</f>
        <v>7.1050000000000004</v>
      </c>
      <c r="G13" s="22">
        <v>1.296</v>
      </c>
      <c r="H13" s="2">
        <f>F13/G13</f>
        <v>5.4822530864197532</v>
      </c>
      <c r="I13" s="701">
        <f>F13*C$5</f>
        <v>14.21</v>
      </c>
      <c r="J13" s="703">
        <f t="shared" ref="J13:J17" si="3">I13/G13</f>
        <v>10.964506172839506</v>
      </c>
      <c r="K13" s="701">
        <f t="shared" si="0"/>
        <v>78.600000000000009</v>
      </c>
      <c r="L13" s="703">
        <v>100</v>
      </c>
      <c r="M13" s="701">
        <f t="shared" ref="M13:N17" si="4">I13+K13</f>
        <v>92.81</v>
      </c>
      <c r="N13" s="703">
        <f t="shared" si="4"/>
        <v>110.96450617283951</v>
      </c>
      <c r="O13" s="2">
        <v>3</v>
      </c>
      <c r="P13" s="701">
        <f t="shared" ref="P13:P17" si="5">J13*O13</f>
        <v>32.893518518518519</v>
      </c>
      <c r="Q13" s="703">
        <f t="shared" ref="Q13:Q17" si="6">L13*O13</f>
        <v>300</v>
      </c>
      <c r="R13" s="570">
        <f t="shared" ref="R13:S17" si="7">P13*1.5</f>
        <v>49.340277777777779</v>
      </c>
      <c r="S13" s="571">
        <f t="shared" si="7"/>
        <v>450</v>
      </c>
      <c r="T13" s="552">
        <f>I13*O13*1.5</f>
        <v>63.945000000000007</v>
      </c>
      <c r="U13" s="338">
        <v>81.7</v>
      </c>
      <c r="V13" s="22">
        <f>L13*O13*1.5</f>
        <v>450</v>
      </c>
      <c r="W13" s="553">
        <f>U13* (V13/T13)</f>
        <v>574.94722026741726</v>
      </c>
      <c r="X13" s="338"/>
      <c r="AL13" s="681"/>
      <c r="AM13" s="294"/>
      <c r="AN13" s="294"/>
      <c r="AO13" s="681"/>
      <c r="AP13" s="294"/>
      <c r="AQ13" s="294"/>
      <c r="AR13" s="681"/>
      <c r="AS13" s="294"/>
      <c r="AT13" s="294"/>
      <c r="AU13" s="681"/>
      <c r="AV13" s="294"/>
      <c r="AW13" s="294"/>
      <c r="AX13" s="681"/>
      <c r="AY13" s="294"/>
      <c r="AZ13" s="294"/>
      <c r="BA13" s="681"/>
      <c r="BB13" s="294"/>
      <c r="BC13" s="294"/>
      <c r="BD13" s="681"/>
      <c r="BE13" s="294"/>
      <c r="BF13" s="294"/>
      <c r="BG13" s="681"/>
      <c r="BH13" s="294"/>
      <c r="BI13" s="37"/>
      <c r="BK13" s="294"/>
      <c r="BL13" s="294"/>
      <c r="BM13" s="704"/>
      <c r="BO13" s="37"/>
    </row>
    <row r="14" spans="1:102" s="1" customFormat="1" x14ac:dyDescent="0.3">
      <c r="A14" s="22" t="s">
        <v>4</v>
      </c>
      <c r="B14" s="22" t="s">
        <v>24</v>
      </c>
      <c r="C14" s="22" t="s">
        <v>28</v>
      </c>
      <c r="D14" s="22">
        <v>124.11</v>
      </c>
      <c r="E14" s="22">
        <v>0.05</v>
      </c>
      <c r="F14" s="22">
        <f>E14*D14</f>
        <v>6.2055000000000007</v>
      </c>
      <c r="G14" s="22">
        <v>1.17</v>
      </c>
      <c r="H14" s="2">
        <f>F14/G14</f>
        <v>5.3038461538461545</v>
      </c>
      <c r="I14" s="701">
        <f t="shared" ref="I14:I18" si="8">F14*C$5</f>
        <v>12.411000000000001</v>
      </c>
      <c r="J14" s="703">
        <f t="shared" si="3"/>
        <v>10.607692307692309</v>
      </c>
      <c r="K14" s="701">
        <f t="shared" si="0"/>
        <v>78.600000000000009</v>
      </c>
      <c r="L14" s="703">
        <v>100</v>
      </c>
      <c r="M14" s="701">
        <f t="shared" si="4"/>
        <v>91.01100000000001</v>
      </c>
      <c r="N14" s="703">
        <f t="shared" si="4"/>
        <v>110.6076923076923</v>
      </c>
      <c r="O14" s="2">
        <v>3</v>
      </c>
      <c r="P14" s="701">
        <f t="shared" si="5"/>
        <v>31.823076923076925</v>
      </c>
      <c r="Q14" s="703">
        <f t="shared" si="6"/>
        <v>300</v>
      </c>
      <c r="R14" s="570">
        <f t="shared" si="7"/>
        <v>47.734615384615388</v>
      </c>
      <c r="S14" s="571">
        <f t="shared" si="7"/>
        <v>450</v>
      </c>
      <c r="T14" s="307" t="s">
        <v>9</v>
      </c>
      <c r="U14" s="294" t="s">
        <v>9</v>
      </c>
      <c r="V14" s="294" t="s">
        <v>9</v>
      </c>
      <c r="W14" s="325" t="s">
        <v>9</v>
      </c>
      <c r="X14" s="22"/>
      <c r="AL14" s="681"/>
      <c r="AM14" s="294"/>
      <c r="AN14" s="704"/>
      <c r="AO14" s="294"/>
      <c r="AP14" s="294"/>
      <c r="AQ14" s="294"/>
      <c r="AR14" s="294"/>
      <c r="AS14" s="294"/>
      <c r="AT14" s="294"/>
      <c r="AU14" s="294"/>
      <c r="AV14" s="294"/>
      <c r="AW14" s="294"/>
      <c r="AX14" s="294"/>
      <c r="AY14" s="294"/>
      <c r="AZ14" s="294"/>
      <c r="BA14" s="294"/>
      <c r="BB14" s="294"/>
      <c r="BC14" s="294"/>
      <c r="BD14" s="681"/>
      <c r="BE14" s="294"/>
      <c r="BF14" s="704"/>
      <c r="BG14" s="294"/>
      <c r="BH14" s="294"/>
      <c r="BI14" s="37"/>
      <c r="BJ14" s="22"/>
      <c r="BK14" s="294"/>
      <c r="BL14" s="294"/>
      <c r="BM14" s="704"/>
      <c r="BO14" s="37"/>
    </row>
    <row r="15" spans="1:102" s="1" customFormat="1" x14ac:dyDescent="0.3">
      <c r="A15" s="22" t="s">
        <v>12</v>
      </c>
      <c r="B15" s="22" t="s">
        <v>25</v>
      </c>
      <c r="C15" s="22" t="s">
        <v>29</v>
      </c>
      <c r="D15" s="22">
        <v>136.15</v>
      </c>
      <c r="E15" s="22">
        <v>0.05</v>
      </c>
      <c r="F15" s="22">
        <f t="shared" ref="F15" si="9">E15*D15</f>
        <v>6.807500000000001</v>
      </c>
      <c r="G15" s="22">
        <v>1.119</v>
      </c>
      <c r="H15" s="2">
        <f t="shared" ref="H15" si="10">F15/G15</f>
        <v>6.0835567470956224</v>
      </c>
      <c r="I15" s="701">
        <f t="shared" si="8"/>
        <v>13.615000000000002</v>
      </c>
      <c r="J15" s="703">
        <f t="shared" si="3"/>
        <v>12.167113494191245</v>
      </c>
      <c r="K15" s="701">
        <f t="shared" si="0"/>
        <v>78.600000000000009</v>
      </c>
      <c r="L15" s="703">
        <v>100</v>
      </c>
      <c r="M15" s="701">
        <f t="shared" si="4"/>
        <v>92.215000000000003</v>
      </c>
      <c r="N15" s="703">
        <f t="shared" si="4"/>
        <v>112.16711349419124</v>
      </c>
      <c r="O15" s="2">
        <v>3</v>
      </c>
      <c r="P15" s="701">
        <f t="shared" si="5"/>
        <v>36.501340482573738</v>
      </c>
      <c r="Q15" s="703">
        <f t="shared" si="6"/>
        <v>300</v>
      </c>
      <c r="R15" s="570">
        <f t="shared" si="7"/>
        <v>54.752010723860607</v>
      </c>
      <c r="S15" s="571">
        <f t="shared" si="7"/>
        <v>450</v>
      </c>
      <c r="T15" s="307" t="s">
        <v>9</v>
      </c>
      <c r="U15" s="294" t="s">
        <v>9</v>
      </c>
      <c r="V15" s="294" t="s">
        <v>9</v>
      </c>
      <c r="W15" s="325" t="s">
        <v>9</v>
      </c>
      <c r="X15" s="22"/>
      <c r="AL15" s="681"/>
      <c r="AM15" s="294"/>
      <c r="AN15" s="704"/>
      <c r="AO15" s="294"/>
      <c r="AP15" s="294"/>
      <c r="AQ15" s="294"/>
      <c r="AR15" s="294"/>
      <c r="AS15" s="294"/>
      <c r="AT15" s="294"/>
      <c r="AU15" s="294"/>
      <c r="AV15" s="294"/>
      <c r="AW15" s="294"/>
      <c r="AX15" s="294"/>
      <c r="AY15" s="294"/>
      <c r="AZ15" s="294"/>
      <c r="BA15" s="294"/>
      <c r="BB15" s="294"/>
      <c r="BC15" s="294"/>
      <c r="BD15" s="681"/>
      <c r="BE15" s="294"/>
      <c r="BF15" s="704"/>
      <c r="BG15" s="294"/>
      <c r="BH15" s="294"/>
      <c r="BI15" s="37"/>
      <c r="BJ15" s="22"/>
      <c r="BK15" s="294"/>
      <c r="BL15" s="294"/>
      <c r="BM15" s="704"/>
      <c r="BO15" s="37"/>
    </row>
    <row r="16" spans="1:102" x14ac:dyDescent="0.3">
      <c r="A16" s="22" t="s">
        <v>7</v>
      </c>
      <c r="B16" s="22" t="s">
        <v>11</v>
      </c>
      <c r="C16" s="22" t="s">
        <v>17</v>
      </c>
      <c r="D16" s="22">
        <v>104.15</v>
      </c>
      <c r="E16" s="22">
        <v>7.4999999999999997E-2</v>
      </c>
      <c r="F16" s="22">
        <f>E16*D16</f>
        <v>7.8112500000000002</v>
      </c>
      <c r="G16" s="22">
        <v>1.0900000000000001</v>
      </c>
      <c r="H16" s="2">
        <f>F16/G16</f>
        <v>7.1662844036697244</v>
      </c>
      <c r="I16" s="701">
        <f t="shared" si="8"/>
        <v>15.6225</v>
      </c>
      <c r="J16" s="703">
        <f t="shared" si="3"/>
        <v>14.332568807339449</v>
      </c>
      <c r="K16" s="701">
        <f t="shared" si="0"/>
        <v>78.600000000000009</v>
      </c>
      <c r="L16" s="703">
        <v>100</v>
      </c>
      <c r="M16" s="701">
        <f t="shared" si="4"/>
        <v>94.222500000000011</v>
      </c>
      <c r="N16" s="703">
        <f t="shared" si="4"/>
        <v>114.33256880733944</v>
      </c>
      <c r="O16" s="2">
        <v>12</v>
      </c>
      <c r="P16" s="701">
        <f t="shared" si="5"/>
        <v>171.99082568807339</v>
      </c>
      <c r="Q16" s="703">
        <f t="shared" si="6"/>
        <v>1200</v>
      </c>
      <c r="R16" s="570">
        <f t="shared" si="7"/>
        <v>257.98623853211006</v>
      </c>
      <c r="S16" s="571">
        <f t="shared" si="7"/>
        <v>1800</v>
      </c>
      <c r="T16" s="307" t="s">
        <v>9</v>
      </c>
      <c r="U16" s="294" t="s">
        <v>9</v>
      </c>
      <c r="V16" s="294" t="s">
        <v>9</v>
      </c>
      <c r="W16" s="325" t="s">
        <v>9</v>
      </c>
      <c r="AL16" s="294"/>
      <c r="AM16" s="294"/>
      <c r="AN16" s="294"/>
      <c r="AO16" s="681"/>
      <c r="AP16" s="294"/>
      <c r="AQ16" s="704"/>
      <c r="AR16" s="294"/>
      <c r="AS16" s="294"/>
      <c r="AT16" s="294"/>
      <c r="AU16" s="294"/>
      <c r="AV16" s="294"/>
      <c r="AW16" s="294"/>
      <c r="AX16" s="294"/>
      <c r="AY16" s="294"/>
      <c r="AZ16" s="294"/>
      <c r="BA16" s="294"/>
      <c r="BB16" s="294"/>
      <c r="BC16" s="294"/>
      <c r="BD16" s="294"/>
      <c r="BE16" s="294"/>
      <c r="BF16" s="294"/>
      <c r="BG16" s="294"/>
      <c r="BH16" s="294"/>
      <c r="BI16" s="37"/>
      <c r="BK16" s="294"/>
      <c r="BL16" s="294"/>
      <c r="BM16" s="704"/>
      <c r="BO16" s="37"/>
    </row>
    <row r="17" spans="1:100" x14ac:dyDescent="0.3">
      <c r="A17" s="22" t="s">
        <v>5</v>
      </c>
      <c r="B17" s="22" t="s">
        <v>30</v>
      </c>
      <c r="C17" s="22" t="s">
        <v>31</v>
      </c>
      <c r="D17" s="22">
        <v>202.98</v>
      </c>
      <c r="E17" s="22" t="s">
        <v>9</v>
      </c>
      <c r="F17" s="22">
        <f>G17*H17</f>
        <v>16.742920000000002</v>
      </c>
      <c r="G17" s="22">
        <v>1.306</v>
      </c>
      <c r="H17" s="2">
        <v>12.82</v>
      </c>
      <c r="I17" s="706">
        <f t="shared" si="8"/>
        <v>33.485840000000003</v>
      </c>
      <c r="J17" s="707">
        <f t="shared" si="3"/>
        <v>25.64</v>
      </c>
      <c r="K17" s="706">
        <f t="shared" si="0"/>
        <v>78.600000000000009</v>
      </c>
      <c r="L17" s="707">
        <v>100</v>
      </c>
      <c r="M17" s="706">
        <f t="shared" si="4"/>
        <v>112.08584000000002</v>
      </c>
      <c r="N17" s="707">
        <f t="shared" si="4"/>
        <v>125.64</v>
      </c>
      <c r="O17" s="2">
        <v>12</v>
      </c>
      <c r="P17" s="706">
        <f t="shared" si="5"/>
        <v>307.68</v>
      </c>
      <c r="Q17" s="707">
        <f t="shared" si="6"/>
        <v>1200</v>
      </c>
      <c r="R17" s="580">
        <f t="shared" si="7"/>
        <v>461.52</v>
      </c>
      <c r="S17" s="582">
        <f t="shared" si="7"/>
        <v>1800</v>
      </c>
      <c r="T17" s="308" t="s">
        <v>9</v>
      </c>
      <c r="U17" s="309" t="s">
        <v>9</v>
      </c>
      <c r="V17" s="309" t="s">
        <v>9</v>
      </c>
      <c r="W17" s="368" t="s">
        <v>9</v>
      </c>
      <c r="AL17" s="294"/>
      <c r="AM17" s="294"/>
      <c r="AN17" s="294"/>
      <c r="AO17" s="294"/>
      <c r="AP17" s="294"/>
      <c r="AQ17" s="294"/>
      <c r="AR17" s="681"/>
      <c r="AS17" s="294"/>
      <c r="AT17" s="704"/>
      <c r="AU17" s="294"/>
      <c r="AV17" s="294"/>
      <c r="AW17" s="294"/>
      <c r="AX17" s="294"/>
      <c r="AY17" s="294"/>
      <c r="AZ17" s="294"/>
      <c r="BA17" s="294"/>
      <c r="BB17" s="294"/>
      <c r="BC17" s="294"/>
      <c r="BD17" s="294"/>
      <c r="BE17" s="294"/>
      <c r="BF17" s="294"/>
      <c r="BG17" s="681"/>
      <c r="BH17" s="294"/>
      <c r="BI17" s="704"/>
      <c r="BK17" s="294"/>
      <c r="BL17" s="294"/>
      <c r="BM17" s="704"/>
      <c r="BO17" s="37"/>
    </row>
    <row r="18" spans="1:100" ht="14.4" customHeight="1" x14ac:dyDescent="0.3">
      <c r="A18" s="22" t="s">
        <v>6</v>
      </c>
      <c r="B18" s="22" t="s">
        <v>8</v>
      </c>
      <c r="C18" s="22" t="s">
        <v>18</v>
      </c>
      <c r="D18" s="22">
        <v>325.81900000000002</v>
      </c>
      <c r="E18" s="22" t="s">
        <v>9</v>
      </c>
      <c r="F18" s="22">
        <v>25</v>
      </c>
      <c r="G18" s="22" t="s">
        <v>9</v>
      </c>
      <c r="H18" s="2" t="s">
        <v>9</v>
      </c>
      <c r="I18" s="706">
        <f t="shared" si="8"/>
        <v>50</v>
      </c>
      <c r="J18" s="2"/>
      <c r="K18" s="2"/>
      <c r="L18" s="2"/>
      <c r="M18" s="2"/>
      <c r="N18" s="2"/>
      <c r="O18" s="2"/>
      <c r="P18" s="2"/>
      <c r="Q18" s="2"/>
      <c r="AL18" s="294"/>
      <c r="AM18" s="294"/>
      <c r="AN18" s="294"/>
      <c r="AO18" s="294"/>
      <c r="AP18" s="294"/>
      <c r="AQ18" s="294"/>
      <c r="AR18" s="294"/>
      <c r="AS18" s="294"/>
      <c r="AT18" s="294"/>
      <c r="AU18" s="681"/>
      <c r="AV18" s="294"/>
      <c r="AW18" s="704"/>
      <c r="AX18" s="681"/>
      <c r="AY18" s="294"/>
      <c r="AZ18" s="294"/>
      <c r="BA18" s="294"/>
      <c r="BB18" s="294"/>
      <c r="BC18" s="294"/>
      <c r="BD18" s="294"/>
      <c r="BE18" s="294"/>
      <c r="BF18" s="294"/>
      <c r="BG18" s="294"/>
      <c r="BH18" s="294"/>
      <c r="BI18" s="37"/>
      <c r="BK18" s="294"/>
      <c r="BL18" s="294"/>
      <c r="BM18" s="704"/>
      <c r="BO18" s="37"/>
    </row>
    <row r="19" spans="1:100" x14ac:dyDescent="0.3">
      <c r="I19" s="2"/>
      <c r="J19" s="2"/>
      <c r="K19" s="2"/>
      <c r="L19" s="2"/>
      <c r="M19" s="2"/>
      <c r="N19" s="2"/>
      <c r="O19" s="2"/>
      <c r="P19" s="2"/>
      <c r="Q19" s="2"/>
      <c r="T19" s="22" t="s">
        <v>462</v>
      </c>
      <c r="AL19" s="294"/>
      <c r="AM19" s="294"/>
      <c r="AN19" s="294"/>
      <c r="AO19" s="294"/>
      <c r="AP19" s="294"/>
      <c r="AQ19" s="294"/>
      <c r="AR19" s="294"/>
      <c r="AS19" s="294"/>
      <c r="AT19" s="294"/>
      <c r="AU19" s="294"/>
      <c r="AV19" s="294"/>
      <c r="AW19" s="294"/>
      <c r="AX19" s="681"/>
      <c r="AY19" s="294"/>
      <c r="AZ19" s="704"/>
      <c r="BA19" s="681"/>
      <c r="BB19" s="294"/>
      <c r="BC19" s="294"/>
      <c r="BD19" s="294"/>
      <c r="BE19" s="294"/>
      <c r="BF19" s="294"/>
      <c r="BG19" s="294"/>
      <c r="BH19" s="294"/>
      <c r="BI19" s="37"/>
      <c r="BK19" s="294"/>
      <c r="BL19" s="294"/>
      <c r="BM19" s="704"/>
      <c r="BO19" s="37"/>
    </row>
    <row r="20" spans="1:100" x14ac:dyDescent="0.3">
      <c r="F20" s="791" t="s">
        <v>343</v>
      </c>
      <c r="G20" s="791"/>
      <c r="I20" s="2"/>
      <c r="J20" s="2"/>
      <c r="K20" s="2"/>
      <c r="L20" s="708"/>
      <c r="M20" s="709" t="s">
        <v>463</v>
      </c>
      <c r="N20" s="710"/>
      <c r="O20" s="2"/>
      <c r="P20" s="2"/>
      <c r="Q20" s="2"/>
      <c r="R20" s="22" t="s">
        <v>19</v>
      </c>
      <c r="T20" s="22">
        <f>U11/((U11)+(W11*E22))</f>
        <v>2.4813895781637719E-2</v>
      </c>
      <c r="AL20" s="294"/>
      <c r="AM20" s="294"/>
      <c r="AN20" s="294"/>
      <c r="AO20" s="294"/>
      <c r="AP20" s="294"/>
      <c r="AQ20" s="294"/>
      <c r="AR20" s="294"/>
      <c r="AS20" s="294"/>
      <c r="AT20" s="294"/>
      <c r="AU20" s="681"/>
      <c r="AV20" s="294"/>
      <c r="AW20" s="294"/>
      <c r="AX20" s="294"/>
      <c r="AY20" s="294"/>
      <c r="AZ20" s="294"/>
      <c r="BA20" s="681"/>
      <c r="BB20" s="294"/>
      <c r="BC20" s="704"/>
      <c r="BD20" s="294"/>
      <c r="BE20" s="294"/>
      <c r="BF20" s="294"/>
      <c r="BG20" s="294"/>
      <c r="BH20" s="294"/>
      <c r="BI20" s="37"/>
      <c r="BK20" s="294"/>
      <c r="BL20" s="294"/>
      <c r="BM20" s="704"/>
      <c r="BO20" s="37"/>
    </row>
    <row r="21" spans="1:100" x14ac:dyDescent="0.3">
      <c r="C21" s="22" t="s">
        <v>14</v>
      </c>
      <c r="D21" s="22" t="s">
        <v>0</v>
      </c>
      <c r="E21" s="22" t="s">
        <v>215</v>
      </c>
      <c r="F21" s="22" t="s">
        <v>26</v>
      </c>
      <c r="G21" s="22" t="s">
        <v>27</v>
      </c>
      <c r="I21" s="2"/>
      <c r="J21" s="2"/>
      <c r="K21" s="2"/>
      <c r="L21" s="701"/>
      <c r="M21" s="2" t="s">
        <v>27</v>
      </c>
      <c r="N21" s="703" t="s">
        <v>26</v>
      </c>
      <c r="O21" s="2"/>
      <c r="P21" s="2"/>
      <c r="Q21" s="2"/>
      <c r="R21" s="22" t="s">
        <v>1</v>
      </c>
      <c r="S21" s="22" t="s">
        <v>10</v>
      </c>
      <c r="T21" s="22">
        <f xml:space="preserve"> (R12*G12) / ( (R12*G12) + (S12*E$22) )</f>
        <v>0.10892436060221297</v>
      </c>
      <c r="AL21" s="681"/>
      <c r="AM21" s="294"/>
      <c r="AN21" s="704"/>
      <c r="AO21" s="681"/>
      <c r="AP21" s="294"/>
      <c r="AQ21" s="704"/>
      <c r="AR21" s="681"/>
      <c r="AS21" s="294"/>
      <c r="AT21" s="704"/>
      <c r="AU21" s="681"/>
      <c r="AV21" s="294"/>
      <c r="AW21" s="704"/>
      <c r="AX21" s="681"/>
      <c r="AY21" s="294"/>
      <c r="AZ21" s="704"/>
      <c r="BA21" s="681"/>
      <c r="BB21" s="294"/>
      <c r="BC21" s="704"/>
      <c r="BD21" s="294"/>
      <c r="BE21" s="294"/>
      <c r="BF21" s="294"/>
      <c r="BG21" s="294"/>
      <c r="BH21" s="294"/>
      <c r="BK21" s="294"/>
      <c r="BL21" s="294"/>
      <c r="BM21" s="704"/>
      <c r="BO21" s="37"/>
    </row>
    <row r="22" spans="1:100" x14ac:dyDescent="0.3">
      <c r="A22" s="22" t="s">
        <v>3</v>
      </c>
      <c r="B22" s="22" t="s">
        <v>160</v>
      </c>
      <c r="E22" s="22">
        <v>0.78600000000000003</v>
      </c>
      <c r="F22" s="22">
        <v>500</v>
      </c>
      <c r="G22" s="22">
        <f t="shared" ref="G22" si="11">E22*F22</f>
        <v>393</v>
      </c>
      <c r="I22" s="2"/>
      <c r="J22" s="2"/>
      <c r="K22" s="2"/>
      <c r="L22" s="701" t="s">
        <v>464</v>
      </c>
      <c r="M22" s="22">
        <f>N22*E$22</f>
        <v>78.600000000000009</v>
      </c>
      <c r="N22" s="703">
        <f>500-L$11-L12-L$16-L$17</f>
        <v>100</v>
      </c>
      <c r="P22" s="2"/>
      <c r="R22" s="22" t="s">
        <v>2</v>
      </c>
      <c r="S22" s="22" t="s">
        <v>13</v>
      </c>
      <c r="T22" s="22">
        <f>(U13)/((U13) + (W13*E$22))</f>
        <v>0.15310850123909064</v>
      </c>
      <c r="U22" s="338"/>
      <c r="V22" s="338"/>
      <c r="W22" s="338"/>
      <c r="X22" s="338"/>
      <c r="AL22" s="294"/>
      <c r="AM22" s="294"/>
      <c r="AN22" s="294"/>
      <c r="AO22" s="294"/>
      <c r="AP22" s="294"/>
      <c r="AQ22" s="294"/>
      <c r="AR22" s="294"/>
      <c r="AS22" s="294"/>
      <c r="AT22" s="294"/>
      <c r="AU22" s="294"/>
      <c r="AV22" s="294"/>
      <c r="AW22" s="294"/>
      <c r="AX22" s="294"/>
      <c r="AY22" s="294"/>
      <c r="AZ22" s="294"/>
      <c r="BA22" s="294"/>
      <c r="BB22" s="294"/>
      <c r="BC22" s="294"/>
      <c r="BD22" s="294"/>
      <c r="BE22" s="294"/>
      <c r="BF22" s="294"/>
      <c r="BG22" s="294"/>
      <c r="BH22" s="294"/>
      <c r="BK22" s="294"/>
      <c r="BL22" s="294"/>
      <c r="BM22" s="704"/>
      <c r="BO22" s="37"/>
    </row>
    <row r="23" spans="1:100" x14ac:dyDescent="0.3">
      <c r="I23" s="338"/>
      <c r="J23" s="2"/>
      <c r="K23" s="2"/>
      <c r="L23" s="701" t="s">
        <v>465</v>
      </c>
      <c r="M23" s="22">
        <f>N23*E$22</f>
        <v>78.600000000000009</v>
      </c>
      <c r="N23" s="703">
        <f>500-L$11-L13-L$16-L$17</f>
        <v>100</v>
      </c>
      <c r="P23" s="2"/>
      <c r="R23" s="22" t="s">
        <v>4</v>
      </c>
      <c r="S23" s="22" t="s">
        <v>24</v>
      </c>
      <c r="T23" s="22">
        <f xml:space="preserve"> (R14*G14) / ( (R14*G14) + (S14*E$22) )</f>
        <v>0.13636813132478492</v>
      </c>
      <c r="U23" s="338"/>
      <c r="V23" s="338"/>
      <c r="W23" s="338"/>
      <c r="X23" s="338"/>
      <c r="AL23" s="294"/>
      <c r="AM23" s="294"/>
      <c r="AN23" s="294"/>
      <c r="AO23" s="294"/>
      <c r="AP23" s="294"/>
      <c r="AQ23" s="294"/>
      <c r="AR23" s="294"/>
      <c r="AS23" s="294"/>
      <c r="AT23" s="294"/>
      <c r="AU23" s="294"/>
      <c r="AV23" s="294"/>
      <c r="AW23" s="294"/>
      <c r="AX23" s="294"/>
      <c r="AY23" s="294"/>
      <c r="AZ23" s="294"/>
      <c r="BA23" s="294"/>
      <c r="BB23" s="294"/>
      <c r="BC23" s="294"/>
      <c r="BD23" s="681"/>
      <c r="BE23" s="294"/>
      <c r="BF23" s="704"/>
      <c r="BG23" s="681"/>
      <c r="BH23" s="294"/>
      <c r="BI23" s="704"/>
      <c r="BO23" s="37"/>
    </row>
    <row r="24" spans="1:100" x14ac:dyDescent="0.3">
      <c r="L24" s="552" t="s">
        <v>466</v>
      </c>
      <c r="M24" s="22">
        <f>N24*E$22</f>
        <v>78.600000000000009</v>
      </c>
      <c r="N24" s="703">
        <f>500-L$11-L14-L$16-L$17</f>
        <v>100</v>
      </c>
      <c r="R24" s="22" t="s">
        <v>12</v>
      </c>
      <c r="S24" s="22" t="s">
        <v>25</v>
      </c>
      <c r="T24" s="22">
        <f xml:space="preserve"> (R15*G15) / ( (R15*G15) + (S15*E$22) )</f>
        <v>0.14764409260966224</v>
      </c>
      <c r="AL24" s="681"/>
      <c r="AM24" s="294"/>
      <c r="AN24" s="294"/>
      <c r="AO24" s="681"/>
      <c r="AP24" s="294"/>
      <c r="AQ24" s="294"/>
      <c r="AR24" s="681"/>
      <c r="AS24" s="294"/>
      <c r="AT24" s="294"/>
      <c r="AU24" s="681"/>
      <c r="AV24" s="294"/>
      <c r="AW24" s="294"/>
      <c r="AX24" s="681"/>
      <c r="AY24" s="294"/>
      <c r="AZ24" s="294"/>
      <c r="BA24" s="681"/>
      <c r="BB24" s="294"/>
      <c r="BC24" s="294"/>
      <c r="BD24" s="681"/>
      <c r="BE24" s="294"/>
      <c r="BF24" s="294"/>
      <c r="BG24" s="681"/>
      <c r="BH24" s="294"/>
      <c r="BO24" s="37"/>
    </row>
    <row r="25" spans="1:100" x14ac:dyDescent="0.3">
      <c r="H25" s="779"/>
      <c r="I25" s="779"/>
      <c r="L25" s="706" t="s">
        <v>467</v>
      </c>
      <c r="M25" s="435">
        <f>N25*E$22</f>
        <v>78.600000000000009</v>
      </c>
      <c r="N25" s="707">
        <f>500-L$11-L15-L$16-L$17</f>
        <v>100</v>
      </c>
      <c r="R25" s="22" t="s">
        <v>7</v>
      </c>
      <c r="S25" s="22" t="s">
        <v>11</v>
      </c>
      <c r="T25" s="22">
        <f xml:space="preserve"> (R16*G16) / ( (R16*G16) + (S16*E$22) )</f>
        <v>0.16580434609567779</v>
      </c>
      <c r="AL25" s="681"/>
      <c r="AM25" s="294"/>
      <c r="AN25" s="704"/>
      <c r="AO25" s="681"/>
      <c r="AP25" s="294"/>
      <c r="AQ25" s="704"/>
      <c r="AR25" s="681"/>
      <c r="AS25" s="294"/>
      <c r="AT25" s="704"/>
      <c r="AU25" s="681"/>
      <c r="AV25" s="294"/>
      <c r="AW25" s="704"/>
      <c r="AX25" s="681"/>
      <c r="AY25" s="294"/>
      <c r="AZ25" s="704"/>
      <c r="BA25" s="681"/>
      <c r="BB25" s="294"/>
      <c r="BC25" s="704"/>
      <c r="BD25" s="681"/>
      <c r="BE25" s="294"/>
      <c r="BF25" s="704"/>
      <c r="BG25" s="681"/>
      <c r="BH25" s="294"/>
      <c r="BI25" s="704"/>
      <c r="BK25" s="842"/>
      <c r="BL25" s="842"/>
      <c r="BM25" s="842"/>
      <c r="BO25" s="37"/>
    </row>
    <row r="26" spans="1:100" x14ac:dyDescent="0.3">
      <c r="R26" s="22" t="s">
        <v>5</v>
      </c>
      <c r="S26" s="22" t="s">
        <v>30</v>
      </c>
      <c r="T26" s="22">
        <f xml:space="preserve"> (R17*G17) / ( (R17*G17) + (S17*E$22) )</f>
        <v>0.2987517424145637</v>
      </c>
      <c r="AL26" s="681"/>
      <c r="AM26" s="294"/>
      <c r="AN26" s="704"/>
      <c r="AO26" s="681"/>
      <c r="AP26" s="294"/>
      <c r="AQ26" s="704"/>
      <c r="AR26" s="681"/>
      <c r="AS26" s="294"/>
      <c r="AT26" s="704"/>
      <c r="AU26" s="681"/>
      <c r="AV26" s="294"/>
      <c r="AW26" s="704"/>
      <c r="AX26" s="681"/>
      <c r="AY26" s="294"/>
      <c r="AZ26" s="704"/>
      <c r="BA26" s="681"/>
      <c r="BB26" s="294"/>
      <c r="BC26" s="704"/>
      <c r="BD26" s="681"/>
      <c r="BE26" s="294"/>
      <c r="BF26" s="704"/>
      <c r="BG26" s="681"/>
      <c r="BH26" s="294"/>
      <c r="BI26" s="704"/>
      <c r="BK26" s="842"/>
      <c r="BL26" s="842"/>
      <c r="BM26" s="306"/>
      <c r="BO26" s="37"/>
    </row>
    <row r="27" spans="1:100" x14ac:dyDescent="0.3">
      <c r="H27" s="2"/>
      <c r="J27" s="2"/>
      <c r="K27" s="2"/>
      <c r="L27" s="2"/>
      <c r="M27" s="2"/>
      <c r="N27" s="2"/>
      <c r="O27" s="2"/>
      <c r="P27" s="2"/>
      <c r="Q27" s="2"/>
      <c r="AL27" s="681"/>
      <c r="AM27" s="294"/>
      <c r="AN27" s="294"/>
      <c r="AO27" s="681"/>
      <c r="AP27" s="294"/>
      <c r="AQ27" s="294"/>
      <c r="AR27" s="681"/>
      <c r="AS27" s="294"/>
      <c r="AT27" s="294"/>
      <c r="AU27" s="681"/>
      <c r="AV27" s="294"/>
      <c r="AW27" s="294"/>
      <c r="AX27" s="681"/>
      <c r="AY27" s="294"/>
      <c r="AZ27" s="294"/>
      <c r="BA27" s="681"/>
      <c r="BB27" s="294"/>
      <c r="BC27" s="294"/>
      <c r="BD27" s="681"/>
      <c r="BE27" s="294"/>
      <c r="BF27" s="294"/>
      <c r="BG27" s="681"/>
      <c r="BH27" s="294"/>
      <c r="BK27" s="294"/>
      <c r="BL27" s="294"/>
      <c r="BM27" s="704"/>
      <c r="BO27" s="37"/>
    </row>
    <row r="28" spans="1:100" x14ac:dyDescent="0.3">
      <c r="AL28" s="681"/>
      <c r="AM28" s="294"/>
      <c r="AN28" s="704"/>
      <c r="AO28" s="294"/>
      <c r="AP28" s="294"/>
      <c r="AQ28" s="294"/>
      <c r="AR28" s="294"/>
      <c r="AS28" s="294"/>
      <c r="AT28" s="294"/>
      <c r="AU28" s="294"/>
      <c r="AV28" s="294"/>
      <c r="AW28" s="294"/>
      <c r="AX28" s="294"/>
      <c r="AY28" s="294"/>
      <c r="AZ28" s="294"/>
      <c r="BA28" s="294"/>
      <c r="BB28" s="294"/>
      <c r="BC28" s="294"/>
      <c r="BD28" s="681"/>
      <c r="BE28" s="294"/>
      <c r="BF28" s="704"/>
      <c r="BG28" s="294"/>
      <c r="BH28" s="294"/>
      <c r="BK28" s="294"/>
      <c r="BL28" s="294"/>
      <c r="BM28" s="704"/>
      <c r="BO28" s="37"/>
      <c r="BR28" s="21"/>
      <c r="BX28" s="21"/>
      <c r="CB28" s="21"/>
      <c r="CH28" s="21"/>
      <c r="CP28" s="21"/>
      <c r="CV28" s="21"/>
    </row>
    <row r="29" spans="1:100" x14ac:dyDescent="0.3">
      <c r="AL29" s="294"/>
      <c r="AM29" s="294"/>
      <c r="AN29" s="294"/>
      <c r="AO29" s="681"/>
      <c r="AP29" s="294"/>
      <c r="AQ29" s="704"/>
      <c r="AR29" s="294"/>
      <c r="AS29" s="294"/>
      <c r="AT29" s="294"/>
      <c r="AU29" s="294"/>
      <c r="AV29" s="294"/>
      <c r="AW29" s="294"/>
      <c r="AX29" s="294"/>
      <c r="AY29" s="294"/>
      <c r="AZ29" s="294"/>
      <c r="BA29" s="294"/>
      <c r="BB29" s="294"/>
      <c r="BC29" s="294"/>
      <c r="BD29" s="294"/>
      <c r="BE29" s="294"/>
      <c r="BF29" s="294"/>
      <c r="BG29" s="294"/>
      <c r="BH29" s="294"/>
      <c r="BK29" s="294"/>
      <c r="BL29" s="294"/>
      <c r="BM29" s="704"/>
      <c r="BO29" s="37"/>
    </row>
    <row r="30" spans="1:100" x14ac:dyDescent="0.3">
      <c r="AL30" s="294"/>
      <c r="AM30" s="294"/>
      <c r="AN30" s="294"/>
      <c r="AO30" s="294"/>
      <c r="AP30" s="294"/>
      <c r="AQ30" s="294"/>
      <c r="AR30" s="681"/>
      <c r="AS30" s="294"/>
      <c r="AT30" s="704"/>
      <c r="AU30" s="294"/>
      <c r="AV30" s="294"/>
      <c r="AW30" s="294"/>
      <c r="AX30" s="294"/>
      <c r="AY30" s="294"/>
      <c r="AZ30" s="294"/>
      <c r="BA30" s="294"/>
      <c r="BB30" s="294"/>
      <c r="BC30" s="294"/>
      <c r="BD30" s="294"/>
      <c r="BE30" s="294"/>
      <c r="BF30" s="294"/>
      <c r="BG30" s="681"/>
      <c r="BH30" s="294"/>
      <c r="BI30" s="704"/>
      <c r="BO30" s="711"/>
    </row>
    <row r="31" spans="1:100" ht="15" customHeight="1" x14ac:dyDescent="0.3">
      <c r="K31" s="37"/>
      <c r="L31" s="294"/>
      <c r="M31" s="700"/>
      <c r="AL31" s="294"/>
      <c r="AM31" s="294"/>
      <c r="AN31" s="294"/>
      <c r="AO31" s="294"/>
      <c r="AP31" s="294"/>
      <c r="AQ31" s="294"/>
      <c r="AR31" s="294"/>
      <c r="AS31" s="294"/>
      <c r="AT31" s="294"/>
      <c r="AU31" s="681"/>
      <c r="AV31" s="294"/>
      <c r="AW31" s="704"/>
      <c r="AX31" s="681"/>
      <c r="AY31" s="294"/>
      <c r="AZ31" s="294"/>
      <c r="BA31" s="294"/>
      <c r="BB31" s="294"/>
      <c r="BC31" s="294"/>
      <c r="BD31" s="294"/>
      <c r="BE31" s="294"/>
      <c r="BF31" s="294"/>
      <c r="BG31" s="294"/>
      <c r="BH31" s="294"/>
      <c r="BO31" s="711"/>
    </row>
    <row r="32" spans="1:100" ht="15" customHeight="1" thickBot="1" x14ac:dyDescent="0.35">
      <c r="K32" s="37"/>
      <c r="L32" s="294"/>
      <c r="M32" s="700"/>
      <c r="AL32" s="294"/>
      <c r="AM32" s="294"/>
      <c r="AN32" s="294"/>
      <c r="AO32" s="294"/>
      <c r="AP32" s="294"/>
      <c r="AQ32" s="294"/>
      <c r="AR32" s="294"/>
      <c r="AS32" s="294"/>
      <c r="AT32" s="294"/>
      <c r="AU32" s="294"/>
      <c r="AV32" s="294"/>
      <c r="AW32" s="294"/>
      <c r="AX32" s="681"/>
      <c r="AY32" s="294"/>
      <c r="AZ32" s="704"/>
      <c r="BA32" s="681"/>
      <c r="BB32" s="294"/>
      <c r="BC32" s="294"/>
      <c r="BD32" s="294"/>
      <c r="BE32" s="294"/>
      <c r="BF32" s="294"/>
      <c r="BG32" s="294"/>
      <c r="BH32" s="294"/>
      <c r="BK32" s="679"/>
      <c r="BO32" s="711"/>
    </row>
    <row r="33" spans="2:102" ht="15" customHeight="1" thickBot="1" x14ac:dyDescent="0.35">
      <c r="B33" s="844"/>
      <c r="C33" s="845"/>
      <c r="D33" s="846" t="s">
        <v>54</v>
      </c>
      <c r="E33" s="847"/>
      <c r="F33" s="847"/>
      <c r="G33" s="848"/>
      <c r="H33" s="294"/>
      <c r="I33" s="294"/>
      <c r="K33" s="37"/>
      <c r="L33" s="306"/>
      <c r="M33" s="700"/>
      <c r="AL33" s="294"/>
      <c r="AM33" s="294"/>
      <c r="AN33" s="294"/>
      <c r="AO33" s="294"/>
      <c r="AP33" s="294"/>
      <c r="AQ33" s="294"/>
      <c r="AR33" s="294"/>
      <c r="AS33" s="294"/>
      <c r="AT33" s="294"/>
      <c r="AU33" s="681"/>
      <c r="AV33" s="294"/>
      <c r="AW33" s="294"/>
      <c r="AX33" s="294"/>
      <c r="AY33" s="294"/>
      <c r="AZ33" s="294"/>
      <c r="BA33" s="681"/>
      <c r="BB33" s="294"/>
      <c r="BC33" s="704"/>
      <c r="BD33" s="294"/>
      <c r="BE33" s="294"/>
      <c r="BF33" s="294"/>
      <c r="BG33" s="294"/>
      <c r="BH33" s="294"/>
      <c r="BO33" s="711"/>
    </row>
    <row r="34" spans="2:102" ht="15" thickBot="1" x14ac:dyDescent="0.35">
      <c r="B34" s="714" t="s">
        <v>46</v>
      </c>
      <c r="C34" s="715" t="s">
        <v>55</v>
      </c>
      <c r="D34" s="41" t="s">
        <v>56</v>
      </c>
      <c r="E34" s="42" t="s">
        <v>57</v>
      </c>
      <c r="F34" s="42" t="s">
        <v>33</v>
      </c>
      <c r="G34" s="43" t="s">
        <v>58</v>
      </c>
      <c r="H34" s="294"/>
      <c r="I34" s="294"/>
      <c r="N34" s="745" t="s">
        <v>161</v>
      </c>
      <c r="O34" s="746"/>
      <c r="P34" s="746"/>
      <c r="Q34" s="746"/>
      <c r="R34" s="746"/>
      <c r="S34" s="746"/>
      <c r="T34" s="746"/>
      <c r="U34" s="746"/>
      <c r="V34" s="746"/>
      <c r="W34" s="746"/>
      <c r="X34" s="746"/>
      <c r="Y34" s="746"/>
      <c r="Z34" s="290"/>
      <c r="AA34" s="290"/>
      <c r="AB34" s="291"/>
      <c r="AC34" s="745" t="s">
        <v>162</v>
      </c>
      <c r="AD34" s="746"/>
      <c r="AE34" s="747"/>
      <c r="AF34" s="306"/>
      <c r="AG34" s="306"/>
      <c r="AH34" s="306"/>
      <c r="AI34" s="306"/>
      <c r="AJ34" s="306"/>
      <c r="AL34" s="37"/>
      <c r="AM34" s="37"/>
      <c r="AN34" s="294"/>
      <c r="AO34" s="681"/>
      <c r="AP34" s="294"/>
      <c r="AQ34" s="704"/>
      <c r="AR34" s="681"/>
      <c r="AS34" s="294"/>
      <c r="AT34" s="704"/>
      <c r="AU34" s="681"/>
      <c r="AV34" s="294"/>
      <c r="AW34" s="704"/>
      <c r="AX34" s="681"/>
      <c r="AY34" s="294"/>
      <c r="AZ34" s="704"/>
      <c r="BA34" s="681"/>
      <c r="BB34" s="294"/>
      <c r="BC34" s="704"/>
      <c r="BD34" s="681"/>
      <c r="BE34" s="294"/>
      <c r="BF34" s="704"/>
      <c r="BG34" s="294"/>
      <c r="BH34" s="294"/>
      <c r="BI34" s="294"/>
      <c r="BJ34" s="294"/>
      <c r="BK34" s="294"/>
      <c r="BR34" s="711"/>
    </row>
    <row r="35" spans="2:102" ht="15" thickBot="1" x14ac:dyDescent="0.35">
      <c r="B35" s="801" t="s">
        <v>25</v>
      </c>
      <c r="C35" s="44" t="s">
        <v>59</v>
      </c>
      <c r="D35" s="41">
        <v>80</v>
      </c>
      <c r="E35" s="42">
        <v>91</v>
      </c>
      <c r="F35" s="42">
        <v>87</v>
      </c>
      <c r="G35" s="43">
        <v>113</v>
      </c>
      <c r="H35" s="294"/>
      <c r="I35" s="294"/>
      <c r="N35" s="767" t="s">
        <v>19</v>
      </c>
      <c r="O35" s="768"/>
      <c r="P35" s="768"/>
      <c r="Q35" s="769" t="s">
        <v>46</v>
      </c>
      <c r="R35" s="768"/>
      <c r="S35" s="770"/>
      <c r="T35" s="768" t="s">
        <v>47</v>
      </c>
      <c r="U35" s="768"/>
      <c r="V35" s="768"/>
      <c r="W35" s="769" t="s">
        <v>5</v>
      </c>
      <c r="X35" s="768"/>
      <c r="Y35" s="770"/>
      <c r="Z35" s="769" t="s">
        <v>160</v>
      </c>
      <c r="AA35" s="768"/>
      <c r="AB35" s="849"/>
      <c r="AC35" s="771" t="s">
        <v>8</v>
      </c>
      <c r="AD35" s="772"/>
      <c r="AE35" s="773"/>
      <c r="AL35" s="37"/>
      <c r="AM35" s="37"/>
      <c r="AN35" s="294"/>
      <c r="AO35" s="294"/>
      <c r="AP35" s="294"/>
      <c r="AQ35" s="294"/>
      <c r="AR35" s="294"/>
      <c r="AS35" s="294"/>
      <c r="AT35" s="294"/>
      <c r="AU35" s="294"/>
      <c r="AV35" s="294"/>
      <c r="AW35" s="294"/>
      <c r="AX35" s="294"/>
      <c r="AY35" s="294"/>
      <c r="AZ35" s="294"/>
      <c r="BA35" s="294"/>
      <c r="BB35" s="294"/>
      <c r="BC35" s="294"/>
      <c r="BD35" s="294"/>
      <c r="BE35" s="294"/>
      <c r="BF35" s="294"/>
      <c r="BG35" s="294"/>
      <c r="BH35" s="294"/>
      <c r="BI35" s="294"/>
      <c r="BJ35" s="294"/>
      <c r="BK35" s="294"/>
      <c r="BR35" s="711"/>
    </row>
    <row r="36" spans="2:102" x14ac:dyDescent="0.3">
      <c r="B36" s="802"/>
      <c r="C36" s="44" t="s">
        <v>60</v>
      </c>
      <c r="D36" s="45">
        <v>80.599999999999994</v>
      </c>
      <c r="E36" s="305">
        <v>90</v>
      </c>
      <c r="F36" s="305">
        <v>92</v>
      </c>
      <c r="G36" s="46">
        <v>109</v>
      </c>
      <c r="H36" s="294"/>
      <c r="I36" s="294"/>
      <c r="K36" s="427" t="s">
        <v>47</v>
      </c>
      <c r="L36" s="428" t="s">
        <v>46</v>
      </c>
      <c r="M36" s="226" t="s">
        <v>55</v>
      </c>
      <c r="N36" s="287" t="s">
        <v>158</v>
      </c>
      <c r="O36" s="288" t="s">
        <v>159</v>
      </c>
      <c r="P36" s="288" t="s">
        <v>157</v>
      </c>
      <c r="Q36" s="292" t="s">
        <v>158</v>
      </c>
      <c r="R36" s="288" t="s">
        <v>159</v>
      </c>
      <c r="S36" s="293" t="s">
        <v>157</v>
      </c>
      <c r="T36" s="288" t="s">
        <v>158</v>
      </c>
      <c r="U36" s="288" t="s">
        <v>159</v>
      </c>
      <c r="V36" s="288" t="s">
        <v>157</v>
      </c>
      <c r="W36" s="292" t="s">
        <v>158</v>
      </c>
      <c r="X36" s="288" t="s">
        <v>159</v>
      </c>
      <c r="Y36" s="293" t="s">
        <v>157</v>
      </c>
      <c r="Z36" s="292" t="s">
        <v>158</v>
      </c>
      <c r="AA36" s="288" t="s">
        <v>159</v>
      </c>
      <c r="AB36" s="289" t="s">
        <v>157</v>
      </c>
      <c r="AC36" s="424" t="s">
        <v>158</v>
      </c>
      <c r="AD36" s="425" t="s">
        <v>159</v>
      </c>
      <c r="AE36" s="426" t="s">
        <v>157</v>
      </c>
      <c r="AL36" s="37"/>
      <c r="AM36" s="37"/>
      <c r="AN36" s="294"/>
      <c r="AO36" s="294"/>
      <c r="AP36" s="294"/>
      <c r="AQ36" s="294"/>
      <c r="AR36" s="294"/>
      <c r="AS36" s="294"/>
      <c r="AT36" s="294"/>
      <c r="AU36" s="294"/>
      <c r="AV36" s="294"/>
      <c r="AW36" s="294"/>
      <c r="AX36" s="294"/>
      <c r="AY36" s="294"/>
      <c r="AZ36" s="294"/>
      <c r="BA36" s="294"/>
      <c r="BB36" s="294"/>
      <c r="BC36" s="294"/>
      <c r="BD36" s="294"/>
      <c r="BE36" s="294"/>
      <c r="BF36" s="294"/>
      <c r="BG36" s="681"/>
      <c r="BH36" s="294"/>
      <c r="BI36" s="704"/>
      <c r="BJ36" s="681"/>
      <c r="BK36" s="294"/>
      <c r="BL36" s="704"/>
      <c r="BR36" s="711"/>
    </row>
    <row r="37" spans="2:102" x14ac:dyDescent="0.3">
      <c r="B37" s="802"/>
      <c r="C37" s="44" t="s">
        <v>61</v>
      </c>
      <c r="D37" s="45">
        <v>78</v>
      </c>
      <c r="E37" s="305">
        <v>88</v>
      </c>
      <c r="F37" s="305">
        <v>96</v>
      </c>
      <c r="G37" s="46">
        <v>0</v>
      </c>
      <c r="H37" s="294"/>
      <c r="I37" s="294"/>
      <c r="K37" s="835" t="s">
        <v>48</v>
      </c>
      <c r="L37" s="755" t="s">
        <v>48</v>
      </c>
      <c r="M37" s="43" t="s">
        <v>59</v>
      </c>
      <c r="N37" s="210">
        <f>M$11</f>
        <v>80.600000000000009</v>
      </c>
      <c r="O37" s="42">
        <f>D35</f>
        <v>80</v>
      </c>
      <c r="P37" s="211">
        <f>ABS(O37-N37)/N37</f>
        <v>7.4441687344914201E-3</v>
      </c>
      <c r="Q37" s="83">
        <f>M$12</f>
        <v>88.208000000000013</v>
      </c>
      <c r="R37" s="42">
        <f>E35</f>
        <v>91</v>
      </c>
      <c r="S37" s="217">
        <f t="shared" ref="S37:S48" si="12">ABS(R37-Q37)/Q37</f>
        <v>3.1652457826954326E-2</v>
      </c>
      <c r="T37" s="57">
        <f>M$16</f>
        <v>94.222500000000011</v>
      </c>
      <c r="U37" s="42">
        <f>F35</f>
        <v>87</v>
      </c>
      <c r="V37" s="211">
        <f>ABS(U37-T37)/T37</f>
        <v>7.6653665525750328E-2</v>
      </c>
      <c r="W37" s="83">
        <f>M$17</f>
        <v>112.08584000000002</v>
      </c>
      <c r="X37" s="42">
        <f>G35</f>
        <v>113</v>
      </c>
      <c r="Y37" s="217">
        <f>ABS(X37-W37)/W37</f>
        <v>8.1558919485278519E-3</v>
      </c>
      <c r="Z37" s="694">
        <f>M$22 * 2</f>
        <v>157.20000000000002</v>
      </c>
      <c r="AA37" s="694">
        <f>H52</f>
        <v>154</v>
      </c>
      <c r="AB37" s="212">
        <f>ABS(AA37-Z37)/Z37</f>
        <v>2.0356234096692218E-2</v>
      </c>
      <c r="AC37" s="210">
        <f>I$18</f>
        <v>50</v>
      </c>
      <c r="AD37" s="42">
        <v>53.5</v>
      </c>
      <c r="AE37" s="212">
        <f>ABS(AD37-AC37)/AC37</f>
        <v>7.0000000000000007E-2</v>
      </c>
      <c r="AL37" s="37"/>
      <c r="AM37" s="37"/>
      <c r="AN37" s="294"/>
      <c r="AO37" s="681"/>
      <c r="AP37" s="294"/>
      <c r="AQ37" s="294"/>
      <c r="AR37" s="681"/>
      <c r="AS37" s="294"/>
      <c r="AT37" s="294"/>
      <c r="AU37" s="681"/>
      <c r="AV37" s="294"/>
      <c r="AW37" s="294"/>
      <c r="AX37" s="681"/>
      <c r="AY37" s="294"/>
      <c r="AZ37" s="294"/>
      <c r="BA37" s="681"/>
      <c r="BB37" s="294"/>
      <c r="BC37" s="294"/>
      <c r="BD37" s="681"/>
      <c r="BE37" s="294"/>
      <c r="BF37" s="294"/>
      <c r="BG37" s="681"/>
      <c r="BH37" s="294"/>
      <c r="BI37" s="294"/>
      <c r="BJ37" s="681"/>
      <c r="BK37" s="294"/>
      <c r="BR37" s="711"/>
    </row>
    <row r="38" spans="2:102" x14ac:dyDescent="0.3">
      <c r="B38" s="801" t="s">
        <v>24</v>
      </c>
      <c r="C38" s="47" t="s">
        <v>62</v>
      </c>
      <c r="D38" s="41">
        <v>79</v>
      </c>
      <c r="E38" s="42">
        <v>92</v>
      </c>
      <c r="F38" s="42">
        <v>99</v>
      </c>
      <c r="G38" s="43">
        <v>113</v>
      </c>
      <c r="H38" s="294"/>
      <c r="I38" s="294"/>
      <c r="K38" s="834"/>
      <c r="L38" s="756"/>
      <c r="M38" s="46" t="s">
        <v>60</v>
      </c>
      <c r="N38" s="175">
        <f t="shared" ref="N38:N48" si="13">M$11</f>
        <v>80.600000000000009</v>
      </c>
      <c r="O38" s="64">
        <f t="shared" ref="O38:O48" si="14">D36</f>
        <v>80.599999999999994</v>
      </c>
      <c r="P38" s="206">
        <f t="shared" ref="P38:P48" si="15">ABS(O38-N38)/N38</f>
        <v>1.7631333393550872E-16</v>
      </c>
      <c r="Q38" s="84">
        <f t="shared" ref="Q38:Q39" si="16">M$12</f>
        <v>88.208000000000013</v>
      </c>
      <c r="R38" s="64">
        <f t="shared" ref="R38:R48" si="17">E36</f>
        <v>90</v>
      </c>
      <c r="S38" s="216">
        <f t="shared" si="12"/>
        <v>2.0315617631053728E-2</v>
      </c>
      <c r="T38" s="78">
        <f t="shared" ref="T38:T48" si="18">M$16</f>
        <v>94.222500000000011</v>
      </c>
      <c r="U38" s="64">
        <f t="shared" ref="U38:U48" si="19">F36</f>
        <v>92</v>
      </c>
      <c r="V38" s="206">
        <f t="shared" ref="V38:V48" si="20">ABS(U38-T38)/T38</f>
        <v>2.3587784234126781E-2</v>
      </c>
      <c r="W38" s="84">
        <f t="shared" ref="W38:W48" si="21">M$17</f>
        <v>112.08584000000002</v>
      </c>
      <c r="X38" s="64">
        <f t="shared" ref="X38:X48" si="22">G36</f>
        <v>109</v>
      </c>
      <c r="Y38" s="216">
        <f t="shared" ref="Y38:Y48" si="23">ABS(X38-W38)/W38</f>
        <v>2.753104227973862E-2</v>
      </c>
      <c r="Z38" s="173">
        <f t="shared" ref="Z38:Z48" si="24">M$22 * 2</f>
        <v>157.20000000000002</v>
      </c>
      <c r="AA38" s="173">
        <f t="shared" ref="AA38:AA48" si="25">H53</f>
        <v>150</v>
      </c>
      <c r="AB38" s="207">
        <f t="shared" ref="AB38:AB48" si="26">ABS(AA38-Z38)/Z38</f>
        <v>4.5801526717557356E-2</v>
      </c>
      <c r="AC38" s="175">
        <f t="shared" ref="AC38:AC48" si="27">I$18</f>
        <v>50</v>
      </c>
      <c r="AD38" s="64">
        <v>53.5</v>
      </c>
      <c r="AE38" s="207">
        <f t="shared" ref="AE38:AE48" si="28">ABS(AD38-AC38)/AC38</f>
        <v>7.0000000000000007E-2</v>
      </c>
      <c r="AL38" s="37"/>
      <c r="AM38" s="37"/>
      <c r="AN38" s="294"/>
      <c r="AO38" s="681"/>
      <c r="AP38" s="294"/>
      <c r="AQ38" s="704"/>
      <c r="AR38" s="681"/>
      <c r="AS38" s="294"/>
      <c r="AT38" s="704"/>
      <c r="AU38" s="681"/>
      <c r="AV38" s="294"/>
      <c r="AW38" s="704"/>
      <c r="AX38" s="681"/>
      <c r="AY38" s="294"/>
      <c r="AZ38" s="704"/>
      <c r="BA38" s="681"/>
      <c r="BB38" s="294"/>
      <c r="BC38" s="704"/>
      <c r="BD38" s="681"/>
      <c r="BE38" s="294"/>
      <c r="BF38" s="704"/>
      <c r="BG38" s="681"/>
      <c r="BH38" s="294"/>
      <c r="BI38" s="704"/>
      <c r="BJ38" s="681"/>
      <c r="BK38" s="294"/>
      <c r="BL38" s="704"/>
      <c r="BR38" s="711"/>
    </row>
    <row r="39" spans="2:102" x14ac:dyDescent="0.3">
      <c r="B39" s="802"/>
      <c r="C39" s="44" t="s">
        <v>63</v>
      </c>
      <c r="D39" s="45">
        <v>86</v>
      </c>
      <c r="E39" s="305">
        <v>87</v>
      </c>
      <c r="F39" s="305">
        <v>89</v>
      </c>
      <c r="G39" s="46">
        <v>111</v>
      </c>
      <c r="H39" s="294"/>
      <c r="I39" s="294"/>
      <c r="K39" s="834"/>
      <c r="L39" s="757"/>
      <c r="M39" s="51" t="s">
        <v>61</v>
      </c>
      <c r="N39" s="213">
        <f t="shared" si="13"/>
        <v>80.600000000000009</v>
      </c>
      <c r="O39" s="50">
        <f t="shared" si="14"/>
        <v>78</v>
      </c>
      <c r="P39" s="214">
        <f t="shared" si="15"/>
        <v>3.2258064516129135E-2</v>
      </c>
      <c r="Q39" s="85">
        <f t="shared" si="16"/>
        <v>88.208000000000013</v>
      </c>
      <c r="R39" s="50">
        <f t="shared" si="17"/>
        <v>88</v>
      </c>
      <c r="S39" s="218">
        <f t="shared" si="12"/>
        <v>2.3580627607474674E-3</v>
      </c>
      <c r="T39" s="58">
        <f t="shared" si="18"/>
        <v>94.222500000000011</v>
      </c>
      <c r="U39" s="50">
        <f t="shared" si="19"/>
        <v>96</v>
      </c>
      <c r="V39" s="214">
        <f t="shared" si="20"/>
        <v>1.8864920799172055E-2</v>
      </c>
      <c r="W39" s="85">
        <f t="shared" si="21"/>
        <v>112.08584000000002</v>
      </c>
      <c r="X39" s="50">
        <f t="shared" si="22"/>
        <v>0</v>
      </c>
      <c r="Y39" s="218">
        <f t="shared" si="23"/>
        <v>1</v>
      </c>
      <c r="Z39" s="695">
        <f t="shared" si="24"/>
        <v>157.20000000000002</v>
      </c>
      <c r="AA39" s="695">
        <f t="shared" si="25"/>
        <v>152</v>
      </c>
      <c r="AB39" s="215">
        <f t="shared" si="26"/>
        <v>3.307888040712479E-2</v>
      </c>
      <c r="AC39" s="213">
        <f t="shared" si="27"/>
        <v>50</v>
      </c>
      <c r="AD39" s="50">
        <v>53.5</v>
      </c>
      <c r="AE39" s="215">
        <f t="shared" si="28"/>
        <v>7.0000000000000007E-2</v>
      </c>
      <c r="AM39" s="37"/>
      <c r="AN39" s="294"/>
      <c r="AO39" s="681"/>
      <c r="AP39" s="294"/>
      <c r="AQ39" s="704"/>
      <c r="AR39" s="681"/>
      <c r="AS39" s="294"/>
      <c r="AT39" s="704"/>
      <c r="AU39" s="681"/>
      <c r="AV39" s="294"/>
      <c r="AW39" s="704"/>
      <c r="AX39" s="681"/>
      <c r="AY39" s="294"/>
      <c r="AZ39" s="704"/>
      <c r="BA39" s="681"/>
      <c r="BB39" s="294"/>
      <c r="BC39" s="704"/>
      <c r="BD39" s="681"/>
      <c r="BE39" s="294"/>
      <c r="BF39" s="704"/>
      <c r="BG39" s="681"/>
      <c r="BH39" s="294"/>
      <c r="BI39" s="704"/>
      <c r="BJ39" s="681"/>
      <c r="BK39" s="294"/>
      <c r="BL39" s="704"/>
      <c r="BR39" s="711"/>
    </row>
    <row r="40" spans="2:102" x14ac:dyDescent="0.3">
      <c r="B40" s="843"/>
      <c r="C40" s="48" t="s">
        <v>64</v>
      </c>
      <c r="D40" s="49">
        <v>86</v>
      </c>
      <c r="E40" s="50">
        <v>92</v>
      </c>
      <c r="F40" s="50">
        <v>102</v>
      </c>
      <c r="G40" s="51">
        <v>108</v>
      </c>
      <c r="H40" s="294"/>
      <c r="I40" s="294"/>
      <c r="K40" s="834"/>
      <c r="L40" s="756" t="s">
        <v>49</v>
      </c>
      <c r="M40" s="46" t="s">
        <v>62</v>
      </c>
      <c r="N40" s="175">
        <f t="shared" si="13"/>
        <v>80.600000000000009</v>
      </c>
      <c r="O40" s="64">
        <f t="shared" si="14"/>
        <v>79</v>
      </c>
      <c r="P40" s="206">
        <f t="shared" si="15"/>
        <v>1.9851116625310278E-2</v>
      </c>
      <c r="Q40" s="84">
        <f>M$13</f>
        <v>92.81</v>
      </c>
      <c r="R40" s="64">
        <f t="shared" si="17"/>
        <v>92</v>
      </c>
      <c r="S40" s="216">
        <f t="shared" si="12"/>
        <v>8.72750781165825E-3</v>
      </c>
      <c r="T40" s="78">
        <f t="shared" si="18"/>
        <v>94.222500000000011</v>
      </c>
      <c r="U40" s="64">
        <f t="shared" si="19"/>
        <v>99</v>
      </c>
      <c r="V40" s="206">
        <f>ABS(U40-T40)/T40</f>
        <v>5.0704449574146181E-2</v>
      </c>
      <c r="W40" s="84">
        <f t="shared" si="21"/>
        <v>112.08584000000002</v>
      </c>
      <c r="X40" s="64">
        <f t="shared" si="22"/>
        <v>113</v>
      </c>
      <c r="Y40" s="216">
        <f t="shared" si="23"/>
        <v>8.1558919485278519E-3</v>
      </c>
      <c r="Z40" s="173">
        <f t="shared" si="24"/>
        <v>157.20000000000002</v>
      </c>
      <c r="AA40" s="173">
        <f t="shared" si="25"/>
        <v>152</v>
      </c>
      <c r="AB40" s="207">
        <f t="shared" si="26"/>
        <v>3.307888040712479E-2</v>
      </c>
      <c r="AC40" s="175">
        <f t="shared" si="27"/>
        <v>50</v>
      </c>
      <c r="AD40" s="64">
        <v>53.6</v>
      </c>
      <c r="AE40" s="207">
        <f t="shared" si="28"/>
        <v>7.2000000000000022E-2</v>
      </c>
      <c r="AM40" s="37"/>
      <c r="AN40" s="294"/>
      <c r="AO40" s="681"/>
      <c r="AP40" s="294"/>
      <c r="AQ40" s="294"/>
      <c r="AR40" s="681"/>
      <c r="AS40" s="294"/>
      <c r="AT40" s="294"/>
      <c r="AU40" s="681"/>
      <c r="AV40" s="294"/>
      <c r="AW40" s="294"/>
      <c r="AX40" s="681"/>
      <c r="AY40" s="294"/>
      <c r="AZ40" s="294"/>
      <c r="BA40" s="681"/>
      <c r="BB40" s="294"/>
      <c r="BC40" s="294"/>
      <c r="BD40" s="681"/>
      <c r="BE40" s="294"/>
      <c r="BF40" s="294"/>
      <c r="BG40" s="681"/>
      <c r="BH40" s="294"/>
      <c r="BI40" s="294"/>
      <c r="BJ40" s="681"/>
      <c r="BK40" s="294"/>
      <c r="BR40" s="711"/>
    </row>
    <row r="41" spans="2:102" x14ac:dyDescent="0.3">
      <c r="B41" s="802" t="s">
        <v>13</v>
      </c>
      <c r="C41" s="44" t="s">
        <v>65</v>
      </c>
      <c r="D41" s="45">
        <v>77</v>
      </c>
      <c r="E41" s="305">
        <v>93</v>
      </c>
      <c r="F41" s="305">
        <v>105</v>
      </c>
      <c r="G41" s="46">
        <v>107</v>
      </c>
      <c r="H41" s="294"/>
      <c r="I41" s="294"/>
      <c r="K41" s="834"/>
      <c r="L41" s="756"/>
      <c r="M41" s="46" t="s">
        <v>63</v>
      </c>
      <c r="N41" s="175">
        <f t="shared" si="13"/>
        <v>80.600000000000009</v>
      </c>
      <c r="O41" s="64">
        <f t="shared" si="14"/>
        <v>86</v>
      </c>
      <c r="P41" s="206">
        <f t="shared" si="15"/>
        <v>6.6997518610421719E-2</v>
      </c>
      <c r="Q41" s="84">
        <f t="shared" ref="Q41:Q42" si="29">M$13</f>
        <v>92.81</v>
      </c>
      <c r="R41" s="64">
        <f t="shared" si="17"/>
        <v>87</v>
      </c>
      <c r="S41" s="216">
        <f t="shared" si="12"/>
        <v>6.2601012821894217E-2</v>
      </c>
      <c r="T41" s="78">
        <f t="shared" si="18"/>
        <v>94.222500000000011</v>
      </c>
      <c r="U41" s="64">
        <f t="shared" si="19"/>
        <v>89</v>
      </c>
      <c r="V41" s="206">
        <f t="shared" si="20"/>
        <v>5.5427313009100906E-2</v>
      </c>
      <c r="W41" s="84">
        <f t="shared" si="21"/>
        <v>112.08584000000002</v>
      </c>
      <c r="X41" s="64">
        <f t="shared" si="22"/>
        <v>111</v>
      </c>
      <c r="Y41" s="216">
        <f t="shared" si="23"/>
        <v>9.6875751656053839E-3</v>
      </c>
      <c r="Z41" s="173">
        <f t="shared" si="24"/>
        <v>157.20000000000002</v>
      </c>
      <c r="AA41" s="173">
        <f t="shared" si="25"/>
        <v>152</v>
      </c>
      <c r="AB41" s="207">
        <f t="shared" si="26"/>
        <v>3.307888040712479E-2</v>
      </c>
      <c r="AC41" s="175">
        <f t="shared" si="27"/>
        <v>50</v>
      </c>
      <c r="AD41" s="64">
        <v>53.6</v>
      </c>
      <c r="AE41" s="207">
        <f t="shared" si="28"/>
        <v>7.2000000000000022E-2</v>
      </c>
      <c r="AM41" s="37"/>
      <c r="AN41" s="294"/>
      <c r="AO41" s="681"/>
      <c r="AP41" s="294"/>
      <c r="AQ41" s="704"/>
      <c r="AR41" s="294"/>
      <c r="AS41" s="294"/>
      <c r="AT41" s="294"/>
      <c r="AU41" s="294"/>
      <c r="AV41" s="294"/>
      <c r="AW41" s="294"/>
      <c r="AX41" s="294"/>
      <c r="AY41" s="294"/>
      <c r="AZ41" s="294"/>
      <c r="BA41" s="294"/>
      <c r="BB41" s="294"/>
      <c r="BC41" s="294"/>
      <c r="BD41" s="294"/>
      <c r="BE41" s="294"/>
      <c r="BF41" s="294"/>
      <c r="BG41" s="294"/>
      <c r="BH41" s="294"/>
      <c r="BI41" s="294"/>
      <c r="BJ41" s="294"/>
      <c r="BK41" s="294"/>
      <c r="BR41" s="711"/>
    </row>
    <row r="42" spans="2:102" x14ac:dyDescent="0.3">
      <c r="B42" s="802"/>
      <c r="C42" s="44" t="s">
        <v>66</v>
      </c>
      <c r="D42" s="45">
        <v>77</v>
      </c>
      <c r="E42" s="305">
        <v>89</v>
      </c>
      <c r="F42" s="305">
        <v>99</v>
      </c>
      <c r="G42" s="46">
        <v>113</v>
      </c>
      <c r="H42" s="294"/>
      <c r="I42" s="294"/>
      <c r="K42" s="834"/>
      <c r="L42" s="756"/>
      <c r="M42" s="46" t="s">
        <v>64</v>
      </c>
      <c r="N42" s="175">
        <f t="shared" si="13"/>
        <v>80.600000000000009</v>
      </c>
      <c r="O42" s="64">
        <f t="shared" si="14"/>
        <v>86</v>
      </c>
      <c r="P42" s="206">
        <f t="shared" si="15"/>
        <v>6.6997518610421719E-2</v>
      </c>
      <c r="Q42" s="84">
        <f t="shared" si="29"/>
        <v>92.81</v>
      </c>
      <c r="R42" s="64">
        <f t="shared" si="17"/>
        <v>92</v>
      </c>
      <c r="S42" s="216">
        <f t="shared" si="12"/>
        <v>8.72750781165825E-3</v>
      </c>
      <c r="T42" s="78">
        <f t="shared" si="18"/>
        <v>94.222500000000011</v>
      </c>
      <c r="U42" s="64">
        <f t="shared" si="19"/>
        <v>102</v>
      </c>
      <c r="V42" s="206">
        <f t="shared" si="20"/>
        <v>8.2543978349120306E-2</v>
      </c>
      <c r="W42" s="84">
        <f t="shared" si="21"/>
        <v>112.08584000000002</v>
      </c>
      <c r="X42" s="64">
        <f t="shared" si="22"/>
        <v>108</v>
      </c>
      <c r="Y42" s="216">
        <f t="shared" si="23"/>
        <v>3.6452775836805236E-2</v>
      </c>
      <c r="Z42" s="173">
        <f t="shared" si="24"/>
        <v>157.20000000000002</v>
      </c>
      <c r="AA42" s="173">
        <f t="shared" si="25"/>
        <v>150</v>
      </c>
      <c r="AB42" s="207">
        <f t="shared" si="26"/>
        <v>4.5801526717557356E-2</v>
      </c>
      <c r="AC42" s="175">
        <f t="shared" si="27"/>
        <v>50</v>
      </c>
      <c r="AD42" s="64">
        <v>53.6</v>
      </c>
      <c r="AE42" s="207">
        <f t="shared" si="28"/>
        <v>7.2000000000000022E-2</v>
      </c>
      <c r="AM42" s="37"/>
      <c r="AN42" s="294"/>
      <c r="AO42" s="294"/>
      <c r="AP42" s="294"/>
      <c r="AQ42" s="294"/>
      <c r="AR42" s="681"/>
      <c r="AS42" s="294"/>
      <c r="AT42" s="704"/>
      <c r="AU42" s="294"/>
      <c r="AV42" s="294"/>
      <c r="AW42" s="294"/>
      <c r="AX42" s="294"/>
      <c r="AY42" s="294"/>
      <c r="AZ42" s="294"/>
      <c r="BA42" s="294"/>
      <c r="BB42" s="294"/>
      <c r="BC42" s="294"/>
      <c r="BD42" s="294"/>
      <c r="BE42" s="294"/>
      <c r="BF42" s="294"/>
      <c r="BG42" s="681"/>
      <c r="BH42" s="294"/>
      <c r="BI42" s="704"/>
      <c r="BJ42" s="294"/>
      <c r="BK42" s="294"/>
      <c r="BR42" s="711"/>
    </row>
    <row r="43" spans="2:102" x14ac:dyDescent="0.3">
      <c r="B43" s="802"/>
      <c r="C43" s="44" t="s">
        <v>67</v>
      </c>
      <c r="D43" s="45">
        <v>87</v>
      </c>
      <c r="E43" s="305">
        <v>93</v>
      </c>
      <c r="F43" s="305">
        <v>87</v>
      </c>
      <c r="G43" s="46">
        <v>112</v>
      </c>
      <c r="H43" s="294"/>
      <c r="I43" s="294"/>
      <c r="K43" s="834"/>
      <c r="L43" s="755" t="s">
        <v>50</v>
      </c>
      <c r="M43" s="43" t="s">
        <v>65</v>
      </c>
      <c r="N43" s="210">
        <f t="shared" si="13"/>
        <v>80.600000000000009</v>
      </c>
      <c r="O43" s="42">
        <f t="shared" si="14"/>
        <v>77</v>
      </c>
      <c r="P43" s="211">
        <f t="shared" si="15"/>
        <v>4.4665012406947993E-2</v>
      </c>
      <c r="Q43" s="83">
        <v>91</v>
      </c>
      <c r="R43" s="42">
        <f t="shared" si="17"/>
        <v>93</v>
      </c>
      <c r="S43" s="217">
        <f t="shared" si="12"/>
        <v>2.197802197802198E-2</v>
      </c>
      <c r="T43" s="57">
        <f t="shared" si="18"/>
        <v>94.222500000000011</v>
      </c>
      <c r="U43" s="42">
        <f t="shared" si="19"/>
        <v>105</v>
      </c>
      <c r="V43" s="211">
        <f t="shared" si="20"/>
        <v>0.11438350712409444</v>
      </c>
      <c r="W43" s="83">
        <f t="shared" si="21"/>
        <v>112.08584000000002</v>
      </c>
      <c r="X43" s="42">
        <f t="shared" si="22"/>
        <v>107</v>
      </c>
      <c r="Y43" s="217">
        <f t="shared" si="23"/>
        <v>4.5374509393871859E-2</v>
      </c>
      <c r="Z43" s="694">
        <f t="shared" si="24"/>
        <v>157.20000000000002</v>
      </c>
      <c r="AA43" s="694">
        <f t="shared" si="25"/>
        <v>150</v>
      </c>
      <c r="AB43" s="212">
        <f t="shared" si="26"/>
        <v>4.5801526717557356E-2</v>
      </c>
      <c r="AC43" s="210">
        <f t="shared" si="27"/>
        <v>50</v>
      </c>
      <c r="AD43" s="42">
        <v>54</v>
      </c>
      <c r="AE43" s="212">
        <f t="shared" si="28"/>
        <v>0.08</v>
      </c>
      <c r="AM43" s="37"/>
      <c r="AN43" s="294"/>
      <c r="AO43" s="294"/>
      <c r="AP43" s="294"/>
      <c r="AQ43" s="294"/>
      <c r="AR43" s="294"/>
      <c r="AS43" s="294"/>
      <c r="AT43" s="294"/>
      <c r="AU43" s="681"/>
      <c r="AV43" s="294"/>
      <c r="AW43" s="704"/>
      <c r="AX43" s="294"/>
      <c r="AY43" s="294"/>
      <c r="AZ43" s="294"/>
      <c r="BA43" s="294"/>
      <c r="BB43" s="294"/>
      <c r="BC43" s="294"/>
      <c r="BD43" s="294"/>
      <c r="BE43" s="294"/>
      <c r="BF43" s="294"/>
      <c r="BG43" s="294"/>
      <c r="BH43" s="294"/>
      <c r="BI43" s="294"/>
      <c r="BJ43" s="294"/>
      <c r="BK43" s="294"/>
      <c r="BR43" s="711"/>
    </row>
    <row r="44" spans="2:102" x14ac:dyDescent="0.3">
      <c r="B44" s="801" t="s">
        <v>10</v>
      </c>
      <c r="C44" s="47" t="s">
        <v>68</v>
      </c>
      <c r="D44" s="41">
        <v>77</v>
      </c>
      <c r="E44" s="42">
        <v>91</v>
      </c>
      <c r="F44" s="42">
        <v>94</v>
      </c>
      <c r="G44" s="43">
        <v>113</v>
      </c>
      <c r="H44" s="294"/>
      <c r="I44" s="294"/>
      <c r="K44" s="834"/>
      <c r="L44" s="756"/>
      <c r="M44" s="46" t="s">
        <v>66</v>
      </c>
      <c r="N44" s="175">
        <f t="shared" si="13"/>
        <v>80.600000000000009</v>
      </c>
      <c r="O44" s="64">
        <f t="shared" si="14"/>
        <v>77</v>
      </c>
      <c r="P44" s="206">
        <f t="shared" si="15"/>
        <v>4.4665012406947993E-2</v>
      </c>
      <c r="Q44" s="84">
        <v>91</v>
      </c>
      <c r="R44" s="64">
        <f t="shared" si="17"/>
        <v>89</v>
      </c>
      <c r="S44" s="216">
        <f t="shared" si="12"/>
        <v>2.197802197802198E-2</v>
      </c>
      <c r="T44" s="78">
        <f t="shared" si="18"/>
        <v>94.222500000000011</v>
      </c>
      <c r="U44" s="64">
        <f t="shared" si="19"/>
        <v>99</v>
      </c>
      <c r="V44" s="206">
        <f t="shared" si="20"/>
        <v>5.0704449574146181E-2</v>
      </c>
      <c r="W44" s="84">
        <f t="shared" si="21"/>
        <v>112.08584000000002</v>
      </c>
      <c r="X44" s="64">
        <f t="shared" si="22"/>
        <v>113</v>
      </c>
      <c r="Y44" s="216">
        <f t="shared" si="23"/>
        <v>8.1558919485278519E-3</v>
      </c>
      <c r="Z44" s="173">
        <f t="shared" si="24"/>
        <v>157.20000000000002</v>
      </c>
      <c r="AA44" s="173">
        <f t="shared" si="25"/>
        <v>152</v>
      </c>
      <c r="AB44" s="207">
        <f t="shared" si="26"/>
        <v>3.307888040712479E-2</v>
      </c>
      <c r="AC44" s="175">
        <f t="shared" si="27"/>
        <v>50</v>
      </c>
      <c r="AD44" s="64">
        <v>53.9</v>
      </c>
      <c r="AE44" s="207">
        <f t="shared" si="28"/>
        <v>7.7999999999999972E-2</v>
      </c>
      <c r="AM44" s="37"/>
      <c r="AN44" s="294"/>
      <c r="AO44" s="294"/>
      <c r="AP44" s="294"/>
      <c r="AQ44" s="294"/>
      <c r="AR44" s="294"/>
      <c r="AS44" s="294"/>
      <c r="AT44" s="294"/>
      <c r="AU44" s="294"/>
      <c r="AV44" s="294"/>
      <c r="AW44" s="294"/>
      <c r="AX44" s="681"/>
      <c r="AY44" s="294"/>
      <c r="AZ44" s="704"/>
      <c r="BA44" s="681"/>
      <c r="BB44" s="294"/>
      <c r="BC44" s="294"/>
      <c r="BD44" s="294"/>
      <c r="BE44" s="294"/>
      <c r="BF44" s="294"/>
      <c r="BG44" s="294"/>
      <c r="BH44" s="294"/>
      <c r="BI44" s="294"/>
      <c r="BJ44" s="681"/>
      <c r="BK44" s="294"/>
      <c r="BL44" s="704"/>
      <c r="BR44" s="711"/>
      <c r="BU44" s="21"/>
      <c r="CA44" s="21"/>
      <c r="CE44" s="21"/>
      <c r="CK44" s="21"/>
      <c r="CS44" s="21"/>
      <c r="CX44" s="21"/>
    </row>
    <row r="45" spans="2:102" x14ac:dyDescent="0.3">
      <c r="B45" s="802"/>
      <c r="C45" s="44" t="s">
        <v>69</v>
      </c>
      <c r="D45" s="45">
        <v>85</v>
      </c>
      <c r="E45" s="305">
        <v>91</v>
      </c>
      <c r="F45" s="305">
        <v>97</v>
      </c>
      <c r="G45" s="46">
        <v>108</v>
      </c>
      <c r="H45" s="294"/>
      <c r="I45" s="294"/>
      <c r="K45" s="834"/>
      <c r="L45" s="757"/>
      <c r="M45" s="51" t="s">
        <v>67</v>
      </c>
      <c r="N45" s="213">
        <f t="shared" si="13"/>
        <v>80.600000000000009</v>
      </c>
      <c r="O45" s="50">
        <f t="shared" si="14"/>
        <v>87</v>
      </c>
      <c r="P45" s="214">
        <f t="shared" si="15"/>
        <v>7.9404466501240584E-2</v>
      </c>
      <c r="Q45" s="85">
        <v>91</v>
      </c>
      <c r="R45" s="50">
        <f t="shared" si="17"/>
        <v>93</v>
      </c>
      <c r="S45" s="218">
        <f t="shared" si="12"/>
        <v>2.197802197802198E-2</v>
      </c>
      <c r="T45" s="58">
        <f t="shared" si="18"/>
        <v>94.222500000000011</v>
      </c>
      <c r="U45" s="50">
        <f t="shared" si="19"/>
        <v>87</v>
      </c>
      <c r="V45" s="214">
        <f t="shared" si="20"/>
        <v>7.6653665525750328E-2</v>
      </c>
      <c r="W45" s="85">
        <f t="shared" si="21"/>
        <v>112.08584000000002</v>
      </c>
      <c r="X45" s="50">
        <f t="shared" si="22"/>
        <v>112</v>
      </c>
      <c r="Y45" s="218">
        <f t="shared" si="23"/>
        <v>7.6584160853876611E-4</v>
      </c>
      <c r="Z45" s="695">
        <f t="shared" si="24"/>
        <v>157.20000000000002</v>
      </c>
      <c r="AA45" s="695">
        <f t="shared" si="25"/>
        <v>152</v>
      </c>
      <c r="AB45" s="215">
        <f t="shared" si="26"/>
        <v>3.307888040712479E-2</v>
      </c>
      <c r="AC45" s="213">
        <f t="shared" si="27"/>
        <v>50</v>
      </c>
      <c r="AD45" s="50">
        <v>53.8</v>
      </c>
      <c r="AE45" s="215">
        <f t="shared" si="28"/>
        <v>7.5999999999999943E-2</v>
      </c>
      <c r="AM45" s="37"/>
      <c r="AN45" s="294"/>
      <c r="AO45" s="294"/>
      <c r="AP45" s="294"/>
      <c r="AQ45" s="294"/>
      <c r="AR45" s="294"/>
      <c r="AS45" s="294"/>
      <c r="AT45" s="294"/>
      <c r="AU45" s="294"/>
      <c r="AV45" s="294"/>
      <c r="AW45" s="294"/>
      <c r="AX45" s="294"/>
      <c r="AY45" s="294"/>
      <c r="AZ45" s="294"/>
      <c r="BA45" s="681"/>
      <c r="BB45" s="294"/>
      <c r="BC45" s="704"/>
      <c r="BD45" s="681"/>
      <c r="BE45" s="294"/>
      <c r="BF45" s="294"/>
      <c r="BG45" s="294"/>
      <c r="BH45" s="294"/>
      <c r="BI45" s="294"/>
      <c r="BJ45" s="294"/>
      <c r="BK45" s="294"/>
      <c r="BR45" s="711"/>
    </row>
    <row r="46" spans="2:102" ht="15" thickBot="1" x14ac:dyDescent="0.35">
      <c r="B46" s="803"/>
      <c r="C46" s="52" t="s">
        <v>70</v>
      </c>
      <c r="D46" s="53">
        <v>77</v>
      </c>
      <c r="E46" s="54">
        <v>84</v>
      </c>
      <c r="F46" s="54">
        <v>91</v>
      </c>
      <c r="G46" s="55">
        <v>109</v>
      </c>
      <c r="H46" s="294"/>
      <c r="I46" s="294"/>
      <c r="K46" s="834"/>
      <c r="L46" s="756" t="s">
        <v>51</v>
      </c>
      <c r="M46" s="46" t="s">
        <v>68</v>
      </c>
      <c r="N46" s="175">
        <f t="shared" si="13"/>
        <v>80.600000000000009</v>
      </c>
      <c r="O46" s="64">
        <f t="shared" si="14"/>
        <v>77</v>
      </c>
      <c r="P46" s="206">
        <f t="shared" si="15"/>
        <v>4.4665012406947993E-2</v>
      </c>
      <c r="Q46" s="84">
        <v>92.2</v>
      </c>
      <c r="R46" s="64">
        <f t="shared" si="17"/>
        <v>91</v>
      </c>
      <c r="S46" s="216">
        <f t="shared" si="12"/>
        <v>1.3015184381778773E-2</v>
      </c>
      <c r="T46" s="78">
        <f t="shared" si="18"/>
        <v>94.222500000000011</v>
      </c>
      <c r="U46" s="64">
        <f t="shared" si="19"/>
        <v>94</v>
      </c>
      <c r="V46" s="206">
        <f t="shared" si="20"/>
        <v>2.3614317174773625E-3</v>
      </c>
      <c r="W46" s="84">
        <f t="shared" si="21"/>
        <v>112.08584000000002</v>
      </c>
      <c r="X46" s="64">
        <f t="shared" si="22"/>
        <v>113</v>
      </c>
      <c r="Y46" s="216">
        <f t="shared" si="23"/>
        <v>8.1558919485278519E-3</v>
      </c>
      <c r="Z46" s="173">
        <f t="shared" si="24"/>
        <v>157.20000000000002</v>
      </c>
      <c r="AA46" s="173">
        <f t="shared" si="25"/>
        <v>150</v>
      </c>
      <c r="AB46" s="207">
        <f t="shared" si="26"/>
        <v>4.5801526717557356E-2</v>
      </c>
      <c r="AC46" s="175">
        <f t="shared" si="27"/>
        <v>50</v>
      </c>
      <c r="AD46" s="64">
        <v>53.6</v>
      </c>
      <c r="AE46" s="207">
        <f t="shared" si="28"/>
        <v>7.2000000000000022E-2</v>
      </c>
      <c r="AM46" s="37"/>
      <c r="AN46" s="294"/>
      <c r="AO46" s="294"/>
      <c r="AP46" s="294"/>
      <c r="AQ46" s="294"/>
      <c r="AR46" s="294"/>
      <c r="AS46" s="294"/>
      <c r="AT46" s="294"/>
      <c r="AU46" s="294"/>
      <c r="AV46" s="294"/>
      <c r="AW46" s="294"/>
      <c r="AX46" s="681"/>
      <c r="AY46" s="294"/>
      <c r="AZ46" s="294"/>
      <c r="BA46" s="294"/>
      <c r="BB46" s="294"/>
      <c r="BC46" s="294"/>
      <c r="BD46" s="681"/>
      <c r="BE46" s="294"/>
      <c r="BF46" s="704"/>
      <c r="BG46" s="294"/>
      <c r="BH46" s="294"/>
      <c r="BI46" s="294"/>
      <c r="BJ46" s="294"/>
      <c r="BK46" s="294"/>
      <c r="BR46" s="711"/>
    </row>
    <row r="47" spans="2:102" x14ac:dyDescent="0.3">
      <c r="B47" s="294"/>
      <c r="C47" s="294"/>
      <c r="D47" s="294"/>
      <c r="E47" s="294"/>
      <c r="F47" s="294"/>
      <c r="G47" s="294"/>
      <c r="H47" s="294"/>
      <c r="I47" s="294"/>
      <c r="K47" s="834"/>
      <c r="L47" s="756"/>
      <c r="M47" s="46" t="s">
        <v>69</v>
      </c>
      <c r="N47" s="175">
        <f t="shared" si="13"/>
        <v>80.600000000000009</v>
      </c>
      <c r="O47" s="64">
        <f t="shared" si="14"/>
        <v>85</v>
      </c>
      <c r="P47" s="206">
        <f t="shared" si="15"/>
        <v>5.4590570719602868E-2</v>
      </c>
      <c r="Q47" s="84">
        <v>92.2</v>
      </c>
      <c r="R47" s="64">
        <f t="shared" si="17"/>
        <v>91</v>
      </c>
      <c r="S47" s="216">
        <f t="shared" si="12"/>
        <v>1.3015184381778773E-2</v>
      </c>
      <c r="T47" s="78">
        <f t="shared" si="18"/>
        <v>94.222500000000011</v>
      </c>
      <c r="U47" s="64">
        <f t="shared" si="19"/>
        <v>97</v>
      </c>
      <c r="V47" s="206">
        <f t="shared" si="20"/>
        <v>2.9478097057496766E-2</v>
      </c>
      <c r="W47" s="84">
        <f t="shared" si="21"/>
        <v>112.08584000000002</v>
      </c>
      <c r="X47" s="64">
        <f t="shared" si="22"/>
        <v>108</v>
      </c>
      <c r="Y47" s="216">
        <f t="shared" si="23"/>
        <v>3.6452775836805236E-2</v>
      </c>
      <c r="Z47" s="173">
        <f t="shared" si="24"/>
        <v>157.20000000000002</v>
      </c>
      <c r="AA47" s="173">
        <f t="shared" si="25"/>
        <v>150</v>
      </c>
      <c r="AB47" s="207">
        <f t="shared" si="26"/>
        <v>4.5801526717557356E-2</v>
      </c>
      <c r="AC47" s="175">
        <f t="shared" si="27"/>
        <v>50</v>
      </c>
      <c r="AD47" s="64">
        <v>53.7</v>
      </c>
      <c r="AE47" s="207">
        <f t="shared" si="28"/>
        <v>7.4000000000000052E-2</v>
      </c>
      <c r="AM47" s="37"/>
      <c r="AN47" s="294"/>
      <c r="AO47" s="294"/>
      <c r="AP47" s="294"/>
      <c r="AQ47" s="294"/>
      <c r="AR47" s="294"/>
      <c r="AS47" s="294"/>
      <c r="AT47" s="294"/>
      <c r="AU47" s="294"/>
      <c r="AV47" s="294"/>
      <c r="AW47" s="294"/>
      <c r="AX47" s="294"/>
      <c r="AY47" s="294"/>
      <c r="AZ47" s="294"/>
      <c r="BA47" s="294"/>
      <c r="BB47" s="294"/>
      <c r="BC47" s="294"/>
      <c r="BD47" s="294"/>
      <c r="BE47" s="294"/>
      <c r="BF47" s="294"/>
      <c r="BG47" s="294"/>
      <c r="BH47" s="294"/>
      <c r="BI47" s="294"/>
      <c r="BJ47" s="294"/>
      <c r="BK47" s="294"/>
    </row>
    <row r="48" spans="2:102" ht="15" thickBot="1" x14ac:dyDescent="0.35">
      <c r="B48" s="294"/>
      <c r="C48" s="294"/>
      <c r="D48" s="294"/>
      <c r="E48" s="294"/>
      <c r="F48" s="294"/>
      <c r="G48" s="294"/>
      <c r="H48" s="294"/>
      <c r="I48" s="294"/>
      <c r="K48" s="839"/>
      <c r="L48" s="761"/>
      <c r="M48" s="55" t="s">
        <v>70</v>
      </c>
      <c r="N48" s="178">
        <f t="shared" si="13"/>
        <v>80.600000000000009</v>
      </c>
      <c r="O48" s="54">
        <f t="shared" si="14"/>
        <v>77</v>
      </c>
      <c r="P48" s="208">
        <f t="shared" si="15"/>
        <v>4.4665012406947993E-2</v>
      </c>
      <c r="Q48" s="86">
        <v>92.2</v>
      </c>
      <c r="R48" s="54">
        <f t="shared" si="17"/>
        <v>84</v>
      </c>
      <c r="S48" s="219">
        <f t="shared" si="12"/>
        <v>8.8937093275488099E-2</v>
      </c>
      <c r="T48" s="59">
        <f t="shared" si="18"/>
        <v>94.222500000000011</v>
      </c>
      <c r="U48" s="54">
        <f t="shared" si="19"/>
        <v>91</v>
      </c>
      <c r="V48" s="208">
        <f t="shared" si="20"/>
        <v>3.4200960492451492E-2</v>
      </c>
      <c r="W48" s="86">
        <f t="shared" si="21"/>
        <v>112.08584000000002</v>
      </c>
      <c r="X48" s="54">
        <f t="shared" si="22"/>
        <v>109</v>
      </c>
      <c r="Y48" s="219">
        <f t="shared" si="23"/>
        <v>2.753104227973862E-2</v>
      </c>
      <c r="Z48" s="696">
        <f t="shared" si="24"/>
        <v>157.20000000000002</v>
      </c>
      <c r="AA48" s="696">
        <f t="shared" si="25"/>
        <v>154</v>
      </c>
      <c r="AB48" s="209">
        <f t="shared" si="26"/>
        <v>2.0356234096692218E-2</v>
      </c>
      <c r="AC48" s="178">
        <f t="shared" si="27"/>
        <v>50</v>
      </c>
      <c r="AD48" s="54">
        <v>53.8</v>
      </c>
      <c r="AE48" s="209">
        <f t="shared" si="28"/>
        <v>7.5999999999999943E-2</v>
      </c>
      <c r="AM48" s="37"/>
      <c r="AN48" s="294"/>
      <c r="AO48" s="681"/>
      <c r="AP48" s="294"/>
      <c r="AQ48" s="704"/>
      <c r="AR48" s="681"/>
      <c r="AS48" s="294"/>
      <c r="AT48" s="704"/>
      <c r="AU48" s="681"/>
      <c r="AV48" s="294"/>
      <c r="AW48" s="704"/>
      <c r="AX48" s="681"/>
      <c r="AY48" s="294"/>
      <c r="AZ48" s="704"/>
      <c r="BA48" s="681"/>
      <c r="BB48" s="294"/>
      <c r="BC48" s="704"/>
      <c r="BD48" s="681"/>
      <c r="BE48" s="294"/>
      <c r="BF48" s="704"/>
      <c r="BG48" s="294"/>
      <c r="BH48" s="294"/>
      <c r="BI48" s="294"/>
      <c r="BJ48" s="294"/>
      <c r="BK48" s="294"/>
    </row>
    <row r="49" spans="1:102" ht="15" thickBot="1" x14ac:dyDescent="0.35">
      <c r="B49" s="294"/>
      <c r="C49" s="294"/>
      <c r="D49" s="294"/>
      <c r="E49" s="294"/>
      <c r="F49" s="294"/>
      <c r="G49" s="294"/>
      <c r="H49" s="294"/>
      <c r="I49" s="294"/>
      <c r="K49" s="6"/>
      <c r="L49" s="6"/>
      <c r="M49" s="26"/>
      <c r="N49" s="38"/>
      <c r="O49" s="26"/>
      <c r="P49" s="423"/>
      <c r="Q49" s="38"/>
      <c r="R49" s="26"/>
      <c r="S49" s="423"/>
      <c r="T49" s="38"/>
      <c r="U49" s="26"/>
      <c r="V49" s="423"/>
      <c r="W49" s="38"/>
      <c r="X49" s="26"/>
      <c r="Y49" s="423"/>
      <c r="Z49" s="38"/>
      <c r="AA49" s="26"/>
      <c r="AB49" s="423"/>
      <c r="AJ49" s="37"/>
      <c r="AK49" s="294"/>
      <c r="AL49" s="294"/>
      <c r="AM49" s="294"/>
      <c r="AN49" s="294"/>
      <c r="AO49" s="294"/>
      <c r="AP49" s="294"/>
      <c r="AQ49" s="294"/>
      <c r="AR49" s="294"/>
      <c r="AS49" s="294"/>
      <c r="AT49" s="294"/>
      <c r="AU49" s="294"/>
      <c r="AV49" s="294"/>
      <c r="AW49" s="294"/>
      <c r="AX49" s="294"/>
      <c r="AY49" s="294"/>
      <c r="AZ49" s="294"/>
      <c r="BA49" s="294"/>
      <c r="BB49" s="294"/>
      <c r="BC49" s="294"/>
      <c r="BD49" s="681"/>
      <c r="BE49" s="294"/>
      <c r="BF49" s="704"/>
      <c r="BG49" s="681"/>
      <c r="BH49" s="294"/>
      <c r="BI49" s="704"/>
    </row>
    <row r="50" spans="1:102" x14ac:dyDescent="0.3">
      <c r="A50" s="338"/>
      <c r="B50" s="844"/>
      <c r="C50" s="845"/>
      <c r="D50" s="850" t="s">
        <v>71</v>
      </c>
      <c r="E50" s="850"/>
      <c r="F50" s="850"/>
      <c r="G50" s="850"/>
      <c r="H50" s="850"/>
      <c r="I50" s="851"/>
      <c r="K50" s="6"/>
      <c r="L50" s="6"/>
      <c r="M50" s="26"/>
      <c r="N50" s="38"/>
      <c r="O50" s="26"/>
      <c r="P50" s="423"/>
      <c r="Q50" s="38"/>
      <c r="R50" s="26"/>
      <c r="S50" s="423"/>
      <c r="T50" s="38"/>
      <c r="U50" s="26"/>
      <c r="V50" s="423"/>
      <c r="W50" s="38"/>
      <c r="X50" s="26"/>
      <c r="Y50" s="423"/>
      <c r="Z50" s="38"/>
      <c r="AA50" s="26"/>
      <c r="AB50" s="423"/>
      <c r="AJ50" s="37"/>
      <c r="AK50" s="294"/>
      <c r="AL50" s="681"/>
      <c r="AM50" s="294"/>
      <c r="AN50" s="294"/>
      <c r="AO50" s="681"/>
      <c r="AP50" s="294"/>
      <c r="AQ50" s="294"/>
      <c r="AR50" s="681"/>
      <c r="AS50" s="294"/>
      <c r="AT50" s="294"/>
      <c r="AU50" s="681"/>
      <c r="AV50" s="294"/>
      <c r="AW50" s="294"/>
      <c r="AX50" s="681"/>
      <c r="AY50" s="294"/>
      <c r="AZ50" s="294"/>
      <c r="BA50" s="681"/>
      <c r="BB50" s="294"/>
      <c r="BC50" s="294"/>
      <c r="BD50" s="681"/>
      <c r="BE50" s="294"/>
      <c r="BF50" s="294"/>
      <c r="BG50" s="681"/>
      <c r="BH50" s="294"/>
      <c r="BI50" s="704"/>
    </row>
    <row r="51" spans="1:102" x14ac:dyDescent="0.3">
      <c r="B51" s="714" t="s">
        <v>46</v>
      </c>
      <c r="C51" s="715" t="s">
        <v>55</v>
      </c>
      <c r="D51" s="56" t="s">
        <v>19</v>
      </c>
      <c r="E51" s="56" t="s">
        <v>46</v>
      </c>
      <c r="F51" s="56" t="s">
        <v>33</v>
      </c>
      <c r="G51" s="56" t="s">
        <v>5</v>
      </c>
      <c r="H51" s="56" t="s">
        <v>3</v>
      </c>
      <c r="I51" s="128" t="s">
        <v>6</v>
      </c>
      <c r="K51" s="6"/>
      <c r="L51" s="6"/>
      <c r="M51" s="26"/>
      <c r="N51" s="38"/>
      <c r="O51" s="26"/>
      <c r="P51" s="423"/>
      <c r="Q51" s="38"/>
      <c r="R51" s="26"/>
      <c r="S51" s="423"/>
      <c r="T51" s="38"/>
      <c r="U51" s="26"/>
      <c r="V51" s="423"/>
      <c r="W51" s="38"/>
      <c r="X51" s="26"/>
      <c r="Y51" s="423"/>
      <c r="Z51" s="38"/>
      <c r="AA51" s="26"/>
      <c r="AB51" s="423"/>
      <c r="AJ51" s="37"/>
      <c r="AK51" s="294"/>
      <c r="AL51" s="681"/>
      <c r="AM51" s="294"/>
      <c r="AN51" s="704"/>
      <c r="AO51" s="681"/>
      <c r="AP51" s="294"/>
      <c r="AQ51" s="704"/>
      <c r="AR51" s="681"/>
      <c r="AS51" s="294"/>
      <c r="AT51" s="704"/>
      <c r="AU51" s="681"/>
      <c r="AV51" s="294"/>
      <c r="AW51" s="704"/>
      <c r="AX51" s="681"/>
      <c r="AY51" s="294"/>
      <c r="AZ51" s="704"/>
      <c r="BA51" s="681"/>
      <c r="BB51" s="294"/>
      <c r="BC51" s="704"/>
      <c r="BD51" s="681"/>
      <c r="BE51" s="294"/>
      <c r="BF51" s="704"/>
      <c r="BG51" s="681"/>
      <c r="BH51" s="294"/>
      <c r="BI51" s="704"/>
    </row>
    <row r="52" spans="1:102" x14ac:dyDescent="0.3">
      <c r="B52" s="801" t="s">
        <v>25</v>
      </c>
      <c r="C52" s="47" t="s">
        <v>59</v>
      </c>
      <c r="D52" s="57">
        <f t="shared" ref="D52:D63" si="30">D35*T$20</f>
        <v>1.9851116625310175</v>
      </c>
      <c r="E52" s="57">
        <f>E35*T$24</f>
        <v>13.435612427479263</v>
      </c>
      <c r="F52" s="57">
        <f t="shared" ref="F52:F63" si="31">F35*T$25</f>
        <v>14.424978110323968</v>
      </c>
      <c r="G52" s="57">
        <f t="shared" ref="G52:G63" si="32">G35*T$26</f>
        <v>33.758946892845699</v>
      </c>
      <c r="H52" s="42">
        <v>154</v>
      </c>
      <c r="I52" s="43">
        <v>49</v>
      </c>
      <c r="K52" s="6"/>
      <c r="L52" s="6"/>
      <c r="M52" s="26"/>
      <c r="N52" s="38"/>
      <c r="O52" s="26"/>
      <c r="P52" s="423"/>
      <c r="Q52" s="38"/>
      <c r="R52" s="26"/>
      <c r="S52" s="423"/>
      <c r="T52" s="38"/>
      <c r="U52" s="26"/>
      <c r="V52" s="423"/>
      <c r="W52" s="38"/>
      <c r="X52" s="26"/>
      <c r="Y52" s="423"/>
      <c r="Z52" s="38"/>
      <c r="AA52" s="26"/>
      <c r="AB52" s="423"/>
      <c r="AJ52" s="37"/>
      <c r="AK52" s="294"/>
      <c r="AL52" s="681"/>
      <c r="AM52" s="294"/>
      <c r="AN52" s="704"/>
      <c r="AO52" s="681"/>
      <c r="AP52" s="294"/>
      <c r="AQ52" s="704"/>
      <c r="AR52" s="681"/>
      <c r="AS52" s="294"/>
      <c r="AT52" s="704"/>
      <c r="AU52" s="681"/>
      <c r="AV52" s="294"/>
      <c r="AW52" s="704"/>
      <c r="AX52" s="681"/>
      <c r="AY52" s="294"/>
      <c r="AZ52" s="704"/>
      <c r="BA52" s="681"/>
      <c r="BB52" s="294"/>
      <c r="BC52" s="704"/>
      <c r="BD52" s="681"/>
      <c r="BE52" s="294"/>
      <c r="BF52" s="704"/>
      <c r="BG52" s="681"/>
      <c r="BH52" s="294"/>
      <c r="BI52" s="704"/>
    </row>
    <row r="53" spans="1:102" ht="15" thickBot="1" x14ac:dyDescent="0.35">
      <c r="B53" s="802"/>
      <c r="C53" s="44" t="s">
        <v>60</v>
      </c>
      <c r="D53" s="717">
        <f t="shared" si="30"/>
        <v>2</v>
      </c>
      <c r="E53" s="717">
        <f>E36*T$24</f>
        <v>13.287968334869602</v>
      </c>
      <c r="F53" s="717">
        <f t="shared" si="31"/>
        <v>15.253999840802356</v>
      </c>
      <c r="G53" s="717">
        <f t="shared" si="32"/>
        <v>32.563939923187441</v>
      </c>
      <c r="H53" s="305">
        <v>150</v>
      </c>
      <c r="I53" s="46">
        <v>47.7</v>
      </c>
      <c r="K53" s="6"/>
      <c r="L53" s="6"/>
      <c r="M53" s="26"/>
      <c r="N53" s="38"/>
      <c r="O53" s="26"/>
      <c r="P53" s="423"/>
      <c r="Q53" s="38"/>
      <c r="R53" s="26"/>
      <c r="S53" s="423"/>
      <c r="T53" s="38"/>
      <c r="U53" s="26"/>
      <c r="V53" s="423"/>
      <c r="W53" s="38"/>
      <c r="X53" s="26"/>
      <c r="Y53" s="423"/>
      <c r="Z53" s="38"/>
      <c r="AA53" s="26"/>
      <c r="AB53" s="423"/>
      <c r="AJ53" s="37"/>
      <c r="AK53" s="294"/>
      <c r="AL53" s="681"/>
      <c r="AM53" s="294"/>
      <c r="AN53" s="294"/>
      <c r="AO53" s="681"/>
      <c r="AP53" s="294"/>
      <c r="AQ53" s="294"/>
      <c r="AR53" s="681"/>
      <c r="AS53" s="294"/>
      <c r="AT53" s="294"/>
      <c r="AU53" s="681"/>
      <c r="AV53" s="294"/>
      <c r="AW53" s="294"/>
      <c r="AX53" s="681"/>
      <c r="AY53" s="294"/>
      <c r="AZ53" s="294"/>
      <c r="BA53" s="681"/>
      <c r="BB53" s="294"/>
      <c r="BC53" s="294"/>
      <c r="BD53" s="681"/>
      <c r="BE53" s="294"/>
      <c r="BF53" s="294"/>
      <c r="BG53" s="681"/>
      <c r="BH53" s="294"/>
    </row>
    <row r="54" spans="1:102" ht="15" thickBot="1" x14ac:dyDescent="0.35">
      <c r="B54" s="843"/>
      <c r="C54" s="48" t="s">
        <v>61</v>
      </c>
      <c r="D54" s="58">
        <f t="shared" si="30"/>
        <v>1.935483870967742</v>
      </c>
      <c r="E54" s="58">
        <f>E37*T$24</f>
        <v>12.992680149650278</v>
      </c>
      <c r="F54" s="58">
        <f t="shared" si="31"/>
        <v>15.917217225185068</v>
      </c>
      <c r="G54" s="58">
        <f t="shared" si="32"/>
        <v>0</v>
      </c>
      <c r="H54" s="50">
        <v>152</v>
      </c>
      <c r="I54" s="51">
        <v>47.6</v>
      </c>
      <c r="K54" s="4"/>
      <c r="L54" s="745" t="s">
        <v>167</v>
      </c>
      <c r="M54" s="746"/>
      <c r="N54" s="747"/>
      <c r="O54" s="26"/>
      <c r="P54" s="423"/>
      <c r="Q54" s="38"/>
      <c r="R54" s="26"/>
      <c r="S54" s="423"/>
      <c r="T54" s="38"/>
      <c r="U54" s="26"/>
      <c r="V54" s="423"/>
      <c r="W54" s="38"/>
      <c r="X54" s="26"/>
      <c r="Y54" s="423"/>
      <c r="Z54" s="38"/>
      <c r="AA54" s="26"/>
      <c r="AB54" s="423"/>
      <c r="AJ54" s="37"/>
      <c r="AK54" s="294"/>
      <c r="AL54" s="681"/>
      <c r="AM54" s="294"/>
      <c r="AN54" s="704"/>
      <c r="AO54" s="294"/>
      <c r="AP54" s="294"/>
      <c r="AQ54" s="294"/>
      <c r="AR54" s="294"/>
      <c r="AS54" s="294"/>
      <c r="AT54" s="294"/>
      <c r="AU54" s="294"/>
      <c r="AV54" s="294"/>
      <c r="AW54" s="294"/>
      <c r="AX54" s="294"/>
      <c r="AY54" s="294"/>
      <c r="AZ54" s="294"/>
      <c r="BA54" s="294"/>
      <c r="BB54" s="294"/>
      <c r="BC54" s="294"/>
      <c r="BD54" s="294"/>
      <c r="BE54" s="294"/>
      <c r="BF54" s="294"/>
      <c r="BG54" s="294"/>
      <c r="BH54" s="294"/>
    </row>
    <row r="55" spans="1:102" ht="15" thickBot="1" x14ac:dyDescent="0.35">
      <c r="B55" s="802" t="s">
        <v>24</v>
      </c>
      <c r="C55" s="44" t="s">
        <v>62</v>
      </c>
      <c r="D55" s="717">
        <f t="shared" si="30"/>
        <v>1.9602977667493797</v>
      </c>
      <c r="E55" s="717">
        <f>E38*T$23</f>
        <v>12.545868081880213</v>
      </c>
      <c r="F55" s="717">
        <f t="shared" si="31"/>
        <v>16.414630263472102</v>
      </c>
      <c r="G55" s="717">
        <f t="shared" si="32"/>
        <v>33.758946892845699</v>
      </c>
      <c r="H55" s="305">
        <v>152</v>
      </c>
      <c r="I55" s="46">
        <v>47.8</v>
      </c>
      <c r="K55" s="6"/>
      <c r="L55" s="287" t="s">
        <v>115</v>
      </c>
      <c r="M55" s="288" t="s">
        <v>165</v>
      </c>
      <c r="N55" s="289" t="s">
        <v>164</v>
      </c>
      <c r="O55" s="26"/>
      <c r="P55" s="423"/>
      <c r="Q55" s="38"/>
      <c r="R55" s="26"/>
      <c r="S55" s="423"/>
      <c r="T55" s="38"/>
      <c r="U55" s="26"/>
      <c r="V55" s="423"/>
      <c r="W55" s="38"/>
      <c r="X55" s="26"/>
      <c r="Y55" s="423"/>
      <c r="Z55" s="38"/>
      <c r="AA55" s="26"/>
      <c r="AB55" s="423"/>
      <c r="AJ55" s="37"/>
      <c r="AK55" s="294"/>
      <c r="AL55" s="294"/>
      <c r="AM55" s="294"/>
      <c r="AN55" s="294"/>
      <c r="AO55" s="681"/>
      <c r="AP55" s="294"/>
      <c r="AQ55" s="704"/>
      <c r="AR55" s="294"/>
      <c r="AS55" s="294"/>
      <c r="AT55" s="294"/>
      <c r="AU55" s="294"/>
      <c r="AV55" s="294"/>
      <c r="AW55" s="294"/>
      <c r="AX55" s="294"/>
      <c r="AY55" s="294"/>
      <c r="AZ55" s="294"/>
      <c r="BA55" s="294"/>
      <c r="BB55" s="294"/>
      <c r="BC55" s="294"/>
      <c r="BD55" s="681"/>
      <c r="BE55" s="294"/>
      <c r="BF55" s="704"/>
      <c r="BG55" s="294"/>
      <c r="BH55" s="294"/>
      <c r="BO55" s="37"/>
      <c r="BP55" s="791"/>
      <c r="BQ55" s="791"/>
      <c r="BR55" s="791"/>
      <c r="BS55" s="791"/>
      <c r="BT55" s="791"/>
      <c r="BV55" s="791"/>
      <c r="BW55" s="791"/>
      <c r="BX55" s="791"/>
      <c r="BY55" s="791"/>
      <c r="BZ55" s="791"/>
      <c r="CB55" s="791"/>
      <c r="CC55" s="791"/>
      <c r="CD55" s="791"/>
      <c r="CE55" s="791"/>
      <c r="CF55" s="791"/>
      <c r="CH55" s="791"/>
      <c r="CI55" s="791"/>
      <c r="CJ55" s="791"/>
      <c r="CK55" s="791"/>
      <c r="CL55" s="791"/>
      <c r="CN55" s="791"/>
      <c r="CO55" s="791"/>
      <c r="CP55" s="791"/>
      <c r="CQ55" s="791"/>
      <c r="CR55" s="791"/>
      <c r="CT55" s="791"/>
      <c r="CU55" s="791"/>
      <c r="CV55" s="791"/>
      <c r="CW55" s="791"/>
      <c r="CX55" s="791"/>
    </row>
    <row r="56" spans="1:102" x14ac:dyDescent="0.3">
      <c r="B56" s="802"/>
      <c r="C56" s="44" t="s">
        <v>63</v>
      </c>
      <c r="D56" s="717">
        <f t="shared" si="30"/>
        <v>2.1339950372208438</v>
      </c>
      <c r="E56" s="717">
        <f>E39*T$23</f>
        <v>11.864027425256289</v>
      </c>
      <c r="F56" s="717">
        <f t="shared" si="31"/>
        <v>14.756586802515324</v>
      </c>
      <c r="G56" s="717">
        <f t="shared" si="32"/>
        <v>33.161443408016574</v>
      </c>
      <c r="H56" s="305">
        <v>152</v>
      </c>
      <c r="I56" s="46">
        <v>47.6</v>
      </c>
      <c r="K56" s="758" t="s">
        <v>163</v>
      </c>
      <c r="L56" s="124" t="s">
        <v>19</v>
      </c>
      <c r="M56" s="64">
        <v>0.1</v>
      </c>
      <c r="N56" s="207">
        <f>AVERAGE(P37:P48)</f>
        <v>4.2183622828784156E-2</v>
      </c>
      <c r="O56" s="26"/>
      <c r="P56" s="423"/>
      <c r="Q56" s="38"/>
      <c r="R56" s="26"/>
      <c r="S56" s="423"/>
      <c r="T56" s="38"/>
      <c r="U56" s="26"/>
      <c r="V56" s="423"/>
      <c r="W56" s="38"/>
      <c r="X56" s="26"/>
      <c r="Y56" s="423"/>
      <c r="Z56" s="38"/>
      <c r="AA56" s="26"/>
      <c r="AB56" s="423"/>
      <c r="AJ56" s="37"/>
      <c r="AK56" s="294"/>
      <c r="AL56" s="294"/>
      <c r="AM56" s="294"/>
      <c r="AN56" s="294"/>
      <c r="AO56" s="294"/>
      <c r="AP56" s="294"/>
      <c r="AQ56" s="294"/>
      <c r="AR56" s="681"/>
      <c r="AS56" s="294"/>
      <c r="AT56" s="704"/>
      <c r="AU56" s="294"/>
      <c r="AV56" s="294"/>
      <c r="AW56" s="294"/>
      <c r="AX56" s="294"/>
      <c r="AY56" s="294"/>
      <c r="AZ56" s="294"/>
      <c r="BA56" s="294"/>
      <c r="BB56" s="294"/>
      <c r="BC56" s="294"/>
      <c r="BD56" s="294"/>
      <c r="BE56" s="294"/>
      <c r="BF56" s="294"/>
      <c r="BG56" s="294"/>
      <c r="BH56" s="294"/>
      <c r="BO56" s="37"/>
    </row>
    <row r="57" spans="1:102" x14ac:dyDescent="0.3">
      <c r="B57" s="802"/>
      <c r="C57" s="44" t="s">
        <v>64</v>
      </c>
      <c r="D57" s="717">
        <f t="shared" si="30"/>
        <v>2.1339950372208438</v>
      </c>
      <c r="E57" s="717">
        <f>E40*T$23</f>
        <v>12.545868081880213</v>
      </c>
      <c r="F57" s="717">
        <f t="shared" si="31"/>
        <v>16.912043301759134</v>
      </c>
      <c r="G57" s="717">
        <f t="shared" si="32"/>
        <v>32.265188180772881</v>
      </c>
      <c r="H57" s="305">
        <v>150</v>
      </c>
      <c r="I57" s="46">
        <v>47.5</v>
      </c>
      <c r="K57" s="759"/>
      <c r="L57" s="124" t="s">
        <v>46</v>
      </c>
      <c r="M57" s="64">
        <v>0.1</v>
      </c>
      <c r="N57" s="207">
        <f>AVERAGE(S37:S48)</f>
        <v>2.6273641219756488E-2</v>
      </c>
      <c r="O57" s="26"/>
      <c r="P57" s="423"/>
      <c r="Q57" s="38"/>
      <c r="R57" s="26"/>
      <c r="S57" s="423"/>
      <c r="T57" s="38"/>
      <c r="U57" s="26"/>
      <c r="V57" s="423"/>
      <c r="W57" s="38"/>
      <c r="X57" s="26"/>
      <c r="Y57" s="423"/>
      <c r="Z57" s="38"/>
      <c r="AA57" s="26"/>
      <c r="AB57" s="423"/>
      <c r="AI57" s="21"/>
      <c r="AJ57" s="37"/>
      <c r="AK57" s="294"/>
      <c r="AL57" s="294"/>
      <c r="AM57" s="294"/>
      <c r="AN57" s="294"/>
      <c r="AO57" s="294"/>
      <c r="AP57" s="294"/>
      <c r="AQ57" s="294"/>
      <c r="AR57" s="294"/>
      <c r="AS57" s="294"/>
      <c r="AT57" s="294"/>
      <c r="AU57" s="681"/>
      <c r="AV57" s="294"/>
      <c r="AW57" s="704"/>
      <c r="AX57" s="681"/>
      <c r="AY57" s="294"/>
      <c r="AZ57" s="294"/>
      <c r="BA57" s="294"/>
      <c r="BB57" s="294"/>
      <c r="BC57" s="294"/>
      <c r="BD57" s="294"/>
      <c r="BE57" s="294"/>
      <c r="BF57" s="294"/>
      <c r="BG57" s="681"/>
      <c r="BH57" s="294"/>
      <c r="BI57" s="704"/>
      <c r="BL57" s="21"/>
      <c r="BO57" s="37"/>
      <c r="BP57" s="21"/>
    </row>
    <row r="58" spans="1:102" x14ac:dyDescent="0.3">
      <c r="B58" s="801" t="s">
        <v>13</v>
      </c>
      <c r="C58" s="47" t="s">
        <v>65</v>
      </c>
      <c r="D58" s="57">
        <f t="shared" si="30"/>
        <v>1.9106699751861043</v>
      </c>
      <c r="E58" s="57">
        <f>E41*T$22</f>
        <v>14.23909061523543</v>
      </c>
      <c r="F58" s="57">
        <f t="shared" si="31"/>
        <v>17.409456340046169</v>
      </c>
      <c r="G58" s="57">
        <f t="shared" si="32"/>
        <v>31.966436438358315</v>
      </c>
      <c r="H58" s="42">
        <v>150</v>
      </c>
      <c r="I58" s="43">
        <v>48.8</v>
      </c>
      <c r="K58" s="759"/>
      <c r="L58" s="124" t="s">
        <v>47</v>
      </c>
      <c r="M58" s="64">
        <v>0.1</v>
      </c>
      <c r="N58" s="207">
        <f>AVERAGE(V37:V48)</f>
        <v>5.1297018581902769E-2</v>
      </c>
      <c r="O58" s="26"/>
      <c r="P58" s="423"/>
      <c r="Q58" s="38"/>
      <c r="R58" s="26"/>
      <c r="S58" s="423"/>
      <c r="T58" s="38"/>
      <c r="U58" s="26"/>
      <c r="V58" s="423"/>
      <c r="W58" s="38"/>
      <c r="X58" s="26"/>
      <c r="Y58" s="423"/>
      <c r="Z58" s="38"/>
      <c r="AA58" s="26"/>
      <c r="AB58" s="423"/>
      <c r="AJ58" s="37"/>
      <c r="AK58" s="294"/>
      <c r="AL58" s="294"/>
      <c r="AM58" s="294"/>
      <c r="AN58" s="294"/>
      <c r="AO58" s="294"/>
      <c r="AP58" s="294"/>
      <c r="AQ58" s="294"/>
      <c r="AR58" s="294"/>
      <c r="AS58" s="294"/>
      <c r="AT58" s="294"/>
      <c r="AU58" s="294"/>
      <c r="AV58" s="294"/>
      <c r="AW58" s="294"/>
      <c r="AX58" s="681"/>
      <c r="AY58" s="294"/>
      <c r="AZ58" s="704"/>
      <c r="BA58" s="681"/>
      <c r="BB58" s="294"/>
      <c r="BC58" s="294"/>
      <c r="BD58" s="294"/>
      <c r="BE58" s="294"/>
      <c r="BF58" s="294"/>
      <c r="BG58" s="294"/>
      <c r="BH58" s="294"/>
      <c r="BO58" s="37"/>
    </row>
    <row r="59" spans="1:102" x14ac:dyDescent="0.3">
      <c r="B59" s="802"/>
      <c r="C59" s="44" t="s">
        <v>66</v>
      </c>
      <c r="D59" s="717">
        <f t="shared" si="30"/>
        <v>1.9106699751861043</v>
      </c>
      <c r="E59" s="717">
        <f>E42*T$22</f>
        <v>13.626656610279067</v>
      </c>
      <c r="F59" s="717">
        <f t="shared" si="31"/>
        <v>16.414630263472102</v>
      </c>
      <c r="G59" s="717">
        <f t="shared" si="32"/>
        <v>33.758946892845699</v>
      </c>
      <c r="H59" s="305">
        <v>152</v>
      </c>
      <c r="I59" s="46">
        <v>49.6</v>
      </c>
      <c r="K59" s="759"/>
      <c r="L59" s="124" t="s">
        <v>5</v>
      </c>
      <c r="M59" s="64">
        <v>0.1</v>
      </c>
      <c r="N59" s="207">
        <f>AVERAGE(Y37:Y48)</f>
        <v>0.10136826084960122</v>
      </c>
      <c r="O59" s="26"/>
      <c r="P59" s="423"/>
      <c r="Q59" s="38"/>
      <c r="R59" s="26"/>
      <c r="S59" s="423"/>
      <c r="T59" s="38"/>
      <c r="U59" s="26"/>
      <c r="V59" s="423"/>
      <c r="W59" s="38"/>
      <c r="X59" s="26"/>
      <c r="Y59" s="423"/>
      <c r="Z59" s="38"/>
      <c r="AA59" s="26"/>
      <c r="AB59" s="423"/>
      <c r="AJ59" s="37"/>
      <c r="AK59" s="294"/>
      <c r="AL59" s="294"/>
      <c r="AM59" s="294"/>
      <c r="AN59" s="294"/>
      <c r="AO59" s="294"/>
      <c r="AP59" s="294"/>
      <c r="AQ59" s="294"/>
      <c r="AR59" s="294"/>
      <c r="AS59" s="294"/>
      <c r="AT59" s="294"/>
      <c r="AU59" s="681"/>
      <c r="AV59" s="294"/>
      <c r="AW59" s="294"/>
      <c r="AX59" s="294"/>
      <c r="AY59" s="294"/>
      <c r="AZ59" s="294"/>
      <c r="BA59" s="681"/>
      <c r="BB59" s="294"/>
      <c r="BC59" s="704"/>
      <c r="BD59" s="294"/>
      <c r="BE59" s="294"/>
      <c r="BF59" s="294"/>
      <c r="BG59" s="294"/>
      <c r="BH59" s="294"/>
      <c r="BO59" s="37"/>
    </row>
    <row r="60" spans="1:102" x14ac:dyDescent="0.3">
      <c r="B60" s="843"/>
      <c r="C60" s="48" t="s">
        <v>67</v>
      </c>
      <c r="D60" s="58">
        <f t="shared" si="30"/>
        <v>2.1588089330024816</v>
      </c>
      <c r="E60" s="58">
        <f>E43*T$22</f>
        <v>14.23909061523543</v>
      </c>
      <c r="F60" s="58">
        <f t="shared" si="31"/>
        <v>14.424978110323968</v>
      </c>
      <c r="G60" s="58">
        <f t="shared" si="32"/>
        <v>33.460195150431133</v>
      </c>
      <c r="H60" s="50">
        <v>152</v>
      </c>
      <c r="I60" s="51">
        <v>50.1</v>
      </c>
      <c r="K60" s="760"/>
      <c r="L60" s="124" t="s">
        <v>160</v>
      </c>
      <c r="M60" s="64">
        <v>1.25</v>
      </c>
      <c r="N60" s="207">
        <f>AVERAGE(AB37:AB48)</f>
        <v>3.6259541984732926E-2</v>
      </c>
      <c r="O60" s="26"/>
      <c r="P60" s="423"/>
      <c r="Q60" s="38"/>
      <c r="R60" s="26"/>
      <c r="S60" s="423"/>
      <c r="T60" s="38"/>
      <c r="U60" s="26"/>
      <c r="V60" s="423"/>
      <c r="W60" s="38"/>
      <c r="X60" s="26"/>
      <c r="Y60" s="423"/>
      <c r="Z60" s="38"/>
      <c r="AA60" s="26"/>
      <c r="AB60" s="423"/>
      <c r="AJ60" s="37"/>
      <c r="AK60" s="294"/>
      <c r="AL60" s="294"/>
      <c r="AM60" s="294"/>
      <c r="AN60" s="294"/>
      <c r="AO60" s="294"/>
      <c r="AP60" s="294"/>
      <c r="AQ60" s="294"/>
      <c r="AR60" s="294"/>
      <c r="AS60" s="294"/>
      <c r="AT60" s="294"/>
      <c r="AU60" s="294"/>
      <c r="AV60" s="294"/>
      <c r="AW60" s="294"/>
      <c r="AX60" s="294"/>
      <c r="AY60" s="294"/>
      <c r="AZ60" s="294"/>
      <c r="BA60" s="294"/>
      <c r="BB60" s="294"/>
      <c r="BC60" s="294"/>
      <c r="BD60" s="294"/>
      <c r="BE60" s="294"/>
      <c r="BF60" s="294"/>
      <c r="BG60" s="294"/>
      <c r="BH60" s="294"/>
      <c r="BO60" s="37"/>
    </row>
    <row r="61" spans="1:102" ht="15" thickBot="1" x14ac:dyDescent="0.35">
      <c r="B61" s="802" t="s">
        <v>10</v>
      </c>
      <c r="C61" s="44" t="s">
        <v>68</v>
      </c>
      <c r="D61" s="717">
        <f t="shared" si="30"/>
        <v>1.9106699751861043</v>
      </c>
      <c r="E61" s="717">
        <f>E44*T$21</f>
        <v>9.9121168148013812</v>
      </c>
      <c r="F61" s="717">
        <f t="shared" si="31"/>
        <v>15.585608532993712</v>
      </c>
      <c r="G61" s="717">
        <f t="shared" si="32"/>
        <v>33.758946892845699</v>
      </c>
      <c r="H61" s="305">
        <v>150</v>
      </c>
      <c r="I61" s="46">
        <v>49.3</v>
      </c>
      <c r="K61" s="125" t="s">
        <v>166</v>
      </c>
      <c r="L61" s="164" t="s">
        <v>8</v>
      </c>
      <c r="M61" s="165" t="s">
        <v>9</v>
      </c>
      <c r="N61" s="227">
        <f>AVERAGE(AE37:AE48)</f>
        <v>7.3499999999999996E-2</v>
      </c>
      <c r="AJ61" s="37"/>
      <c r="AK61" s="294"/>
      <c r="AL61" s="681"/>
      <c r="AM61" s="294"/>
      <c r="AN61" s="704"/>
      <c r="AO61" s="681"/>
      <c r="AP61" s="294"/>
      <c r="AQ61" s="704"/>
      <c r="AR61" s="681"/>
      <c r="AS61" s="294"/>
      <c r="AT61" s="704"/>
      <c r="AU61" s="681"/>
      <c r="AV61" s="294"/>
      <c r="AW61" s="704"/>
      <c r="AX61" s="681"/>
      <c r="AY61" s="294"/>
      <c r="AZ61" s="704"/>
      <c r="BA61" s="681"/>
      <c r="BB61" s="294"/>
      <c r="BC61" s="704"/>
      <c r="BD61" s="294"/>
      <c r="BE61" s="294"/>
      <c r="BF61" s="294"/>
      <c r="BG61" s="294"/>
      <c r="BH61" s="294"/>
      <c r="BO61" s="37"/>
    </row>
    <row r="62" spans="1:102" x14ac:dyDescent="0.3">
      <c r="B62" s="802"/>
      <c r="C62" s="44" t="s">
        <v>69</v>
      </c>
      <c r="D62" s="717">
        <f t="shared" si="30"/>
        <v>2.1091811414392061</v>
      </c>
      <c r="E62" s="717">
        <f>E45*T$21</f>
        <v>9.9121168148013812</v>
      </c>
      <c r="F62" s="717">
        <f t="shared" si="31"/>
        <v>16.083021571280746</v>
      </c>
      <c r="G62" s="717">
        <f t="shared" si="32"/>
        <v>32.265188180772881</v>
      </c>
      <c r="H62" s="305">
        <v>150</v>
      </c>
      <c r="I62" s="46">
        <v>48.1</v>
      </c>
      <c r="AJ62" s="37"/>
      <c r="AK62" s="294"/>
      <c r="AL62" s="294"/>
      <c r="AM62" s="294"/>
      <c r="AN62" s="294"/>
      <c r="AO62" s="294"/>
      <c r="AP62" s="294"/>
      <c r="AQ62" s="294"/>
      <c r="AR62" s="294"/>
      <c r="AS62" s="294"/>
      <c r="AT62" s="294"/>
      <c r="AU62" s="294"/>
      <c r="AV62" s="294"/>
      <c r="AW62" s="294"/>
      <c r="AX62" s="294"/>
      <c r="AY62" s="294"/>
      <c r="AZ62" s="294"/>
      <c r="BA62" s="294"/>
      <c r="BB62" s="294"/>
      <c r="BC62" s="294"/>
      <c r="BD62" s="681"/>
      <c r="BE62" s="294"/>
      <c r="BF62" s="704"/>
      <c r="BG62" s="681"/>
      <c r="BH62" s="294"/>
      <c r="BI62" s="704"/>
      <c r="BO62" s="37"/>
    </row>
    <row r="63" spans="1:102" ht="15" thickBot="1" x14ac:dyDescent="0.35">
      <c r="B63" s="803"/>
      <c r="C63" s="52" t="s">
        <v>70</v>
      </c>
      <c r="D63" s="59">
        <f t="shared" si="30"/>
        <v>1.9106699751861043</v>
      </c>
      <c r="E63" s="59">
        <f>E46*T$21</f>
        <v>9.1496462905858902</v>
      </c>
      <c r="F63" s="59">
        <f t="shared" si="31"/>
        <v>15.088195494706678</v>
      </c>
      <c r="G63" s="59">
        <f t="shared" si="32"/>
        <v>32.563939923187441</v>
      </c>
      <c r="H63" s="54">
        <v>154</v>
      </c>
      <c r="I63" s="55">
        <v>48.1</v>
      </c>
      <c r="M63" s="294"/>
      <c r="AJ63" s="37"/>
      <c r="AK63" s="294"/>
      <c r="AL63" s="681"/>
      <c r="AM63" s="294"/>
      <c r="AN63" s="294"/>
      <c r="AO63" s="681"/>
      <c r="AP63" s="294"/>
      <c r="AQ63" s="294"/>
      <c r="AR63" s="681"/>
      <c r="AS63" s="294"/>
      <c r="AT63" s="294"/>
      <c r="AU63" s="681"/>
      <c r="AV63" s="294"/>
      <c r="AW63" s="294"/>
      <c r="AX63" s="681"/>
      <c r="AY63" s="294"/>
      <c r="AZ63" s="294"/>
      <c r="BA63" s="681"/>
      <c r="BB63" s="294"/>
      <c r="BC63" s="294"/>
      <c r="BD63" s="681"/>
      <c r="BE63" s="294"/>
      <c r="BF63" s="294"/>
      <c r="BG63" s="681"/>
      <c r="BH63" s="294"/>
      <c r="BO63" s="37"/>
    </row>
    <row r="64" spans="1:102" x14ac:dyDescent="0.3">
      <c r="M64" s="294"/>
      <c r="AJ64" s="37"/>
      <c r="AK64" s="294"/>
      <c r="AL64" s="681"/>
      <c r="AM64" s="294"/>
      <c r="AN64" s="704"/>
      <c r="AO64" s="681"/>
      <c r="AP64" s="294"/>
      <c r="AQ64" s="704"/>
      <c r="AR64" s="681"/>
      <c r="AS64" s="294"/>
      <c r="AT64" s="704"/>
      <c r="AU64" s="681"/>
      <c r="AV64" s="294"/>
      <c r="AW64" s="704"/>
      <c r="AX64" s="681"/>
      <c r="AY64" s="294"/>
      <c r="AZ64" s="704"/>
      <c r="BA64" s="681"/>
      <c r="BB64" s="294"/>
      <c r="BC64" s="704"/>
      <c r="BD64" s="681"/>
      <c r="BE64" s="294"/>
      <c r="BF64" s="704"/>
      <c r="BG64" s="681"/>
      <c r="BH64" s="294"/>
      <c r="BI64" s="704"/>
      <c r="BO64" s="37"/>
    </row>
    <row r="65" spans="1:88" ht="15" thickBot="1" x14ac:dyDescent="0.35">
      <c r="M65" s="294"/>
      <c r="AJ65" s="37"/>
      <c r="AK65" s="294"/>
      <c r="AL65" s="681"/>
      <c r="AM65" s="294"/>
      <c r="AN65" s="704"/>
      <c r="AO65" s="681"/>
      <c r="AP65" s="294"/>
      <c r="AQ65" s="704"/>
      <c r="AR65" s="681"/>
      <c r="AS65" s="294"/>
      <c r="AT65" s="704"/>
      <c r="AU65" s="681"/>
      <c r="AV65" s="294"/>
      <c r="AW65" s="704"/>
      <c r="AX65" s="681"/>
      <c r="AY65" s="294"/>
      <c r="AZ65" s="704"/>
      <c r="BA65" s="681"/>
      <c r="BB65" s="294"/>
      <c r="BC65" s="704"/>
      <c r="BD65" s="681"/>
      <c r="BE65" s="294"/>
      <c r="BF65" s="704"/>
      <c r="BG65" s="681"/>
      <c r="BH65" s="294"/>
      <c r="BI65" s="704"/>
      <c r="BO65" s="37"/>
    </row>
    <row r="66" spans="1:88" x14ac:dyDescent="0.3">
      <c r="B66" s="22" t="s">
        <v>468</v>
      </c>
      <c r="M66" s="294"/>
      <c r="O66" s="725" t="s">
        <v>199</v>
      </c>
      <c r="P66" s="712" t="s">
        <v>200</v>
      </c>
      <c r="Q66" s="712" t="s">
        <v>201</v>
      </c>
      <c r="R66" s="712" t="s">
        <v>202</v>
      </c>
      <c r="S66" s="712" t="s">
        <v>203</v>
      </c>
      <c r="T66" s="712" t="s">
        <v>204</v>
      </c>
      <c r="U66" s="712" t="s">
        <v>205</v>
      </c>
      <c r="V66" s="713" t="s">
        <v>206</v>
      </c>
      <c r="AJ66" s="37"/>
      <c r="AK66" s="294"/>
      <c r="AL66" s="681"/>
      <c r="AM66" s="294"/>
      <c r="AN66" s="294"/>
      <c r="AO66" s="681"/>
      <c r="AP66" s="294"/>
      <c r="AQ66" s="294"/>
      <c r="AR66" s="681"/>
      <c r="AS66" s="294"/>
      <c r="AT66" s="294"/>
      <c r="AU66" s="681"/>
      <c r="AV66" s="294"/>
      <c r="AW66" s="294"/>
      <c r="AX66" s="681"/>
      <c r="AY66" s="294"/>
      <c r="AZ66" s="294"/>
      <c r="BA66" s="681"/>
      <c r="BB66" s="294"/>
      <c r="BC66" s="294"/>
      <c r="BD66" s="681"/>
      <c r="BE66" s="294"/>
      <c r="BF66" s="294"/>
      <c r="BG66" s="681"/>
      <c r="BH66" s="294"/>
      <c r="BO66" s="37"/>
    </row>
    <row r="67" spans="1:88" x14ac:dyDescent="0.3">
      <c r="M67" s="294"/>
      <c r="O67" s="726" t="s">
        <v>59</v>
      </c>
      <c r="P67" s="727"/>
      <c r="Q67" s="727">
        <v>1</v>
      </c>
      <c r="R67" s="727">
        <v>1</v>
      </c>
      <c r="S67" s="727">
        <v>4650</v>
      </c>
      <c r="T67" s="80">
        <f>13.4/136.14*396.094</f>
        <v>38.986775378287057</v>
      </c>
      <c r="U67" s="727"/>
      <c r="V67" s="728"/>
      <c r="AJ67" s="37"/>
      <c r="AK67" s="294"/>
      <c r="AL67" s="681"/>
      <c r="AM67" s="294"/>
      <c r="AN67" s="704"/>
      <c r="AO67" s="294"/>
      <c r="AP67" s="294"/>
      <c r="AQ67" s="294"/>
      <c r="AR67" s="294"/>
      <c r="AS67" s="294"/>
      <c r="AT67" s="294"/>
      <c r="AU67" s="294"/>
      <c r="AV67" s="294"/>
      <c r="AW67" s="294"/>
      <c r="AX67" s="294"/>
      <c r="AY67" s="294"/>
      <c r="AZ67" s="294"/>
      <c r="BA67" s="294"/>
      <c r="BB67" s="294"/>
      <c r="BC67" s="294"/>
      <c r="BD67" s="294"/>
      <c r="BE67" s="294"/>
      <c r="BF67" s="294"/>
      <c r="BG67" s="294"/>
      <c r="BH67" s="294"/>
      <c r="BO67" s="37"/>
    </row>
    <row r="68" spans="1:88" x14ac:dyDescent="0.3">
      <c r="C68" s="294" t="s">
        <v>25</v>
      </c>
      <c r="E68" s="294" t="s">
        <v>24</v>
      </c>
      <c r="G68" s="294" t="s">
        <v>13</v>
      </c>
      <c r="I68" s="294" t="s">
        <v>10</v>
      </c>
      <c r="M68" s="294"/>
      <c r="O68" s="729" t="s">
        <v>60</v>
      </c>
      <c r="P68" s="733">
        <v>1387.68</v>
      </c>
      <c r="Q68" s="727">
        <v>1</v>
      </c>
      <c r="R68" s="727">
        <v>1</v>
      </c>
      <c r="S68" s="727">
        <v>4650</v>
      </c>
      <c r="T68" s="80">
        <f>13.3/136.14*396.094</f>
        <v>38.695829293374473</v>
      </c>
      <c r="U68" s="80">
        <f>(P68+576.57)/2130.7*4650/1000</f>
        <v>4.2867426197963114</v>
      </c>
      <c r="V68" s="731">
        <f>U68/T68*100</f>
        <v>11.078048198156308</v>
      </c>
      <c r="AJ68" s="37"/>
      <c r="AK68" s="294"/>
      <c r="AL68" s="294"/>
      <c r="AM68" s="294"/>
      <c r="AN68" s="294"/>
      <c r="AO68" s="681"/>
      <c r="AP68" s="294"/>
      <c r="AQ68" s="704"/>
      <c r="AR68" s="294"/>
      <c r="AS68" s="294"/>
      <c r="AT68" s="294"/>
      <c r="AU68" s="294"/>
      <c r="AV68" s="294"/>
      <c r="AW68" s="294"/>
      <c r="AX68" s="294"/>
      <c r="AY68" s="294"/>
      <c r="AZ68" s="294"/>
      <c r="BA68" s="294"/>
      <c r="BB68" s="294"/>
      <c r="BC68" s="294"/>
      <c r="BD68" s="681"/>
      <c r="BE68" s="294"/>
      <c r="BF68" s="704"/>
      <c r="BG68" s="294"/>
      <c r="BH68" s="294"/>
      <c r="BO68" s="37"/>
    </row>
    <row r="69" spans="1:88" x14ac:dyDescent="0.3">
      <c r="M69" s="294"/>
      <c r="O69" s="729" t="s">
        <v>61</v>
      </c>
      <c r="P69" s="733">
        <v>553.51</v>
      </c>
      <c r="Q69" s="727">
        <v>1</v>
      </c>
      <c r="R69" s="727">
        <v>1</v>
      </c>
      <c r="S69" s="727">
        <v>4650</v>
      </c>
      <c r="T69" s="80">
        <f>13/136.14*396.094</f>
        <v>37.822991038636701</v>
      </c>
      <c r="U69" s="80">
        <f t="shared" ref="U69:U78" si="33">(P69+576.57)/2130.7*4650/1000</f>
        <v>2.4662655465340029</v>
      </c>
      <c r="V69" s="731">
        <f t="shared" ref="V69:V78" si="34">U69/T69*100</f>
        <v>6.5205460456965945</v>
      </c>
      <c r="AJ69" s="37"/>
      <c r="AK69" s="294"/>
      <c r="AL69" s="294"/>
      <c r="AM69" s="294"/>
      <c r="AN69" s="294"/>
      <c r="AO69" s="294"/>
      <c r="AP69" s="294"/>
      <c r="AQ69" s="294"/>
      <c r="AR69" s="681"/>
      <c r="AS69" s="294"/>
      <c r="AT69" s="704"/>
      <c r="AU69" s="294"/>
      <c r="AV69" s="294"/>
      <c r="AW69" s="294"/>
      <c r="AX69" s="294"/>
      <c r="AY69" s="294"/>
      <c r="AZ69" s="294"/>
      <c r="BA69" s="294"/>
      <c r="BB69" s="294"/>
      <c r="BC69" s="294"/>
      <c r="BD69" s="294"/>
      <c r="BE69" s="294"/>
      <c r="BF69" s="294"/>
      <c r="BG69" s="294"/>
      <c r="BH69" s="294"/>
      <c r="BO69" s="37"/>
    </row>
    <row r="70" spans="1:88" x14ac:dyDescent="0.3">
      <c r="C70" s="306"/>
      <c r="D70" s="306"/>
      <c r="E70" s="306"/>
      <c r="F70" s="306"/>
      <c r="G70" s="306"/>
      <c r="H70" s="306"/>
      <c r="I70" s="306"/>
      <c r="K70" s="37"/>
      <c r="L70" s="37"/>
      <c r="M70" s="294"/>
      <c r="O70" s="729" t="s">
        <v>62</v>
      </c>
      <c r="P70" s="733">
        <v>3447.26</v>
      </c>
      <c r="Q70" s="727">
        <v>1</v>
      </c>
      <c r="R70" s="727">
        <v>1</v>
      </c>
      <c r="S70" s="727">
        <v>4650</v>
      </c>
      <c r="T70" s="80">
        <f>12.5/124.11*384.078</f>
        <v>38.683224558859074</v>
      </c>
      <c r="U70" s="80">
        <f t="shared" si="33"/>
        <v>8.7815316562632013</v>
      </c>
      <c r="V70" s="731">
        <f t="shared" si="34"/>
        <v>22.701136620349534</v>
      </c>
      <c r="AJ70" s="37"/>
      <c r="AK70" s="294"/>
      <c r="AL70" s="294"/>
      <c r="AM70" s="294"/>
      <c r="AN70" s="294"/>
      <c r="AO70" s="294"/>
      <c r="AP70" s="294"/>
      <c r="AQ70" s="294"/>
      <c r="AR70" s="294"/>
      <c r="AS70" s="294"/>
      <c r="AT70" s="294"/>
      <c r="AU70" s="681"/>
      <c r="AV70" s="294"/>
      <c r="AW70" s="704"/>
      <c r="AX70" s="681"/>
      <c r="AY70" s="294"/>
      <c r="AZ70" s="294"/>
      <c r="BA70" s="294"/>
      <c r="BB70" s="294"/>
      <c r="BC70" s="294"/>
      <c r="BD70" s="294"/>
      <c r="BE70" s="294"/>
      <c r="BF70" s="294"/>
      <c r="BG70" s="681"/>
      <c r="BH70" s="294"/>
      <c r="BI70" s="704"/>
      <c r="BO70" s="37"/>
    </row>
    <row r="71" spans="1:88" x14ac:dyDescent="0.3">
      <c r="O71" s="729" t="s">
        <v>63</v>
      </c>
      <c r="P71" s="733">
        <v>4530.72</v>
      </c>
      <c r="Q71" s="727">
        <v>1</v>
      </c>
      <c r="R71" s="727">
        <v>1</v>
      </c>
      <c r="S71" s="727">
        <v>4650</v>
      </c>
      <c r="T71" s="80">
        <f>11.9/124.11*384.078</f>
        <v>36.826429780033841</v>
      </c>
      <c r="U71" s="80">
        <f t="shared" si="33"/>
        <v>11.146054583000891</v>
      </c>
      <c r="V71" s="731">
        <f t="shared" si="34"/>
        <v>30.266454417593145</v>
      </c>
      <c r="AJ71" s="37"/>
      <c r="AK71" s="294"/>
      <c r="AL71" s="294"/>
      <c r="AM71" s="294"/>
      <c r="AN71" s="294"/>
      <c r="AO71" s="294"/>
      <c r="AP71" s="294"/>
      <c r="AQ71" s="294"/>
      <c r="AR71" s="294"/>
      <c r="AS71" s="294"/>
      <c r="AT71" s="294"/>
      <c r="AU71" s="294"/>
      <c r="AV71" s="294"/>
      <c r="AW71" s="294"/>
      <c r="AX71" s="681"/>
      <c r="AY71" s="294"/>
      <c r="AZ71" s="704"/>
      <c r="BA71" s="681"/>
      <c r="BB71" s="294"/>
      <c r="BC71" s="294"/>
      <c r="BD71" s="294"/>
      <c r="BE71" s="294"/>
      <c r="BF71" s="294"/>
      <c r="BG71" s="294"/>
      <c r="BH71" s="294"/>
      <c r="BO71" s="37"/>
      <c r="BQ71" s="21"/>
      <c r="BW71" s="21"/>
      <c r="CC71" s="21"/>
      <c r="CJ71" s="21"/>
    </row>
    <row r="72" spans="1:88" x14ac:dyDescent="0.3">
      <c r="O72" s="729" t="s">
        <v>64</v>
      </c>
      <c r="P72" s="733">
        <v>4995.49</v>
      </c>
      <c r="Q72" s="727">
        <v>1</v>
      </c>
      <c r="R72" s="727">
        <v>1</v>
      </c>
      <c r="S72" s="727">
        <v>4650</v>
      </c>
      <c r="T72" s="80">
        <f t="shared" ref="T72" si="35">12.5/124.11*384.078</f>
        <v>38.683224558859074</v>
      </c>
      <c r="U72" s="80">
        <f t="shared" si="33"/>
        <v>12.160359975594874</v>
      </c>
      <c r="V72" s="731">
        <f t="shared" si="34"/>
        <v>31.435745376117975</v>
      </c>
      <c r="AJ72" s="37"/>
      <c r="AK72" s="294"/>
      <c r="AL72" s="294"/>
      <c r="AM72" s="294"/>
      <c r="AN72" s="294"/>
      <c r="AO72" s="294"/>
      <c r="AP72" s="294"/>
      <c r="AQ72" s="294"/>
      <c r="AR72" s="294"/>
      <c r="AS72" s="294"/>
      <c r="AT72" s="294"/>
      <c r="AU72" s="681"/>
      <c r="AV72" s="294"/>
      <c r="AW72" s="294"/>
      <c r="AX72" s="294"/>
      <c r="AY72" s="294"/>
      <c r="AZ72" s="294"/>
      <c r="BA72" s="681"/>
      <c r="BB72" s="294"/>
      <c r="BC72" s="704"/>
      <c r="BD72" s="294"/>
      <c r="BE72" s="294"/>
      <c r="BF72" s="294"/>
      <c r="BG72" s="294"/>
      <c r="BH72" s="294"/>
      <c r="BO72" s="37"/>
    </row>
    <row r="73" spans="1:88" x14ac:dyDescent="0.3">
      <c r="A73" s="316"/>
      <c r="O73" s="729" t="s">
        <v>65</v>
      </c>
      <c r="P73" s="733">
        <v>5531.53</v>
      </c>
      <c r="Q73" s="727">
        <v>1</v>
      </c>
      <c r="R73" s="727">
        <v>1</v>
      </c>
      <c r="S73" s="727">
        <v>4650</v>
      </c>
      <c r="T73" s="80">
        <f>14.2/142.1*402.06</f>
        <v>40.177705840957074</v>
      </c>
      <c r="U73" s="80">
        <f t="shared" si="33"/>
        <v>13.330203688928522</v>
      </c>
      <c r="V73" s="731">
        <f t="shared" si="34"/>
        <v>33.178110621089118</v>
      </c>
      <c r="AJ73" s="37"/>
      <c r="AK73" s="294"/>
      <c r="AL73" s="294"/>
      <c r="AM73" s="294"/>
      <c r="AN73" s="294"/>
      <c r="AO73" s="294"/>
      <c r="AP73" s="294"/>
      <c r="AQ73" s="294"/>
      <c r="AR73" s="294"/>
      <c r="AS73" s="294"/>
      <c r="AT73" s="294"/>
      <c r="AU73" s="294"/>
      <c r="AV73" s="294"/>
      <c r="AW73" s="294"/>
      <c r="AX73" s="294"/>
      <c r="AY73" s="294"/>
      <c r="AZ73" s="294"/>
      <c r="BA73" s="294"/>
      <c r="BB73" s="294"/>
      <c r="BC73" s="294"/>
      <c r="BD73" s="294"/>
      <c r="BE73" s="294"/>
      <c r="BF73" s="294"/>
      <c r="BG73" s="294"/>
      <c r="BH73" s="294"/>
      <c r="BO73" s="37"/>
    </row>
    <row r="74" spans="1:88" x14ac:dyDescent="0.3">
      <c r="O74" s="729" t="s">
        <v>66</v>
      </c>
      <c r="P74" s="733">
        <v>5935.17</v>
      </c>
      <c r="Q74" s="727">
        <v>1</v>
      </c>
      <c r="R74" s="727">
        <v>1</v>
      </c>
      <c r="S74" s="727">
        <v>4650</v>
      </c>
      <c r="T74" s="80">
        <f>13.6/142.1*402.06</f>
        <v>38.48005629838142</v>
      </c>
      <c r="U74" s="80">
        <f t="shared" si="33"/>
        <v>14.211100107945747</v>
      </c>
      <c r="V74" s="731">
        <f t="shared" si="34"/>
        <v>36.931079304433098</v>
      </c>
      <c r="AJ74" s="37"/>
      <c r="AK74" s="294"/>
      <c r="AL74" s="681"/>
      <c r="AM74" s="294"/>
      <c r="AN74" s="704"/>
      <c r="AO74" s="681"/>
      <c r="AP74" s="294"/>
      <c r="AQ74" s="704"/>
      <c r="AR74" s="681"/>
      <c r="AS74" s="294"/>
      <c r="AT74" s="704"/>
      <c r="AU74" s="681"/>
      <c r="AV74" s="294"/>
      <c r="AW74" s="704"/>
      <c r="AX74" s="681"/>
      <c r="AY74" s="294"/>
      <c r="AZ74" s="704"/>
      <c r="BA74" s="681"/>
      <c r="BB74" s="294"/>
      <c r="BC74" s="704"/>
      <c r="BD74" s="294"/>
      <c r="BE74" s="294"/>
      <c r="BF74" s="294"/>
      <c r="BG74" s="294"/>
      <c r="BH74" s="294"/>
      <c r="BO74" s="37"/>
    </row>
    <row r="75" spans="1:88" x14ac:dyDescent="0.3">
      <c r="O75" s="729" t="s">
        <v>67</v>
      </c>
      <c r="P75" s="733">
        <v>5686.81</v>
      </c>
      <c r="Q75" s="727">
        <v>1</v>
      </c>
      <c r="R75" s="727">
        <v>1</v>
      </c>
      <c r="S75" s="727">
        <v>4650</v>
      </c>
      <c r="T75" s="80">
        <f t="shared" ref="T75" si="36">14.2/142.1*402.06</f>
        <v>40.177705840957074</v>
      </c>
      <c r="U75" s="80">
        <f t="shared" si="33"/>
        <v>13.669083869150983</v>
      </c>
      <c r="V75" s="731">
        <f t="shared" si="34"/>
        <v>34.021563907257111</v>
      </c>
      <c r="AJ75" s="37"/>
      <c r="AK75" s="294"/>
      <c r="AL75" s="294"/>
      <c r="AM75" s="294"/>
      <c r="AN75" s="294"/>
      <c r="AO75" s="294"/>
      <c r="AP75" s="294"/>
      <c r="AQ75" s="294"/>
      <c r="AR75" s="294"/>
      <c r="AS75" s="294"/>
      <c r="AT75" s="294"/>
      <c r="AU75" s="294"/>
      <c r="AV75" s="294"/>
      <c r="AW75" s="294"/>
      <c r="AX75" s="294"/>
      <c r="AY75" s="294"/>
      <c r="AZ75" s="294"/>
      <c r="BA75" s="294"/>
      <c r="BB75" s="294"/>
      <c r="BC75" s="294"/>
      <c r="BD75" s="681"/>
      <c r="BE75" s="294"/>
      <c r="BF75" s="704"/>
      <c r="BG75" s="681"/>
      <c r="BH75" s="294"/>
      <c r="BI75" s="704"/>
    </row>
    <row r="76" spans="1:88" x14ac:dyDescent="0.3">
      <c r="O76" s="729" t="s">
        <v>68</v>
      </c>
      <c r="P76" s="733">
        <v>5734.3</v>
      </c>
      <c r="Q76" s="727">
        <v>1</v>
      </c>
      <c r="R76" s="727">
        <v>1</v>
      </c>
      <c r="S76" s="727">
        <v>4650</v>
      </c>
      <c r="T76" s="80">
        <f>9.9/96.08*357.7578</f>
        <v>36.863053913405494</v>
      </c>
      <c r="U76" s="80">
        <f t="shared" si="33"/>
        <v>13.772725160745296</v>
      </c>
      <c r="V76" s="731">
        <f t="shared" si="34"/>
        <v>37.361866960612161</v>
      </c>
      <c r="AJ76" s="37"/>
      <c r="AK76" s="294"/>
      <c r="AL76" s="681"/>
      <c r="AM76" s="294"/>
      <c r="AN76" s="294"/>
      <c r="AO76" s="681"/>
      <c r="AP76" s="294"/>
      <c r="AQ76" s="294"/>
      <c r="AR76" s="681"/>
      <c r="AS76" s="294"/>
      <c r="AT76" s="294"/>
      <c r="AU76" s="681"/>
      <c r="AV76" s="294"/>
      <c r="AW76" s="294"/>
      <c r="AX76" s="681"/>
      <c r="AY76" s="294"/>
      <c r="AZ76" s="294"/>
      <c r="BA76" s="681"/>
      <c r="BB76" s="294"/>
      <c r="BC76" s="294"/>
      <c r="BD76" s="681"/>
      <c r="BE76" s="294"/>
      <c r="BF76" s="294"/>
      <c r="BG76" s="681"/>
      <c r="BH76" s="294"/>
    </row>
    <row r="77" spans="1:88" x14ac:dyDescent="0.3">
      <c r="O77" s="729" t="s">
        <v>69</v>
      </c>
      <c r="P77" s="733">
        <v>5383.03</v>
      </c>
      <c r="Q77" s="727">
        <v>1</v>
      </c>
      <c r="R77" s="727">
        <v>1</v>
      </c>
      <c r="S77" s="727">
        <v>4650</v>
      </c>
      <c r="T77" s="80">
        <f t="shared" ref="T77:T78" si="37">9.9/96.08*357.7578</f>
        <v>36.863053913405494</v>
      </c>
      <c r="U77" s="80">
        <f t="shared" si="33"/>
        <v>13.006120054442201</v>
      </c>
      <c r="V77" s="731">
        <f t="shared" si="34"/>
        <v>35.282264147172135</v>
      </c>
      <c r="AJ77" s="37"/>
      <c r="AK77" s="294"/>
      <c r="AL77" s="681"/>
      <c r="AM77" s="294"/>
      <c r="AN77" s="704"/>
      <c r="AO77" s="681"/>
      <c r="AP77" s="294"/>
      <c r="AQ77" s="704"/>
      <c r="AR77" s="681"/>
      <c r="AS77" s="294"/>
      <c r="AT77" s="704"/>
      <c r="AU77" s="681"/>
      <c r="AV77" s="294"/>
      <c r="AW77" s="704"/>
      <c r="AX77" s="681"/>
      <c r="AY77" s="294"/>
      <c r="AZ77" s="704"/>
      <c r="BA77" s="681"/>
      <c r="BB77" s="294"/>
      <c r="BC77" s="704"/>
      <c r="BD77" s="681"/>
      <c r="BE77" s="294"/>
      <c r="BF77" s="704"/>
      <c r="BG77" s="681"/>
      <c r="BH77" s="294"/>
      <c r="BI77" s="704"/>
    </row>
    <row r="78" spans="1:88" ht="15" thickBot="1" x14ac:dyDescent="0.35">
      <c r="O78" s="189" t="s">
        <v>70</v>
      </c>
      <c r="P78" s="734">
        <v>4619.83</v>
      </c>
      <c r="Q78" s="730">
        <v>1</v>
      </c>
      <c r="R78" s="730">
        <v>1</v>
      </c>
      <c r="S78" s="730">
        <v>4650</v>
      </c>
      <c r="T78" s="190">
        <f t="shared" si="37"/>
        <v>36.863053913405494</v>
      </c>
      <c r="U78" s="190">
        <f t="shared" si="33"/>
        <v>11.340526587506455</v>
      </c>
      <c r="V78" s="732">
        <f t="shared" si="34"/>
        <v>30.763936743131303</v>
      </c>
      <c r="AJ78" s="37"/>
      <c r="AK78" s="294"/>
      <c r="AL78" s="681"/>
      <c r="AM78" s="294"/>
      <c r="AN78" s="704"/>
      <c r="AO78" s="681"/>
      <c r="AP78" s="294"/>
      <c r="AQ78" s="704"/>
      <c r="AR78" s="681"/>
      <c r="AS78" s="294"/>
      <c r="AT78" s="704"/>
      <c r="AU78" s="681"/>
      <c r="AV78" s="294"/>
      <c r="AW78" s="704"/>
      <c r="AX78" s="681"/>
      <c r="AY78" s="294"/>
      <c r="AZ78" s="704"/>
      <c r="BA78" s="681"/>
      <c r="BB78" s="294"/>
      <c r="BC78" s="704"/>
      <c r="BD78" s="681"/>
      <c r="BE78" s="294"/>
      <c r="BF78" s="704"/>
      <c r="BG78" s="681"/>
      <c r="BH78" s="294"/>
      <c r="BI78" s="704"/>
    </row>
    <row r="80" spans="1:88" ht="14.4" customHeight="1" thickBot="1" x14ac:dyDescent="0.35"/>
    <row r="81" spans="3:60" x14ac:dyDescent="0.3">
      <c r="O81" s="429" t="s">
        <v>199</v>
      </c>
      <c r="P81" s="430" t="s">
        <v>200</v>
      </c>
      <c r="Q81" s="430" t="s">
        <v>473</v>
      </c>
      <c r="R81" s="430" t="s">
        <v>471</v>
      </c>
      <c r="S81" s="430" t="s">
        <v>472</v>
      </c>
      <c r="T81" s="431" t="s">
        <v>206</v>
      </c>
      <c r="U81" s="266" t="s">
        <v>482</v>
      </c>
      <c r="AK81" s="10"/>
      <c r="AL81" s="10"/>
      <c r="AM81" s="10"/>
      <c r="AN81" s="10"/>
      <c r="AO81" s="10"/>
      <c r="AP81" s="10"/>
      <c r="AQ81" s="10"/>
      <c r="AR81" s="10"/>
      <c r="AS81" s="10"/>
      <c r="AT81" s="10"/>
      <c r="AU81" s="10"/>
      <c r="AV81" s="10"/>
      <c r="AW81" s="10"/>
      <c r="AX81" s="10"/>
      <c r="AY81" s="10"/>
      <c r="AZ81" s="10"/>
      <c r="BA81" s="10"/>
      <c r="BB81" s="414"/>
      <c r="BC81" s="414"/>
      <c r="BD81" s="414"/>
      <c r="BE81" s="414"/>
      <c r="BF81" s="414"/>
      <c r="BG81" s="414"/>
      <c r="BH81" s="414"/>
    </row>
    <row r="82" spans="3:60" ht="13.2" customHeight="1" x14ac:dyDescent="0.3">
      <c r="O82" s="735" t="s">
        <v>59</v>
      </c>
      <c r="P82" s="64" t="s">
        <v>9</v>
      </c>
      <c r="Q82" s="64">
        <v>4650</v>
      </c>
      <c r="R82" s="78">
        <f>13.4/136.14*396.094</f>
        <v>38.986775378287057</v>
      </c>
      <c r="S82" s="64" t="s">
        <v>9</v>
      </c>
      <c r="T82" s="46" t="s">
        <v>9</v>
      </c>
      <c r="U82" s="913">
        <f>AVERAGE(T83:T84)</f>
        <v>8.7992971219264504</v>
      </c>
      <c r="AJ82" s="10"/>
      <c r="AK82" s="10"/>
      <c r="AL82" s="689"/>
      <c r="AM82" s="355"/>
      <c r="AN82" s="355"/>
      <c r="AO82" s="355"/>
      <c r="AP82" s="355"/>
      <c r="AQ82" s="355"/>
      <c r="AR82" s="355"/>
      <c r="AS82" s="355"/>
      <c r="AT82" s="355"/>
      <c r="AU82" s="355"/>
      <c r="AV82" s="355"/>
      <c r="AW82" s="355"/>
      <c r="AX82" s="409"/>
      <c r="AY82" s="409"/>
      <c r="AZ82" s="409"/>
      <c r="BA82" s="409"/>
      <c r="BB82" s="414"/>
      <c r="BC82" s="414"/>
      <c r="BD82" s="414"/>
      <c r="BE82" s="414"/>
      <c r="BF82" s="414"/>
      <c r="BG82" s="414"/>
      <c r="BH82" s="414"/>
    </row>
    <row r="83" spans="3:60" ht="16.2" customHeight="1" x14ac:dyDescent="0.3">
      <c r="O83" s="124" t="s">
        <v>60</v>
      </c>
      <c r="P83" s="173">
        <v>1387.68</v>
      </c>
      <c r="Q83" s="64">
        <v>4650</v>
      </c>
      <c r="R83" s="78">
        <f>13.3/136.14*396.094</f>
        <v>38.695829293374473</v>
      </c>
      <c r="S83" s="78">
        <f>(P83+576.57)/2130.7*4650/1000</f>
        <v>4.2867426197963114</v>
      </c>
      <c r="T83" s="177">
        <f>S83/R83*100</f>
        <v>11.078048198156308</v>
      </c>
      <c r="U83" s="913"/>
      <c r="AJ83" s="10"/>
      <c r="AK83" s="10"/>
      <c r="AL83" s="10"/>
      <c r="AM83" s="10"/>
      <c r="AN83" s="10"/>
      <c r="AO83" s="10"/>
      <c r="AP83" s="10"/>
      <c r="AQ83" s="10"/>
      <c r="AR83" s="10"/>
      <c r="AS83" s="10"/>
      <c r="AT83" s="10"/>
      <c r="AU83" s="10"/>
      <c r="AV83" s="10"/>
      <c r="AW83" s="10"/>
      <c r="AX83" s="10"/>
      <c r="AY83" s="10"/>
      <c r="AZ83" s="10"/>
      <c r="BA83" s="10"/>
      <c r="BB83" s="414"/>
      <c r="BC83" s="414"/>
      <c r="BD83" s="414"/>
      <c r="BE83" s="414"/>
      <c r="BF83" s="414"/>
      <c r="BG83" s="414"/>
      <c r="BH83" s="414"/>
    </row>
    <row r="84" spans="3:60" x14ac:dyDescent="0.3">
      <c r="O84" s="124" t="s">
        <v>61</v>
      </c>
      <c r="P84" s="173">
        <v>553.51</v>
      </c>
      <c r="Q84" s="64">
        <v>4650</v>
      </c>
      <c r="R84" s="78">
        <f>13/136.14*396.094</f>
        <v>37.822991038636701</v>
      </c>
      <c r="S84" s="78">
        <f t="shared" ref="S84:S93" si="38">(P84+576.57)/2130.7*4650/1000</f>
        <v>2.4662655465340029</v>
      </c>
      <c r="T84" s="177">
        <f t="shared" ref="T84:T93" si="39">S84/R84*100</f>
        <v>6.5205460456965945</v>
      </c>
      <c r="U84" s="913"/>
      <c r="AJ84" s="10"/>
      <c r="AK84" s="10"/>
      <c r="AL84" s="10"/>
      <c r="AM84" s="10"/>
      <c r="AN84" s="10"/>
      <c r="AO84" s="10"/>
      <c r="AP84" s="10"/>
      <c r="AQ84" s="10"/>
      <c r="AR84" s="10"/>
      <c r="AS84" s="10"/>
      <c r="AT84" s="10"/>
      <c r="AU84" s="10"/>
      <c r="AV84" s="10"/>
      <c r="AW84" s="10"/>
      <c r="AX84" s="414"/>
      <c r="AY84" s="414"/>
      <c r="AZ84" s="414"/>
      <c r="BA84" s="414"/>
      <c r="BB84" s="414"/>
      <c r="BC84" s="414"/>
      <c r="BD84" s="414"/>
      <c r="BE84" s="414"/>
      <c r="BF84" s="414"/>
      <c r="BG84" s="414"/>
      <c r="BH84" s="414"/>
    </row>
    <row r="85" spans="3:60" x14ac:dyDescent="0.3">
      <c r="O85" s="124" t="s">
        <v>62</v>
      </c>
      <c r="P85" s="173">
        <v>3447.26</v>
      </c>
      <c r="Q85" s="64">
        <v>4650</v>
      </c>
      <c r="R85" s="78">
        <f>12.5/124.11*384.078</f>
        <v>38.683224558859074</v>
      </c>
      <c r="S85" s="78">
        <f t="shared" si="38"/>
        <v>8.7815316562632013</v>
      </c>
      <c r="T85" s="177">
        <f t="shared" si="39"/>
        <v>22.701136620349534</v>
      </c>
      <c r="U85" s="913">
        <f>AVERAGE(T85:T87)</f>
        <v>28.134445471353555</v>
      </c>
      <c r="AJ85" s="10"/>
      <c r="AK85" s="10"/>
      <c r="AL85" s="10"/>
      <c r="AM85" s="10"/>
      <c r="AN85" s="10"/>
      <c r="AO85" s="10"/>
      <c r="AP85" s="10"/>
      <c r="AQ85" s="10"/>
      <c r="AR85" s="10"/>
      <c r="AS85" s="10"/>
      <c r="AT85" s="10"/>
      <c r="AU85" s="10"/>
      <c r="AV85" s="10"/>
      <c r="AW85" s="10"/>
      <c r="AX85" s="414"/>
      <c r="AY85" s="414"/>
      <c r="AZ85" s="414"/>
      <c r="BA85" s="414"/>
      <c r="BB85" s="414"/>
      <c r="BC85" s="414"/>
      <c r="BD85" s="414"/>
      <c r="BE85" s="414"/>
      <c r="BF85" s="414"/>
      <c r="BG85" s="414"/>
      <c r="BH85" s="414"/>
    </row>
    <row r="86" spans="3:60" x14ac:dyDescent="0.3">
      <c r="C86" s="21" t="s">
        <v>287</v>
      </c>
      <c r="E86" s="21" t="s">
        <v>288</v>
      </c>
      <c r="G86" s="21" t="s">
        <v>186</v>
      </c>
      <c r="I86" s="21" t="s">
        <v>289</v>
      </c>
      <c r="O86" s="124" t="s">
        <v>63</v>
      </c>
      <c r="P86" s="173">
        <v>4530.72</v>
      </c>
      <c r="Q86" s="64">
        <v>4650</v>
      </c>
      <c r="R86" s="78">
        <f>11.9/124.11*384.078</f>
        <v>36.826429780033841</v>
      </c>
      <c r="S86" s="78">
        <f t="shared" si="38"/>
        <v>11.146054583000891</v>
      </c>
      <c r="T86" s="177">
        <f t="shared" si="39"/>
        <v>30.266454417593145</v>
      </c>
      <c r="U86" s="913"/>
      <c r="AJ86" s="10"/>
      <c r="AK86" s="10"/>
      <c r="AL86" s="10"/>
      <c r="AM86" s="10"/>
      <c r="AN86" s="10"/>
      <c r="AO86" s="10"/>
      <c r="AP86" s="10"/>
      <c r="AQ86" s="10"/>
      <c r="AR86" s="10"/>
      <c r="AS86" s="10"/>
      <c r="AT86" s="10"/>
      <c r="AU86" s="10"/>
      <c r="AV86" s="10"/>
      <c r="AW86" s="10"/>
      <c r="AX86" s="414"/>
      <c r="AY86" s="414"/>
      <c r="AZ86" s="414"/>
      <c r="BA86" s="414"/>
      <c r="BB86" s="414"/>
      <c r="BC86" s="414"/>
      <c r="BD86" s="414"/>
      <c r="BE86" s="414"/>
      <c r="BF86" s="414"/>
      <c r="BG86" s="414"/>
      <c r="BH86" s="414"/>
    </row>
    <row r="87" spans="3:60" x14ac:dyDescent="0.3">
      <c r="C87" s="22" t="s">
        <v>385</v>
      </c>
      <c r="E87" s="22">
        <v>384.07799999999997</v>
      </c>
      <c r="G87" s="22" t="s">
        <v>469</v>
      </c>
      <c r="I87" s="22" t="s">
        <v>172</v>
      </c>
      <c r="O87" s="124" t="s">
        <v>64</v>
      </c>
      <c r="P87" s="173">
        <v>4995.49</v>
      </c>
      <c r="Q87" s="64">
        <v>4650</v>
      </c>
      <c r="R87" s="78">
        <f t="shared" ref="R87" si="40">12.5/124.11*384.078</f>
        <v>38.683224558859074</v>
      </c>
      <c r="S87" s="78">
        <f t="shared" si="38"/>
        <v>12.160359975594874</v>
      </c>
      <c r="T87" s="177">
        <f t="shared" si="39"/>
        <v>31.435745376117975</v>
      </c>
      <c r="U87" s="913"/>
      <c r="AJ87" s="10"/>
      <c r="AK87" s="10"/>
      <c r="AL87" s="10"/>
      <c r="AM87" s="10"/>
      <c r="AN87" s="10"/>
      <c r="AO87" s="10"/>
      <c r="AP87" s="10"/>
      <c r="AQ87" s="10"/>
      <c r="AR87" s="10"/>
      <c r="AS87" s="10"/>
      <c r="AT87" s="10"/>
      <c r="AU87" s="10"/>
      <c r="AV87" s="10"/>
      <c r="AW87" s="10"/>
    </row>
    <row r="88" spans="3:60" x14ac:dyDescent="0.3">
      <c r="C88" s="22">
        <v>396.09399999999999</v>
      </c>
      <c r="G88" s="22" t="s">
        <v>303</v>
      </c>
      <c r="I88" s="22">
        <f xml:space="preserve"> 357.7*0.05</f>
        <v>17.885000000000002</v>
      </c>
      <c r="O88" s="124" t="s">
        <v>65</v>
      </c>
      <c r="P88" s="173">
        <v>5531.53</v>
      </c>
      <c r="Q88" s="64">
        <v>4650</v>
      </c>
      <c r="R88" s="78">
        <f>14.2/142.1*402.06</f>
        <v>40.177705840957074</v>
      </c>
      <c r="S88" s="78">
        <f t="shared" si="38"/>
        <v>13.330203688928522</v>
      </c>
      <c r="T88" s="177">
        <f t="shared" si="39"/>
        <v>33.178110621089118</v>
      </c>
      <c r="U88" s="913">
        <f>AVERAGE(T88:T90)</f>
        <v>34.710251277593109</v>
      </c>
      <c r="AJ88" s="10"/>
      <c r="AK88" s="10"/>
      <c r="AL88" s="10"/>
      <c r="AM88" s="10"/>
      <c r="AN88" s="10"/>
      <c r="AO88" s="10"/>
      <c r="AP88" s="10"/>
      <c r="AQ88" s="10"/>
      <c r="AR88" s="10"/>
      <c r="AS88" s="10"/>
      <c r="AT88" s="10"/>
      <c r="AU88" s="10"/>
      <c r="AV88" s="10"/>
      <c r="AW88" s="10"/>
    </row>
    <row r="89" spans="3:60" x14ac:dyDescent="0.3">
      <c r="G89" s="22" t="s">
        <v>307</v>
      </c>
      <c r="O89" s="124" t="s">
        <v>66</v>
      </c>
      <c r="P89" s="173">
        <v>5935.17</v>
      </c>
      <c r="Q89" s="64">
        <v>4650</v>
      </c>
      <c r="R89" s="78">
        <f>13.6/142.1*402.06</f>
        <v>38.48005629838142</v>
      </c>
      <c r="S89" s="78">
        <f t="shared" si="38"/>
        <v>14.211100107945747</v>
      </c>
      <c r="T89" s="177">
        <f t="shared" si="39"/>
        <v>36.931079304433098</v>
      </c>
      <c r="U89" s="913"/>
    </row>
    <row r="90" spans="3:60" x14ac:dyDescent="0.3">
      <c r="O90" s="124" t="s">
        <v>67</v>
      </c>
      <c r="P90" s="173">
        <v>5686.81</v>
      </c>
      <c r="Q90" s="64">
        <v>4650</v>
      </c>
      <c r="R90" s="78">
        <f t="shared" ref="R90" si="41">14.2/142.1*402.06</f>
        <v>40.177705840957074</v>
      </c>
      <c r="S90" s="78">
        <f t="shared" si="38"/>
        <v>13.669083869150983</v>
      </c>
      <c r="T90" s="177">
        <f t="shared" si="39"/>
        <v>34.021563907257111</v>
      </c>
      <c r="U90" s="913"/>
    </row>
    <row r="91" spans="3:60" x14ac:dyDescent="0.3">
      <c r="O91" s="124" t="s">
        <v>68</v>
      </c>
      <c r="P91" s="173">
        <v>5734.3</v>
      </c>
      <c r="Q91" s="64">
        <v>4650</v>
      </c>
      <c r="R91" s="78">
        <f>9.9/96.08*357.7578</f>
        <v>36.863053913405494</v>
      </c>
      <c r="S91" s="78">
        <f t="shared" si="38"/>
        <v>13.772725160745296</v>
      </c>
      <c r="T91" s="177">
        <f t="shared" si="39"/>
        <v>37.361866960612161</v>
      </c>
      <c r="U91" s="913">
        <f>AVERAGE(T91:T93)</f>
        <v>34.469355950305193</v>
      </c>
    </row>
    <row r="92" spans="3:60" x14ac:dyDescent="0.3">
      <c r="O92" s="124" t="s">
        <v>69</v>
      </c>
      <c r="P92" s="173">
        <v>5383.03</v>
      </c>
      <c r="Q92" s="64">
        <v>4650</v>
      </c>
      <c r="R92" s="78">
        <f t="shared" ref="R92:R93" si="42">9.9/96.08*357.7578</f>
        <v>36.863053913405494</v>
      </c>
      <c r="S92" s="78">
        <f t="shared" si="38"/>
        <v>13.006120054442201</v>
      </c>
      <c r="T92" s="177">
        <f t="shared" si="39"/>
        <v>35.282264147172135</v>
      </c>
      <c r="U92" s="913"/>
    </row>
    <row r="93" spans="3:60" ht="15" thickBot="1" x14ac:dyDescent="0.35">
      <c r="O93" s="125" t="s">
        <v>70</v>
      </c>
      <c r="P93" s="696">
        <v>4619.83</v>
      </c>
      <c r="Q93" s="54">
        <v>4650</v>
      </c>
      <c r="R93" s="59">
        <f t="shared" si="42"/>
        <v>36.863053913405494</v>
      </c>
      <c r="S93" s="59">
        <f t="shared" si="38"/>
        <v>11.340526587506455</v>
      </c>
      <c r="T93" s="736">
        <f t="shared" si="39"/>
        <v>30.763936743131303</v>
      </c>
      <c r="U93" s="913"/>
    </row>
    <row r="96" spans="3:60" x14ac:dyDescent="0.3">
      <c r="G96" s="22" t="s">
        <v>47</v>
      </c>
      <c r="I96" s="22">
        <v>3</v>
      </c>
      <c r="J96" s="22">
        <v>4</v>
      </c>
      <c r="K96" s="22">
        <v>5</v>
      </c>
      <c r="L96" s="22">
        <v>6</v>
      </c>
      <c r="M96" s="22">
        <v>7</v>
      </c>
    </row>
    <row r="97" spans="7:12" x14ac:dyDescent="0.3">
      <c r="G97" s="791" t="s">
        <v>35</v>
      </c>
      <c r="H97" s="22" t="s">
        <v>10</v>
      </c>
      <c r="K97" s="22">
        <v>9.3771020818700332</v>
      </c>
      <c r="L97" s="22" t="s">
        <v>9</v>
      </c>
    </row>
    <row r="98" spans="7:12" x14ac:dyDescent="0.3">
      <c r="G98" s="791"/>
      <c r="H98" s="22" t="s">
        <v>73</v>
      </c>
      <c r="K98" s="22">
        <v>0.92136908320943922</v>
      </c>
      <c r="L98" s="22" t="s">
        <v>9</v>
      </c>
    </row>
    <row r="99" spans="7:12" x14ac:dyDescent="0.3">
      <c r="G99" s="791"/>
      <c r="H99" s="22" t="s">
        <v>25</v>
      </c>
      <c r="K99" s="22">
        <v>0</v>
      </c>
      <c r="L99" s="22" t="s">
        <v>9</v>
      </c>
    </row>
    <row r="100" spans="7:12" x14ac:dyDescent="0.3">
      <c r="G100" s="791"/>
      <c r="H100" s="22" t="s">
        <v>227</v>
      </c>
      <c r="K100" s="22">
        <v>0</v>
      </c>
      <c r="L100" s="22" t="s">
        <v>9</v>
      </c>
    </row>
    <row r="101" spans="7:12" x14ac:dyDescent="0.3">
      <c r="G101" s="791"/>
      <c r="H101" s="22" t="s">
        <v>13</v>
      </c>
      <c r="K101" s="22">
        <v>8.0505739235692015</v>
      </c>
      <c r="L101" s="22" t="s">
        <v>9</v>
      </c>
    </row>
    <row r="102" spans="7:12" x14ac:dyDescent="0.3">
      <c r="G102" s="791"/>
      <c r="H102" s="22" t="s">
        <v>24</v>
      </c>
      <c r="K102" s="22">
        <v>2.2768522464763392</v>
      </c>
      <c r="L102" s="22" t="s">
        <v>9</v>
      </c>
    </row>
    <row r="103" spans="7:12" x14ac:dyDescent="0.3">
      <c r="G103" s="791" t="s">
        <v>480</v>
      </c>
      <c r="H103" s="22" t="s">
        <v>10</v>
      </c>
      <c r="K103" s="22">
        <v>8.8604126217914523</v>
      </c>
      <c r="L103" s="22">
        <v>34</v>
      </c>
    </row>
    <row r="104" spans="7:12" x14ac:dyDescent="0.3">
      <c r="G104" s="791"/>
      <c r="H104" s="22" t="s">
        <v>73</v>
      </c>
      <c r="K104" s="22">
        <v>0.97033573995376832</v>
      </c>
      <c r="L104" s="22" t="s">
        <v>9</v>
      </c>
    </row>
    <row r="105" spans="7:12" x14ac:dyDescent="0.3">
      <c r="G105" s="791"/>
      <c r="H105" s="22" t="s">
        <v>25</v>
      </c>
      <c r="K105" s="22">
        <v>0</v>
      </c>
      <c r="L105" s="22">
        <v>8.7992971219264504</v>
      </c>
    </row>
    <row r="106" spans="7:12" x14ac:dyDescent="0.3">
      <c r="G106" s="791"/>
      <c r="H106" s="22" t="s">
        <v>227</v>
      </c>
      <c r="K106" s="912">
        <v>0</v>
      </c>
      <c r="L106" s="22" t="s">
        <v>9</v>
      </c>
    </row>
    <row r="107" spans="7:12" x14ac:dyDescent="0.3">
      <c r="G107" s="791"/>
      <c r="H107" s="22" t="s">
        <v>13</v>
      </c>
      <c r="K107" s="22">
        <v>11.641245215952884</v>
      </c>
      <c r="L107" s="22">
        <v>35</v>
      </c>
    </row>
    <row r="108" spans="7:12" x14ac:dyDescent="0.3">
      <c r="G108" s="791"/>
      <c r="H108" s="22" t="s">
        <v>24</v>
      </c>
      <c r="K108" s="22">
        <v>4.0440209613168498</v>
      </c>
      <c r="L108" s="22">
        <v>28.134445471353555</v>
      </c>
    </row>
    <row r="109" spans="7:12" x14ac:dyDescent="0.3">
      <c r="G109" s="791" t="s">
        <v>340</v>
      </c>
      <c r="H109" s="22" t="s">
        <v>10</v>
      </c>
      <c r="K109" s="22">
        <v>10.837065633388614</v>
      </c>
      <c r="L109" s="22" t="s">
        <v>9</v>
      </c>
    </row>
    <row r="110" spans="7:12" x14ac:dyDescent="0.3">
      <c r="G110" s="791"/>
      <c r="H110" s="22" t="s">
        <v>73</v>
      </c>
      <c r="K110" s="22">
        <v>0.51100757607290348</v>
      </c>
      <c r="L110" s="22" t="s">
        <v>9</v>
      </c>
    </row>
    <row r="111" spans="7:12" x14ac:dyDescent="0.3">
      <c r="G111" s="791"/>
      <c r="H111" s="22" t="s">
        <v>25</v>
      </c>
      <c r="K111" s="22" t="s">
        <v>9</v>
      </c>
      <c r="L111" s="22" t="s">
        <v>9</v>
      </c>
    </row>
    <row r="112" spans="7:12" x14ac:dyDescent="0.3">
      <c r="G112" s="791"/>
      <c r="H112" s="22" t="s">
        <v>227</v>
      </c>
      <c r="K112" s="22">
        <v>0</v>
      </c>
      <c r="L112" s="22" t="s">
        <v>9</v>
      </c>
    </row>
    <row r="113" spans="7:12" x14ac:dyDescent="0.3">
      <c r="G113" s="791"/>
      <c r="H113" s="22" t="s">
        <v>13</v>
      </c>
      <c r="K113" s="22">
        <v>0.80629410789650391</v>
      </c>
      <c r="L113" s="22" t="s">
        <v>9</v>
      </c>
    </row>
    <row r="114" spans="7:12" x14ac:dyDescent="0.3">
      <c r="G114" s="791"/>
      <c r="H114" s="22" t="s">
        <v>24</v>
      </c>
      <c r="K114" s="22" t="s">
        <v>9</v>
      </c>
      <c r="L114" s="22" t="s">
        <v>9</v>
      </c>
    </row>
    <row r="115" spans="7:12" x14ac:dyDescent="0.3">
      <c r="G115" s="791" t="s">
        <v>481</v>
      </c>
      <c r="H115" s="22" t="s">
        <v>10</v>
      </c>
      <c r="K115" s="22" t="s">
        <v>9</v>
      </c>
      <c r="L115" s="22" t="s">
        <v>9</v>
      </c>
    </row>
    <row r="116" spans="7:12" x14ac:dyDescent="0.3">
      <c r="G116" s="791"/>
      <c r="H116" s="22" t="s">
        <v>73</v>
      </c>
      <c r="K116" s="22" t="s">
        <v>9</v>
      </c>
      <c r="L116" s="22" t="s">
        <v>9</v>
      </c>
    </row>
    <row r="117" spans="7:12" x14ac:dyDescent="0.3">
      <c r="G117" s="791"/>
      <c r="H117" s="22" t="s">
        <v>25</v>
      </c>
      <c r="K117" s="22" t="s">
        <v>9</v>
      </c>
      <c r="L117" s="22" t="s">
        <v>9</v>
      </c>
    </row>
    <row r="118" spans="7:12" x14ac:dyDescent="0.3">
      <c r="G118" s="791"/>
      <c r="H118" s="22" t="s">
        <v>227</v>
      </c>
      <c r="K118" s="22" t="s">
        <v>9</v>
      </c>
      <c r="L118" s="22" t="s">
        <v>9</v>
      </c>
    </row>
    <row r="119" spans="7:12" x14ac:dyDescent="0.3">
      <c r="G119" s="791"/>
      <c r="H119" s="22" t="s">
        <v>13</v>
      </c>
      <c r="K119" s="22" t="s">
        <v>9</v>
      </c>
      <c r="L119" s="22" t="s">
        <v>9</v>
      </c>
    </row>
    <row r="120" spans="7:12" x14ac:dyDescent="0.3">
      <c r="G120" s="791"/>
      <c r="H120" s="22" t="s">
        <v>24</v>
      </c>
      <c r="K120" s="22" t="s">
        <v>9</v>
      </c>
      <c r="L120" s="22" t="s">
        <v>9</v>
      </c>
    </row>
  </sheetData>
  <mergeCells count="56">
    <mergeCell ref="G97:G102"/>
    <mergeCell ref="G103:G108"/>
    <mergeCell ref="G109:G114"/>
    <mergeCell ref="G115:G120"/>
    <mergeCell ref="U82:U84"/>
    <mergeCell ref="U85:U87"/>
    <mergeCell ref="U88:U90"/>
    <mergeCell ref="U91:U93"/>
    <mergeCell ref="CT55:CX55"/>
    <mergeCell ref="BP55:BT55"/>
    <mergeCell ref="BV55:BZ55"/>
    <mergeCell ref="CB55:CF55"/>
    <mergeCell ref="CH55:CL55"/>
    <mergeCell ref="CN55:CR55"/>
    <mergeCell ref="B58:B60"/>
    <mergeCell ref="B61:B63"/>
    <mergeCell ref="N34:Y34"/>
    <mergeCell ref="AC34:AE34"/>
    <mergeCell ref="N35:P35"/>
    <mergeCell ref="Q35:S35"/>
    <mergeCell ref="T35:V35"/>
    <mergeCell ref="W35:Y35"/>
    <mergeCell ref="AC35:AE35"/>
    <mergeCell ref="B55:B57"/>
    <mergeCell ref="K56:K60"/>
    <mergeCell ref="B38:B40"/>
    <mergeCell ref="B41:B43"/>
    <mergeCell ref="B44:B46"/>
    <mergeCell ref="B50:C50"/>
    <mergeCell ref="D50:I50"/>
    <mergeCell ref="B52:B54"/>
    <mergeCell ref="H25:I25"/>
    <mergeCell ref="BK25:BM25"/>
    <mergeCell ref="BK26:BL26"/>
    <mergeCell ref="B33:C33"/>
    <mergeCell ref="D33:G33"/>
    <mergeCell ref="B35:B37"/>
    <mergeCell ref="L37:L39"/>
    <mergeCell ref="L40:L42"/>
    <mergeCell ref="Z35:AB35"/>
    <mergeCell ref="L43:L45"/>
    <mergeCell ref="L46:L48"/>
    <mergeCell ref="K37:K48"/>
    <mergeCell ref="L54:N54"/>
    <mergeCell ref="BV10:BZ10"/>
    <mergeCell ref="CB10:CF10"/>
    <mergeCell ref="CH10:CL10"/>
    <mergeCell ref="CN10:CR10"/>
    <mergeCell ref="CT10:CX10"/>
    <mergeCell ref="BP10:BT10"/>
    <mergeCell ref="F20:G20"/>
    <mergeCell ref="I9:J9"/>
    <mergeCell ref="K9:L9"/>
    <mergeCell ref="M9:N9"/>
    <mergeCell ref="BK9:BM9"/>
    <mergeCell ref="BK10:BL10"/>
  </mergeCells>
  <pageMargins left="0.7" right="0.7" top="0.75" bottom="0.75" header="0.3" footer="0.3"/>
  <pageSetup orientation="portrait" r:id="rId1"/>
  <ignoredErrors>
    <ignoredError sqref="R89 R86" formula="1"/>
  </ignoredErrors>
  <drawing r:id="rId2"/>
  <legacyDrawing r:id="rId3"/>
  <oleObjects>
    <mc:AlternateContent xmlns:mc="http://schemas.openxmlformats.org/markup-compatibility/2006">
      <mc:Choice Requires="x14">
        <oleObject progId="ChemDraw.Document.6.0" shapeId="7169" r:id="rId4">
          <objectPr defaultSize="0" autoPict="0" r:id="rId5">
            <anchor moveWithCells="1">
              <from>
                <xdr:col>8</xdr:col>
                <xdr:colOff>60960</xdr:colOff>
                <xdr:row>68</xdr:row>
                <xdr:rowOff>160020</xdr:rowOff>
              </from>
              <to>
                <xdr:col>9</xdr:col>
                <xdr:colOff>1653540</xdr:colOff>
                <xdr:row>84</xdr:row>
                <xdr:rowOff>0</xdr:rowOff>
              </to>
            </anchor>
          </objectPr>
        </oleObject>
      </mc:Choice>
      <mc:Fallback>
        <oleObject progId="ChemDraw.Document.6.0" shapeId="7169" r:id="rId4"/>
      </mc:Fallback>
    </mc:AlternateContent>
    <mc:AlternateContent xmlns:mc="http://schemas.openxmlformats.org/markup-compatibility/2006">
      <mc:Choice Requires="x14">
        <oleObject progId="ChemDraw.Document.6.0" shapeId="7170" r:id="rId6">
          <objectPr defaultSize="0" autoPict="0" r:id="rId7">
            <anchor moveWithCells="1">
              <from>
                <xdr:col>5</xdr:col>
                <xdr:colOff>1219200</xdr:colOff>
                <xdr:row>69</xdr:row>
                <xdr:rowOff>45720</xdr:rowOff>
              </from>
              <to>
                <xdr:col>8</xdr:col>
                <xdr:colOff>807720</xdr:colOff>
                <xdr:row>83</xdr:row>
                <xdr:rowOff>121920</xdr:rowOff>
              </to>
            </anchor>
          </objectPr>
        </oleObject>
      </mc:Choice>
      <mc:Fallback>
        <oleObject progId="ChemDraw.Document.6.0" shapeId="7170" r:id="rId6"/>
      </mc:Fallback>
    </mc:AlternateContent>
    <mc:AlternateContent xmlns:mc="http://schemas.openxmlformats.org/markup-compatibility/2006">
      <mc:Choice Requires="x14">
        <oleObject progId="ChemDraw.Document.6.0" shapeId="7171" r:id="rId8">
          <objectPr defaultSize="0" autoPict="0" r:id="rId9">
            <anchor moveWithCells="1" sizeWithCells="1">
              <from>
                <xdr:col>3</xdr:col>
                <xdr:colOff>883920</xdr:colOff>
                <xdr:row>69</xdr:row>
                <xdr:rowOff>30480</xdr:rowOff>
              </from>
              <to>
                <xdr:col>5</xdr:col>
                <xdr:colOff>1021080</xdr:colOff>
                <xdr:row>83</xdr:row>
                <xdr:rowOff>76200</xdr:rowOff>
              </to>
            </anchor>
          </objectPr>
        </oleObject>
      </mc:Choice>
      <mc:Fallback>
        <oleObject progId="ChemDraw.Document.6.0" shapeId="7171" r:id="rId8"/>
      </mc:Fallback>
    </mc:AlternateContent>
    <mc:AlternateContent xmlns:mc="http://schemas.openxmlformats.org/markup-compatibility/2006">
      <mc:Choice Requires="x14">
        <oleObject progId="ChemDraw.Document.6.0" shapeId="7172" r:id="rId10">
          <objectPr defaultSize="0" autoPict="0" r:id="rId11">
            <anchor moveWithCells="1" sizeWithCells="1">
              <from>
                <xdr:col>1</xdr:col>
                <xdr:colOff>830580</xdr:colOff>
                <xdr:row>69</xdr:row>
                <xdr:rowOff>38100</xdr:rowOff>
              </from>
              <to>
                <xdr:col>3</xdr:col>
                <xdr:colOff>708660</xdr:colOff>
                <xdr:row>81</xdr:row>
                <xdr:rowOff>106680</xdr:rowOff>
              </to>
            </anchor>
          </objectPr>
        </oleObject>
      </mc:Choice>
      <mc:Fallback>
        <oleObject progId="ChemDraw.Document.6.0" shapeId="7172" r:id="rId10"/>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182"/>
  <sheetViews>
    <sheetView topLeftCell="R133" zoomScale="70" zoomScaleNormal="70" workbookViewId="0">
      <selection activeCell="Y158" sqref="Y158:AE182"/>
    </sheetView>
  </sheetViews>
  <sheetFormatPr defaultColWidth="11.5546875" defaultRowHeight="14.4" x14ac:dyDescent="0.3"/>
  <cols>
    <col min="1" max="1" width="16.5546875" customWidth="1"/>
    <col min="2" max="2" width="31.5546875" customWidth="1"/>
    <col min="3" max="3" width="28" customWidth="1"/>
    <col min="4" max="4" width="26.109375" customWidth="1"/>
    <col min="5" max="5" width="26.109375" style="22" customWidth="1"/>
    <col min="6" max="6" width="25.33203125" customWidth="1"/>
    <col min="7" max="7" width="27" customWidth="1"/>
    <col min="8" max="8" width="24.6640625" customWidth="1"/>
    <col min="9" max="9" width="30.6640625" customWidth="1"/>
    <col min="10" max="10" width="25.33203125" customWidth="1"/>
    <col min="11" max="11" width="19.5546875" customWidth="1"/>
    <col min="12" max="12" width="27.33203125" customWidth="1"/>
    <col min="13" max="13" width="24.88671875" customWidth="1"/>
    <col min="14" max="14" width="27.44140625" customWidth="1"/>
    <col min="15" max="15" width="22" customWidth="1"/>
    <col min="16" max="16" width="22" style="22" customWidth="1"/>
    <col min="17" max="17" width="2.88671875" style="196" customWidth="1"/>
    <col min="18" max="18" width="22" style="22" customWidth="1"/>
    <col min="19" max="19" width="18.77734375" style="22" customWidth="1"/>
    <col min="20" max="20" width="27" customWidth="1"/>
    <col min="21" max="21" width="6.77734375" customWidth="1"/>
    <col min="22" max="22" width="8.44140625" customWidth="1"/>
    <col min="23" max="33" width="15" customWidth="1"/>
    <col min="34" max="34" width="5.77734375" customWidth="1"/>
    <col min="35" max="35" width="9.77734375" style="22" customWidth="1"/>
    <col min="36" max="36" width="16.44140625" customWidth="1"/>
    <col min="37" max="37" width="17.44140625" customWidth="1"/>
    <col min="38" max="38" width="20.33203125" style="22" customWidth="1"/>
    <col min="39" max="39" width="9.77734375" customWidth="1"/>
    <col min="40" max="40" width="21.109375" customWidth="1"/>
    <col min="41" max="41" width="22" style="22" customWidth="1"/>
    <col min="42" max="43" width="13.6640625" customWidth="1"/>
    <col min="44" max="44" width="13.6640625" style="22" customWidth="1"/>
    <col min="45" max="46" width="13.6640625" customWidth="1"/>
    <col min="47" max="47" width="13.6640625" style="22" customWidth="1"/>
    <col min="48" max="49" width="13.6640625" customWidth="1"/>
    <col min="50" max="50" width="13.6640625" style="22" customWidth="1"/>
    <col min="51" max="52" width="13.6640625" customWidth="1"/>
    <col min="53" max="53" width="13.6640625" style="22" customWidth="1"/>
    <col min="54" max="71" width="13.6640625" customWidth="1"/>
  </cols>
  <sheetData>
    <row r="1" spans="1:101" x14ac:dyDescent="0.3">
      <c r="S1" s="894" t="s">
        <v>153</v>
      </c>
      <c r="T1" s="895"/>
      <c r="AP1" s="22"/>
      <c r="AQ1" s="22"/>
      <c r="AS1" s="22"/>
      <c r="AT1" s="22"/>
      <c r="AV1" s="22"/>
      <c r="AW1" s="22"/>
      <c r="AY1" s="22"/>
      <c r="AZ1" s="22"/>
      <c r="BB1" s="22"/>
      <c r="BC1" s="22"/>
      <c r="BD1" s="22"/>
      <c r="BE1" s="22"/>
      <c r="BF1" s="22"/>
      <c r="BG1" s="22"/>
      <c r="BH1" s="22"/>
      <c r="BI1" s="22"/>
      <c r="BJ1" s="22"/>
      <c r="BK1" s="22"/>
      <c r="BL1" s="22"/>
      <c r="BM1" s="22"/>
      <c r="BN1" s="22"/>
      <c r="BO1" s="22"/>
      <c r="BP1" s="22"/>
      <c r="BQ1" s="22"/>
      <c r="BR1" s="22"/>
      <c r="BS1" s="22"/>
      <c r="BT1" s="22"/>
      <c r="BU1" s="22"/>
      <c r="BV1" s="22"/>
      <c r="BW1" s="22"/>
      <c r="BX1" s="22"/>
      <c r="BY1" s="22"/>
    </row>
    <row r="2" spans="1:101" ht="15" thickBot="1" x14ac:dyDescent="0.35">
      <c r="S2" s="896"/>
      <c r="T2" s="897"/>
      <c r="AP2" s="22"/>
      <c r="AQ2" s="22"/>
      <c r="AS2" s="22"/>
      <c r="AT2" s="22"/>
      <c r="AV2" s="22"/>
      <c r="AW2" s="22"/>
      <c r="AY2" s="22"/>
      <c r="AZ2" s="22"/>
      <c r="BB2" s="22"/>
      <c r="BC2" s="22"/>
      <c r="BD2" s="22"/>
      <c r="BE2" s="22"/>
      <c r="BF2" s="22"/>
      <c r="BG2" s="22"/>
      <c r="BH2" s="22"/>
      <c r="BI2" s="22"/>
      <c r="BJ2" s="22"/>
      <c r="BK2" s="22"/>
      <c r="BL2" s="22"/>
      <c r="BM2" s="22"/>
      <c r="BN2" s="22"/>
      <c r="BO2" s="22"/>
      <c r="BP2" s="22"/>
      <c r="BQ2" s="22"/>
      <c r="BR2" s="22"/>
      <c r="BS2" s="22"/>
      <c r="BT2" s="22"/>
      <c r="BU2" s="22"/>
      <c r="BV2" s="22"/>
      <c r="BW2" s="22"/>
      <c r="BX2" s="22"/>
      <c r="BY2" s="22"/>
    </row>
    <row r="3" spans="1:101" ht="15" thickBot="1" x14ac:dyDescent="0.35">
      <c r="AP3" s="22"/>
      <c r="AQ3" s="22"/>
      <c r="AS3" s="22"/>
      <c r="AT3" s="22"/>
      <c r="AV3" s="22"/>
      <c r="AW3" s="22"/>
      <c r="AY3" s="22"/>
      <c r="AZ3" s="22"/>
      <c r="BB3" s="22"/>
      <c r="BC3" s="22"/>
      <c r="BD3" s="22"/>
      <c r="BE3" s="22"/>
      <c r="BF3" s="22"/>
      <c r="BG3" s="22"/>
      <c r="BH3" s="22"/>
      <c r="BI3" s="22"/>
      <c r="BJ3" s="22"/>
      <c r="BK3" s="22"/>
      <c r="BL3" s="22"/>
      <c r="BM3" s="22"/>
      <c r="BN3" s="22"/>
      <c r="BO3" s="22"/>
      <c r="BP3" s="22"/>
      <c r="BQ3" s="22"/>
      <c r="BR3" s="22"/>
      <c r="BS3" s="22"/>
      <c r="BT3" s="22"/>
      <c r="BU3" s="22"/>
      <c r="BV3" s="22"/>
      <c r="BW3" s="22"/>
      <c r="BX3" s="22"/>
      <c r="BY3" s="22"/>
    </row>
    <row r="4" spans="1:101" x14ac:dyDescent="0.3">
      <c r="B4" s="191" t="s">
        <v>45</v>
      </c>
      <c r="C4" s="192" t="s">
        <v>21</v>
      </c>
      <c r="D4" s="193" t="s">
        <v>20</v>
      </c>
      <c r="K4" s="2"/>
      <c r="V4" s="22"/>
      <c r="W4" s="22"/>
      <c r="X4" s="22"/>
      <c r="Y4" s="22"/>
      <c r="Z4" s="22"/>
      <c r="AA4" s="22"/>
      <c r="AB4" s="22"/>
      <c r="AC4" s="22"/>
      <c r="AE4" s="22"/>
      <c r="AF4" s="22"/>
      <c r="AG4" s="22"/>
      <c r="AH4" s="22"/>
      <c r="AJ4" s="22"/>
      <c r="AK4" s="22"/>
      <c r="AM4" s="22"/>
      <c r="AN4" s="22"/>
      <c r="AO4" s="894" t="s">
        <v>168</v>
      </c>
      <c r="AP4" s="906"/>
      <c r="AQ4" s="895"/>
      <c r="BU4" s="22"/>
      <c r="BV4" s="22"/>
      <c r="BW4" s="22"/>
      <c r="BX4" s="22"/>
      <c r="BY4" s="22"/>
    </row>
    <row r="5" spans="1:101" ht="15" customHeight="1" thickBot="1" x14ac:dyDescent="0.35">
      <c r="B5" s="189">
        <v>1200</v>
      </c>
      <c r="C5" s="190">
        <f>H13+H19+F26+H21</f>
        <v>1025.4685374900894</v>
      </c>
      <c r="D5" s="194">
        <v>2</v>
      </c>
      <c r="E5" s="1"/>
      <c r="T5" s="22"/>
      <c r="U5" s="22"/>
      <c r="V5" s="22"/>
      <c r="W5" s="22"/>
      <c r="X5" s="22"/>
      <c r="Y5" s="22"/>
      <c r="Z5" s="22"/>
      <c r="AA5" s="22"/>
      <c r="AB5" s="22"/>
      <c r="AC5" s="22"/>
      <c r="AE5" s="22"/>
      <c r="AF5" s="22"/>
      <c r="AG5" s="22"/>
      <c r="AH5" s="22"/>
      <c r="AJ5" s="22"/>
      <c r="AK5" s="22"/>
      <c r="AM5" s="22"/>
      <c r="AN5" s="22"/>
      <c r="AO5" s="896"/>
      <c r="AP5" s="907"/>
      <c r="AQ5" s="897"/>
      <c r="BU5" s="22"/>
      <c r="BV5" s="22"/>
      <c r="BW5" s="22"/>
      <c r="BX5" s="22"/>
      <c r="BY5" s="22"/>
      <c r="BZ5" s="22"/>
    </row>
    <row r="6" spans="1:101" ht="15" customHeight="1" x14ac:dyDescent="0.3">
      <c r="M6" s="2"/>
      <c r="T6" s="22"/>
      <c r="U6" s="22"/>
      <c r="V6" s="22"/>
      <c r="W6" s="22"/>
      <c r="X6" s="22"/>
      <c r="Y6" s="22"/>
      <c r="Z6" s="22"/>
      <c r="AA6" s="22"/>
      <c r="AB6" s="22"/>
      <c r="AC6" s="22"/>
      <c r="AE6" s="22"/>
      <c r="AF6" s="22"/>
      <c r="AG6" s="22"/>
      <c r="AH6" s="22"/>
      <c r="AJ6" s="22"/>
      <c r="AK6" s="22"/>
      <c r="AM6" s="22"/>
      <c r="AN6" s="22"/>
      <c r="AO6"/>
      <c r="AP6" s="22"/>
      <c r="AR6"/>
      <c r="AS6" s="22"/>
      <c r="AU6"/>
      <c r="AV6" s="22"/>
      <c r="AX6"/>
      <c r="AY6" s="22"/>
      <c r="BA6"/>
      <c r="BS6" s="22"/>
      <c r="BT6" s="22"/>
      <c r="BU6" s="22"/>
      <c r="BV6" s="22"/>
      <c r="BW6" s="22"/>
      <c r="BX6" s="22"/>
    </row>
    <row r="7" spans="1:101" ht="14.4" customHeight="1" thickBot="1" x14ac:dyDescent="0.35">
      <c r="T7" s="22"/>
      <c r="U7" s="22"/>
      <c r="V7" s="22"/>
      <c r="W7" s="22"/>
      <c r="X7" s="22"/>
      <c r="Y7" s="22"/>
      <c r="Z7" s="22"/>
      <c r="AA7" s="22"/>
      <c r="AB7" s="22"/>
      <c r="AC7" s="22"/>
      <c r="AO7"/>
      <c r="AP7" s="22"/>
      <c r="AR7"/>
      <c r="AS7" s="22"/>
      <c r="AU7"/>
      <c r="AV7" s="22"/>
      <c r="AX7"/>
      <c r="AY7" s="22"/>
      <c r="BA7"/>
      <c r="BS7" s="22"/>
      <c r="BT7" s="22"/>
      <c r="BU7" s="22"/>
      <c r="BV7" s="22"/>
      <c r="BW7" s="22"/>
      <c r="BX7" s="22"/>
    </row>
    <row r="8" spans="1:101" ht="14.4" customHeight="1" thickBot="1" x14ac:dyDescent="0.4">
      <c r="A8" s="87" t="s">
        <v>23</v>
      </c>
      <c r="P8" s="9"/>
      <c r="Q8" s="197"/>
      <c r="R8" s="9"/>
      <c r="AO8" s="30"/>
      <c r="AP8" s="909" t="s">
        <v>169</v>
      </c>
      <c r="AQ8" s="910"/>
      <c r="AR8" s="910"/>
      <c r="AS8" s="910"/>
      <c r="AT8" s="911"/>
      <c r="AU8" s="900" t="s">
        <v>194</v>
      </c>
      <c r="AV8" s="900"/>
      <c r="AW8" s="900"/>
      <c r="AX8" s="900"/>
      <c r="AY8" s="900"/>
      <c r="AZ8" s="900" t="s">
        <v>195</v>
      </c>
      <c r="BA8" s="900"/>
      <c r="BB8" s="900"/>
      <c r="BC8" s="900"/>
      <c r="BD8" s="900"/>
      <c r="BE8" s="900" t="s">
        <v>196</v>
      </c>
      <c r="BF8" s="900"/>
      <c r="BG8" s="900"/>
      <c r="BH8" s="900"/>
      <c r="BI8" s="900"/>
      <c r="BJ8" s="900" t="s">
        <v>197</v>
      </c>
      <c r="BK8" s="900"/>
      <c r="BL8" s="900"/>
      <c r="BM8" s="900"/>
      <c r="BN8" s="900"/>
      <c r="BO8" s="900" t="s">
        <v>198</v>
      </c>
      <c r="BP8" s="900"/>
      <c r="BQ8" s="900"/>
      <c r="BR8" s="900"/>
      <c r="BS8" s="901"/>
      <c r="BT8" s="22"/>
      <c r="BU8" s="22"/>
      <c r="BV8" s="22"/>
      <c r="BW8" s="22"/>
      <c r="BX8" s="22"/>
    </row>
    <row r="9" spans="1:101" ht="15" customHeight="1" x14ac:dyDescent="0.3">
      <c r="C9" s="873" t="s">
        <v>114</v>
      </c>
      <c r="D9" s="743"/>
      <c r="E9" s="874"/>
      <c r="F9" s="742" t="s">
        <v>150</v>
      </c>
      <c r="G9" s="743"/>
      <c r="H9" s="743"/>
      <c r="I9" s="742" t="s">
        <v>125</v>
      </c>
      <c r="J9" s="743"/>
      <c r="K9" s="742" t="s">
        <v>126</v>
      </c>
      <c r="L9" s="743"/>
      <c r="M9" s="877" t="s">
        <v>127</v>
      </c>
      <c r="N9" s="878"/>
      <c r="O9" s="875" t="s">
        <v>32</v>
      </c>
      <c r="P9" s="75"/>
      <c r="Q9" s="198"/>
      <c r="R9" s="75"/>
      <c r="S9" s="873" t="s">
        <v>54</v>
      </c>
      <c r="T9" s="743"/>
      <c r="U9" s="743"/>
      <c r="V9" s="743"/>
      <c r="W9" s="743"/>
      <c r="X9" s="743"/>
      <c r="Y9" s="744"/>
      <c r="AA9" s="886" t="s">
        <v>143</v>
      </c>
      <c r="AB9" s="887"/>
      <c r="AC9" s="887"/>
      <c r="AD9" s="885"/>
      <c r="AE9" s="743" t="s">
        <v>71</v>
      </c>
      <c r="AF9" s="743"/>
      <c r="AG9" s="743"/>
      <c r="AH9" s="743"/>
      <c r="AI9" s="743"/>
      <c r="AJ9" s="744"/>
      <c r="AK9" s="879" t="s">
        <v>142</v>
      </c>
      <c r="AL9" s="851"/>
      <c r="AM9" s="129"/>
      <c r="AO9" s="908" t="s">
        <v>35</v>
      </c>
      <c r="AP9" s="275"/>
      <c r="AQ9" s="276"/>
      <c r="AR9" s="276"/>
      <c r="AS9" s="276"/>
      <c r="AT9" s="277"/>
      <c r="AU9" s="275"/>
      <c r="AV9" s="276"/>
      <c r="AW9" s="278"/>
      <c r="AX9" s="276"/>
      <c r="AY9" s="279"/>
      <c r="AZ9" s="280"/>
      <c r="BA9" s="62"/>
      <c r="BB9" s="281"/>
      <c r="BC9" s="268"/>
      <c r="BD9" s="269"/>
      <c r="BE9" s="267"/>
      <c r="BF9" s="268"/>
      <c r="BG9" s="268"/>
      <c r="BH9" s="282"/>
      <c r="BI9" s="269"/>
      <c r="BJ9" s="267"/>
      <c r="BK9" s="268"/>
      <c r="BL9" s="268"/>
      <c r="BM9" s="268"/>
      <c r="BN9" s="268"/>
      <c r="BO9" s="267"/>
      <c r="BP9" s="268"/>
      <c r="BQ9" s="268"/>
      <c r="BR9" s="268"/>
      <c r="BS9" s="270"/>
      <c r="BT9" s="22"/>
      <c r="BU9" s="22"/>
      <c r="BV9" s="22"/>
      <c r="BW9" s="22"/>
      <c r="BX9" s="22"/>
      <c r="BY9" s="22"/>
    </row>
    <row r="10" spans="1:101" ht="15" customHeight="1" thickBot="1" x14ac:dyDescent="0.35">
      <c r="C10" s="161" t="s">
        <v>145</v>
      </c>
      <c r="D10" s="56" t="s">
        <v>0</v>
      </c>
      <c r="E10" s="162" t="s">
        <v>146</v>
      </c>
      <c r="F10" s="76" t="s">
        <v>147</v>
      </c>
      <c r="G10" s="56" t="s">
        <v>148</v>
      </c>
      <c r="H10" s="56" t="s">
        <v>149</v>
      </c>
      <c r="I10" s="76" t="s">
        <v>148</v>
      </c>
      <c r="J10" s="56" t="s">
        <v>149</v>
      </c>
      <c r="K10" s="76" t="s">
        <v>148</v>
      </c>
      <c r="L10" s="56" t="s">
        <v>155</v>
      </c>
      <c r="M10" s="120" t="s">
        <v>148</v>
      </c>
      <c r="N10" s="121" t="s">
        <v>155</v>
      </c>
      <c r="O10" s="876"/>
      <c r="P10" s="75"/>
      <c r="Q10" s="198"/>
      <c r="R10" s="75"/>
      <c r="S10" s="77" t="s">
        <v>47</v>
      </c>
      <c r="T10" s="76" t="s">
        <v>46</v>
      </c>
      <c r="U10" s="47" t="s">
        <v>55</v>
      </c>
      <c r="V10" s="76" t="s">
        <v>56</v>
      </c>
      <c r="W10" s="56" t="s">
        <v>57</v>
      </c>
      <c r="X10" s="56" t="s">
        <v>112</v>
      </c>
      <c r="Y10" s="128" t="s">
        <v>58</v>
      </c>
      <c r="AA10" s="79" t="s">
        <v>47</v>
      </c>
      <c r="AB10" s="119" t="s">
        <v>46</v>
      </c>
      <c r="AC10" s="41" t="s">
        <v>55</v>
      </c>
      <c r="AD10" s="142" t="s">
        <v>135</v>
      </c>
      <c r="AE10" s="42" t="s">
        <v>19</v>
      </c>
      <c r="AF10" s="42" t="s">
        <v>46</v>
      </c>
      <c r="AG10" s="42" t="s">
        <v>47</v>
      </c>
      <c r="AH10" s="42" t="s">
        <v>5</v>
      </c>
      <c r="AI10" s="42" t="s">
        <v>3</v>
      </c>
      <c r="AJ10" s="42" t="s">
        <v>6</v>
      </c>
      <c r="AK10" s="136" t="s">
        <v>137</v>
      </c>
      <c r="AL10" s="137" t="s">
        <v>138</v>
      </c>
      <c r="AM10" s="26"/>
      <c r="AN10" s="122"/>
      <c r="AO10" s="749"/>
      <c r="AP10" s="238"/>
      <c r="AQ10" s="232"/>
      <c r="AR10" s="232"/>
      <c r="AS10" s="232"/>
      <c r="AT10" s="240"/>
      <c r="AU10" s="238"/>
      <c r="AV10" s="232"/>
      <c r="AW10" s="233"/>
      <c r="AX10" s="232"/>
      <c r="AY10" s="240"/>
      <c r="AZ10" s="251"/>
      <c r="BA10" s="64"/>
      <c r="BB10" s="147"/>
      <c r="BC10" s="147"/>
      <c r="BD10" s="242"/>
      <c r="BE10" s="146"/>
      <c r="BF10" s="147"/>
      <c r="BG10" s="147"/>
      <c r="BH10" s="205"/>
      <c r="BI10" s="242"/>
      <c r="BJ10" s="146"/>
      <c r="BK10" s="147"/>
      <c r="BL10" s="147"/>
      <c r="BM10" s="147"/>
      <c r="BN10" s="147"/>
      <c r="BO10" s="146"/>
      <c r="BP10" s="147"/>
      <c r="BQ10" s="147"/>
      <c r="BR10" s="147"/>
      <c r="BS10" s="271"/>
      <c r="BT10" s="11"/>
      <c r="BU10" s="11"/>
      <c r="BV10" s="11"/>
      <c r="BW10" s="11"/>
      <c r="BX10" s="11"/>
      <c r="BY10" s="11"/>
      <c r="CA10" s="791"/>
      <c r="CB10" s="791"/>
      <c r="CC10" s="791"/>
      <c r="CD10" s="791"/>
      <c r="CE10" s="791"/>
      <c r="CG10" s="791"/>
      <c r="CH10" s="791"/>
      <c r="CI10" s="791"/>
      <c r="CJ10" s="791"/>
      <c r="CK10" s="791"/>
      <c r="CM10" s="791"/>
      <c r="CN10" s="791"/>
      <c r="CO10" s="791"/>
      <c r="CP10" s="791"/>
      <c r="CQ10" s="791"/>
      <c r="CS10" s="11"/>
      <c r="CT10" s="11"/>
      <c r="CU10" s="11"/>
      <c r="CV10" s="11"/>
      <c r="CW10" s="11"/>
    </row>
    <row r="11" spans="1:101" ht="15" customHeight="1" x14ac:dyDescent="0.3">
      <c r="A11" s="61" t="s">
        <v>19</v>
      </c>
      <c r="B11" s="63" t="s">
        <v>19</v>
      </c>
      <c r="C11" s="124" t="s">
        <v>9</v>
      </c>
      <c r="D11" s="64" t="s">
        <v>9</v>
      </c>
      <c r="E11" s="163" t="s">
        <v>9</v>
      </c>
      <c r="F11" s="45" t="s">
        <v>9</v>
      </c>
      <c r="G11" s="64">
        <f>1</f>
        <v>1</v>
      </c>
      <c r="H11" s="78" t="s">
        <v>9</v>
      </c>
      <c r="I11" s="84">
        <f>G11*D$5</f>
        <v>2</v>
      </c>
      <c r="J11" s="78" t="s">
        <v>9</v>
      </c>
      <c r="K11" s="84">
        <f t="shared" ref="K11:K21" si="0">L11*E$26</f>
        <v>55.02</v>
      </c>
      <c r="L11" s="78">
        <v>70</v>
      </c>
      <c r="M11" s="81">
        <f>I11+K11</f>
        <v>57.02</v>
      </c>
      <c r="N11" s="82" t="s">
        <v>9</v>
      </c>
      <c r="O11" s="157">
        <v>48</v>
      </c>
      <c r="P11" s="38"/>
      <c r="Q11" s="199"/>
      <c r="R11" s="38"/>
      <c r="S11" s="748" t="s">
        <v>35</v>
      </c>
      <c r="T11" s="861" t="s">
        <v>10</v>
      </c>
      <c r="U11" s="47" t="s">
        <v>79</v>
      </c>
      <c r="V11" s="41">
        <v>61</v>
      </c>
      <c r="W11" s="42">
        <v>67</v>
      </c>
      <c r="X11" s="42">
        <v>87</v>
      </c>
      <c r="Y11" s="43">
        <v>91</v>
      </c>
      <c r="AA11" s="748" t="s">
        <v>35</v>
      </c>
      <c r="AB11" s="861" t="s">
        <v>10</v>
      </c>
      <c r="AC11" s="47" t="s">
        <v>79</v>
      </c>
      <c r="AD11" s="142">
        <v>1</v>
      </c>
      <c r="AE11" s="57">
        <f t="shared" ref="AE11:AE58" si="1">V11*O$38</f>
        <v>2.0797606496143244</v>
      </c>
      <c r="AF11" s="57">
        <f>W11*O$39</f>
        <v>9.9606362567308295</v>
      </c>
      <c r="AG11" s="57">
        <f t="shared" ref="AG11:AG28" si="2">X11*O$45</f>
        <v>23.857476404360991</v>
      </c>
      <c r="AH11" s="57">
        <f t="shared" ref="AH11:AH58" si="3">Y11*O$48</f>
        <v>37.785103856565947</v>
      </c>
      <c r="AI11" s="42">
        <v>549</v>
      </c>
      <c r="AJ11" s="42">
        <v>48.7</v>
      </c>
      <c r="AK11" s="138">
        <f>L$11 + N$12 + N$18 + N$21 + H$26</f>
        <v>1056.792395584386</v>
      </c>
      <c r="AL11" s="139">
        <f t="shared" ref="AL11:AL58" si="4">AK11+ (M$52*N$52)</f>
        <v>4656.7923955843862</v>
      </c>
      <c r="AM11" s="26"/>
      <c r="AN11" s="122"/>
      <c r="AO11" s="749"/>
      <c r="AP11" s="241"/>
      <c r="AQ11" s="233"/>
      <c r="AR11" s="232"/>
      <c r="AS11" s="234"/>
      <c r="AT11" s="239"/>
      <c r="AU11" s="238"/>
      <c r="AV11" s="234"/>
      <c r="AW11" s="233"/>
      <c r="AX11" s="232"/>
      <c r="AY11" s="249"/>
      <c r="AZ11" s="171"/>
      <c r="BA11" s="64"/>
      <c r="BB11" s="234"/>
      <c r="BC11" s="147"/>
      <c r="BD11" s="242"/>
      <c r="BE11" s="146"/>
      <c r="BF11" s="147"/>
      <c r="BG11" s="147"/>
      <c r="BH11" s="205"/>
      <c r="BI11" s="242"/>
      <c r="BJ11" s="146"/>
      <c r="BK11" s="147"/>
      <c r="BL11" s="147"/>
      <c r="BM11" s="147"/>
      <c r="BN11" s="147"/>
      <c r="BO11" s="146"/>
      <c r="BP11" s="147"/>
      <c r="BQ11" s="147"/>
      <c r="BR11" s="147"/>
      <c r="BS11" s="271"/>
      <c r="BT11" s="22"/>
      <c r="BU11" s="22"/>
      <c r="BV11" s="22"/>
      <c r="BW11" s="22"/>
      <c r="BX11" s="22"/>
      <c r="BY11" s="22"/>
    </row>
    <row r="12" spans="1:101" ht="15" customHeight="1" x14ac:dyDescent="0.3">
      <c r="A12" s="124" t="s">
        <v>1</v>
      </c>
      <c r="B12" s="46" t="s">
        <v>10</v>
      </c>
      <c r="C12" s="124" t="s">
        <v>15</v>
      </c>
      <c r="D12" s="64">
        <v>96.08</v>
      </c>
      <c r="E12" s="163">
        <v>1.1599999999999999</v>
      </c>
      <c r="F12" s="45">
        <v>0.05</v>
      </c>
      <c r="G12" s="64">
        <f t="shared" ref="G12" si="5">F12*D12</f>
        <v>4.8040000000000003</v>
      </c>
      <c r="H12" s="78">
        <f t="shared" ref="H12:H20" si="6">G12/E12</f>
        <v>4.1413793103448278</v>
      </c>
      <c r="I12" s="84">
        <f t="shared" ref="I12:I22" si="7">G12*D$5</f>
        <v>9.6080000000000005</v>
      </c>
      <c r="J12" s="78">
        <f t="shared" ref="J12:J21" si="8">I12/E12</f>
        <v>8.2827586206896555</v>
      </c>
      <c r="K12" s="84">
        <f t="shared" si="0"/>
        <v>55.02</v>
      </c>
      <c r="L12" s="78">
        <v>70</v>
      </c>
      <c r="M12" s="81">
        <f>I12+K12</f>
        <v>64.628</v>
      </c>
      <c r="N12" s="82">
        <f>J12+L12</f>
        <v>78.282758620689663</v>
      </c>
      <c r="O12" s="157">
        <v>9</v>
      </c>
      <c r="P12" s="38"/>
      <c r="Q12" s="199"/>
      <c r="R12" s="38"/>
      <c r="S12" s="749"/>
      <c r="T12" s="862"/>
      <c r="U12" s="44" t="s">
        <v>80</v>
      </c>
      <c r="V12" s="45">
        <v>56</v>
      </c>
      <c r="W12" s="64">
        <v>62</v>
      </c>
      <c r="X12" s="64">
        <v>75</v>
      </c>
      <c r="Y12" s="46">
        <v>83</v>
      </c>
      <c r="AA12" s="749"/>
      <c r="AB12" s="862"/>
      <c r="AC12" s="44" t="s">
        <v>80</v>
      </c>
      <c r="AD12" s="143">
        <f>AD11+1</f>
        <v>2</v>
      </c>
      <c r="AE12" s="78">
        <f t="shared" si="1"/>
        <v>1.9092884652197075</v>
      </c>
      <c r="AF12" s="78">
        <f>W12*O$39</f>
        <v>9.2173051927956919</v>
      </c>
      <c r="AG12" s="78">
        <f t="shared" si="2"/>
        <v>20.566790003759476</v>
      </c>
      <c r="AH12" s="78">
        <f t="shared" si="3"/>
        <v>34.463336484560152</v>
      </c>
      <c r="AI12" s="64">
        <v>559</v>
      </c>
      <c r="AJ12" s="64">
        <v>49</v>
      </c>
      <c r="AK12" s="132">
        <f>L$11 + N$12 + N$18 + N$21 + H$26</f>
        <v>1056.792395584386</v>
      </c>
      <c r="AL12" s="133">
        <f t="shared" si="4"/>
        <v>4656.7923955843862</v>
      </c>
      <c r="AM12" s="26"/>
      <c r="AN12" s="122"/>
      <c r="AO12" s="749"/>
      <c r="AP12" s="238"/>
      <c r="AQ12" s="232"/>
      <c r="AR12" s="232"/>
      <c r="AS12" s="232"/>
      <c r="AT12" s="240"/>
      <c r="AU12" s="238"/>
      <c r="AV12" s="234"/>
      <c r="AW12" s="233"/>
      <c r="AX12" s="232"/>
      <c r="AY12" s="249"/>
      <c r="AZ12" s="251"/>
      <c r="BA12" s="64"/>
      <c r="BB12" s="234"/>
      <c r="BC12" s="147"/>
      <c r="BD12" s="242"/>
      <c r="BE12" s="146"/>
      <c r="BF12" s="147"/>
      <c r="BG12" s="147"/>
      <c r="BH12" s="205"/>
      <c r="BI12" s="242"/>
      <c r="BJ12" s="146"/>
      <c r="BK12" s="147"/>
      <c r="BL12" s="147"/>
      <c r="BM12" s="147"/>
      <c r="BN12" s="147"/>
      <c r="BO12" s="146"/>
      <c r="BP12" s="147"/>
      <c r="BQ12" s="147"/>
      <c r="BR12" s="147"/>
      <c r="BS12" s="271"/>
      <c r="BT12" s="22"/>
      <c r="BU12" s="22"/>
      <c r="BV12" s="22"/>
      <c r="BW12" s="22"/>
      <c r="BX12" s="22"/>
      <c r="BY12" s="22"/>
    </row>
    <row r="13" spans="1:101" x14ac:dyDescent="0.3">
      <c r="A13" s="124" t="s">
        <v>2</v>
      </c>
      <c r="B13" s="46" t="s">
        <v>13</v>
      </c>
      <c r="C13" s="124" t="s">
        <v>16</v>
      </c>
      <c r="D13" s="64">
        <v>142.1</v>
      </c>
      <c r="E13" s="163">
        <v>1.296</v>
      </c>
      <c r="F13" s="45">
        <v>0.05</v>
      </c>
      <c r="G13" s="64">
        <f>F13*D13</f>
        <v>7.1050000000000004</v>
      </c>
      <c r="H13" s="78">
        <f t="shared" si="6"/>
        <v>5.4822530864197532</v>
      </c>
      <c r="I13" s="84">
        <f t="shared" si="7"/>
        <v>14.21</v>
      </c>
      <c r="J13" s="78">
        <f t="shared" si="8"/>
        <v>10.964506172839506</v>
      </c>
      <c r="K13" s="84">
        <f t="shared" si="0"/>
        <v>55.02</v>
      </c>
      <c r="L13" s="78">
        <v>70</v>
      </c>
      <c r="M13" s="81">
        <f t="shared" ref="M13:M21" si="9">I13+K13</f>
        <v>69.23</v>
      </c>
      <c r="N13" s="82">
        <f t="shared" ref="N13:N21" si="10">J13+L13</f>
        <v>80.964506172839506</v>
      </c>
      <c r="O13" s="157">
        <v>9</v>
      </c>
      <c r="P13" s="38"/>
      <c r="Q13" s="199"/>
      <c r="R13" s="38"/>
      <c r="S13" s="749"/>
      <c r="T13" s="863"/>
      <c r="U13" s="48" t="s">
        <v>81</v>
      </c>
      <c r="V13" s="49">
        <v>56</v>
      </c>
      <c r="W13" s="50">
        <v>72</v>
      </c>
      <c r="X13" s="50">
        <v>76</v>
      </c>
      <c r="Y13" s="51">
        <v>84</v>
      </c>
      <c r="AA13" s="749"/>
      <c r="AB13" s="863"/>
      <c r="AC13" s="48" t="s">
        <v>81</v>
      </c>
      <c r="AD13" s="144">
        <f t="shared" ref="AD13:AD58" si="11">AD12+1</f>
        <v>3</v>
      </c>
      <c r="AE13" s="58">
        <f t="shared" si="1"/>
        <v>1.9092884652197075</v>
      </c>
      <c r="AF13" s="58">
        <f>W13*O$39</f>
        <v>10.703967320665965</v>
      </c>
      <c r="AG13" s="58">
        <f t="shared" si="2"/>
        <v>20.841013870476267</v>
      </c>
      <c r="AH13" s="58">
        <f t="shared" si="3"/>
        <v>34.878557406060878</v>
      </c>
      <c r="AI13" s="50">
        <v>555</v>
      </c>
      <c r="AJ13" s="50">
        <v>47.7</v>
      </c>
      <c r="AK13" s="140">
        <f>L$11 + N$12 + N$18 + N$21 + H$26</f>
        <v>1056.792395584386</v>
      </c>
      <c r="AL13" s="141">
        <f t="shared" si="4"/>
        <v>4656.7923955843862</v>
      </c>
      <c r="AM13" s="26"/>
      <c r="AN13" s="122"/>
      <c r="AO13" s="749"/>
      <c r="AP13" s="238"/>
      <c r="AQ13" s="233"/>
      <c r="AR13" s="232"/>
      <c r="AS13" s="232"/>
      <c r="AT13" s="239"/>
      <c r="AU13" s="238"/>
      <c r="AV13" s="232"/>
      <c r="AW13" s="233"/>
      <c r="AX13" s="232"/>
      <c r="AY13" s="240"/>
      <c r="AZ13" s="251"/>
      <c r="BA13" s="64"/>
      <c r="BB13" s="147"/>
      <c r="BC13" s="147"/>
      <c r="BD13" s="242"/>
      <c r="BE13" s="146"/>
      <c r="BF13" s="147"/>
      <c r="BG13" s="147"/>
      <c r="BH13" s="205"/>
      <c r="BI13" s="242"/>
      <c r="BJ13" s="146"/>
      <c r="BK13" s="147"/>
      <c r="BL13" s="147"/>
      <c r="BM13" s="147"/>
      <c r="BN13" s="147"/>
      <c r="BO13" s="146"/>
      <c r="BP13" s="147"/>
      <c r="BQ13" s="147"/>
      <c r="BR13" s="147"/>
      <c r="BS13" s="271"/>
      <c r="BT13" s="22"/>
      <c r="BU13" s="22"/>
      <c r="BV13" s="22"/>
      <c r="BW13" s="22"/>
      <c r="BX13" s="22"/>
      <c r="BY13" s="22"/>
    </row>
    <row r="14" spans="1:101" s="1" customFormat="1" x14ac:dyDescent="0.3">
      <c r="A14" s="124" t="s">
        <v>4</v>
      </c>
      <c r="B14" s="46" t="s">
        <v>24</v>
      </c>
      <c r="C14" s="124" t="s">
        <v>28</v>
      </c>
      <c r="D14" s="64">
        <v>124.11</v>
      </c>
      <c r="E14" s="163">
        <v>1.17</v>
      </c>
      <c r="F14" s="45">
        <v>0.05</v>
      </c>
      <c r="G14" s="64">
        <f>F14*D14</f>
        <v>6.2055000000000007</v>
      </c>
      <c r="H14" s="78">
        <f t="shared" si="6"/>
        <v>5.3038461538461545</v>
      </c>
      <c r="I14" s="84">
        <f t="shared" si="7"/>
        <v>12.411000000000001</v>
      </c>
      <c r="J14" s="78">
        <f t="shared" si="8"/>
        <v>10.607692307692309</v>
      </c>
      <c r="K14" s="84">
        <f t="shared" si="0"/>
        <v>55.02</v>
      </c>
      <c r="L14" s="78">
        <v>70</v>
      </c>
      <c r="M14" s="81">
        <f t="shared" si="9"/>
        <v>67.431000000000012</v>
      </c>
      <c r="N14" s="82">
        <f t="shared" si="10"/>
        <v>80.607692307692304</v>
      </c>
      <c r="O14" s="157">
        <v>9</v>
      </c>
      <c r="P14" s="38"/>
      <c r="Q14" s="199"/>
      <c r="R14" s="38"/>
      <c r="S14" s="749"/>
      <c r="T14" s="861" t="s">
        <v>13</v>
      </c>
      <c r="U14" s="47" t="s">
        <v>89</v>
      </c>
      <c r="V14" s="41">
        <v>57</v>
      </c>
      <c r="W14" s="42">
        <v>69</v>
      </c>
      <c r="X14" s="42">
        <v>76</v>
      </c>
      <c r="Y14" s="43">
        <v>84</v>
      </c>
      <c r="AA14" s="749"/>
      <c r="AB14" s="861" t="s">
        <v>13</v>
      </c>
      <c r="AC14" s="47" t="s">
        <v>89</v>
      </c>
      <c r="AD14" s="143">
        <f t="shared" si="11"/>
        <v>4</v>
      </c>
      <c r="AE14" s="78">
        <f t="shared" si="1"/>
        <v>1.9433829020986308</v>
      </c>
      <c r="AF14" s="78">
        <f>W14*O$40</f>
        <v>14.162790697674421</v>
      </c>
      <c r="AG14" s="78">
        <f t="shared" si="2"/>
        <v>20.841013870476267</v>
      </c>
      <c r="AH14" s="78">
        <f t="shared" si="3"/>
        <v>34.878557406060878</v>
      </c>
      <c r="AI14" s="64">
        <v>551</v>
      </c>
      <c r="AJ14" s="64">
        <v>48.2</v>
      </c>
      <c r="AK14" s="132">
        <f>L$11 + N$13 + N$18 + N$21 + H$26</f>
        <v>1059.474143136536</v>
      </c>
      <c r="AL14" s="133">
        <f t="shared" si="4"/>
        <v>4659.4741431365364</v>
      </c>
      <c r="AM14" s="26"/>
      <c r="AN14" s="122"/>
      <c r="AO14" s="749"/>
      <c r="AP14" s="241"/>
      <c r="AQ14" s="233"/>
      <c r="AR14" s="232"/>
      <c r="AS14" s="234"/>
      <c r="AT14" s="239"/>
      <c r="AU14" s="238"/>
      <c r="AV14" s="232"/>
      <c r="AW14" s="232"/>
      <c r="AX14" s="232"/>
      <c r="AY14" s="240"/>
      <c r="AZ14" s="45"/>
      <c r="BA14" s="64"/>
      <c r="BB14" s="147"/>
      <c r="BC14" s="147"/>
      <c r="BD14" s="242"/>
      <c r="BE14" s="146"/>
      <c r="BF14" s="147"/>
      <c r="BG14" s="147"/>
      <c r="BH14" s="205"/>
      <c r="BI14" s="242"/>
      <c r="BJ14" s="146"/>
      <c r="BK14" s="147"/>
      <c r="BL14" s="147"/>
      <c r="BM14" s="147"/>
      <c r="BN14" s="147"/>
      <c r="BO14" s="146"/>
      <c r="BP14" s="147"/>
      <c r="BQ14" s="147"/>
      <c r="BR14" s="147"/>
      <c r="BS14" s="271"/>
    </row>
    <row r="15" spans="1:101" s="1" customFormat="1" x14ac:dyDescent="0.3">
      <c r="A15" s="124" t="s">
        <v>12</v>
      </c>
      <c r="B15" s="46" t="s">
        <v>25</v>
      </c>
      <c r="C15" s="124" t="s">
        <v>29</v>
      </c>
      <c r="D15" s="64">
        <v>136.15</v>
      </c>
      <c r="E15" s="163">
        <v>1.119</v>
      </c>
      <c r="F15" s="45">
        <v>0.05</v>
      </c>
      <c r="G15" s="64">
        <f t="shared" ref="G15" si="12">F15*D15</f>
        <v>6.807500000000001</v>
      </c>
      <c r="H15" s="78">
        <f t="shared" si="6"/>
        <v>6.0835567470956224</v>
      </c>
      <c r="I15" s="84">
        <f t="shared" si="7"/>
        <v>13.615000000000002</v>
      </c>
      <c r="J15" s="78">
        <f t="shared" si="8"/>
        <v>12.167113494191245</v>
      </c>
      <c r="K15" s="84">
        <f t="shared" si="0"/>
        <v>55.02</v>
      </c>
      <c r="L15" s="78">
        <v>70</v>
      </c>
      <c r="M15" s="81">
        <f>I15+K15</f>
        <v>68.635000000000005</v>
      </c>
      <c r="N15" s="82">
        <f>J15+L15</f>
        <v>82.167113494191241</v>
      </c>
      <c r="O15" s="157">
        <v>9</v>
      </c>
      <c r="P15" s="38"/>
      <c r="Q15" s="199"/>
      <c r="R15" s="38"/>
      <c r="S15" s="749"/>
      <c r="T15" s="862"/>
      <c r="U15" s="44" t="s">
        <v>94</v>
      </c>
      <c r="V15" s="45">
        <v>57</v>
      </c>
      <c r="W15" s="64">
        <v>68</v>
      </c>
      <c r="X15" s="64">
        <v>89</v>
      </c>
      <c r="Y15" s="46">
        <v>87</v>
      </c>
      <c r="AA15" s="749"/>
      <c r="AB15" s="862"/>
      <c r="AC15" s="44" t="s">
        <v>94</v>
      </c>
      <c r="AD15" s="143">
        <f t="shared" si="11"/>
        <v>5</v>
      </c>
      <c r="AE15" s="78">
        <f t="shared" si="1"/>
        <v>1.9433829020986308</v>
      </c>
      <c r="AF15" s="78">
        <f>W15*O$40</f>
        <v>13.95753286147624</v>
      </c>
      <c r="AG15" s="78">
        <f t="shared" si="2"/>
        <v>24.405924137794578</v>
      </c>
      <c r="AH15" s="78">
        <f t="shared" si="3"/>
        <v>36.124220170563049</v>
      </c>
      <c r="AI15" s="64">
        <v>551</v>
      </c>
      <c r="AJ15" s="64">
        <v>48.3</v>
      </c>
      <c r="AK15" s="132">
        <f>L$11 + N$13 + N$18 + N$21 + H$26</f>
        <v>1059.474143136536</v>
      </c>
      <c r="AL15" s="133">
        <f t="shared" si="4"/>
        <v>4659.4741431365364</v>
      </c>
      <c r="AM15" s="26"/>
      <c r="AN15" s="122"/>
      <c r="AO15" s="749"/>
      <c r="AP15" s="241"/>
      <c r="AQ15" s="233"/>
      <c r="AR15" s="232"/>
      <c r="AS15" s="234"/>
      <c r="AT15" s="239"/>
      <c r="AU15" s="238"/>
      <c r="AV15" s="232"/>
      <c r="AW15" s="233"/>
      <c r="AX15" s="232"/>
      <c r="AY15" s="249"/>
      <c r="AZ15" s="45"/>
      <c r="BA15" s="64"/>
      <c r="BB15" s="147"/>
      <c r="BC15" s="147"/>
      <c r="BD15" s="242"/>
      <c r="BE15" s="146"/>
      <c r="BF15" s="147"/>
      <c r="BG15" s="147"/>
      <c r="BH15" s="205"/>
      <c r="BI15" s="242"/>
      <c r="BJ15" s="146"/>
      <c r="BK15" s="147"/>
      <c r="BL15" s="147"/>
      <c r="BM15" s="147"/>
      <c r="BN15" s="147"/>
      <c r="BO15" s="146"/>
      <c r="BP15" s="147"/>
      <c r="BQ15" s="147"/>
      <c r="BR15" s="147"/>
      <c r="BS15" s="271"/>
      <c r="BT15" s="22"/>
      <c r="BU15" s="22"/>
      <c r="BV15" s="22"/>
    </row>
    <row r="16" spans="1:101" s="1" customFormat="1" x14ac:dyDescent="0.3">
      <c r="A16" s="124" t="s">
        <v>36</v>
      </c>
      <c r="B16" s="46" t="s">
        <v>38</v>
      </c>
      <c r="C16" s="124" t="s">
        <v>39</v>
      </c>
      <c r="D16" s="64">
        <v>156.18</v>
      </c>
      <c r="E16" s="163">
        <v>1.1499999999999999</v>
      </c>
      <c r="F16" s="45">
        <v>0.05</v>
      </c>
      <c r="G16" s="64">
        <f>F16*D16</f>
        <v>7.8090000000000011</v>
      </c>
      <c r="H16" s="78">
        <f t="shared" si="6"/>
        <v>6.7904347826086973</v>
      </c>
      <c r="I16" s="84">
        <f t="shared" si="7"/>
        <v>15.618000000000002</v>
      </c>
      <c r="J16" s="78">
        <f t="shared" si="8"/>
        <v>13.580869565217395</v>
      </c>
      <c r="K16" s="84">
        <f t="shared" si="0"/>
        <v>55.02</v>
      </c>
      <c r="L16" s="78">
        <v>70</v>
      </c>
      <c r="M16" s="81">
        <f t="shared" ref="M16:M20" si="13">I16+K16</f>
        <v>70.638000000000005</v>
      </c>
      <c r="N16" s="82">
        <f t="shared" ref="N16:N20" si="14">J16+L16</f>
        <v>83.580869565217398</v>
      </c>
      <c r="O16" s="157">
        <v>6</v>
      </c>
      <c r="P16" s="38"/>
      <c r="Q16" s="199"/>
      <c r="R16" s="38"/>
      <c r="S16" s="749"/>
      <c r="T16" s="863"/>
      <c r="U16" s="48" t="s">
        <v>99</v>
      </c>
      <c r="V16" s="49">
        <v>62</v>
      </c>
      <c r="W16" s="50">
        <v>69</v>
      </c>
      <c r="X16" s="50">
        <v>73</v>
      </c>
      <c r="Y16" s="51">
        <v>85</v>
      </c>
      <c r="AA16" s="749"/>
      <c r="AB16" s="863"/>
      <c r="AC16" s="48" t="s">
        <v>99</v>
      </c>
      <c r="AD16" s="143">
        <f t="shared" si="11"/>
        <v>6</v>
      </c>
      <c r="AE16" s="78">
        <f t="shared" si="1"/>
        <v>2.1138550864932477</v>
      </c>
      <c r="AF16" s="78">
        <f>W16*O$40</f>
        <v>14.162790697674421</v>
      </c>
      <c r="AG16" s="78">
        <f t="shared" si="2"/>
        <v>20.018342270325888</v>
      </c>
      <c r="AH16" s="78">
        <f t="shared" si="3"/>
        <v>35.293778327561597</v>
      </c>
      <c r="AI16" s="64">
        <v>553</v>
      </c>
      <c r="AJ16" s="64">
        <v>48.1</v>
      </c>
      <c r="AK16" s="132">
        <f>L$11 + N$13 + N$18 + N$21 + H$26</f>
        <v>1059.474143136536</v>
      </c>
      <c r="AL16" s="133">
        <f t="shared" si="4"/>
        <v>4659.4741431365364</v>
      </c>
      <c r="AM16" s="26"/>
      <c r="AN16" s="122"/>
      <c r="AO16" s="749"/>
      <c r="AP16" s="238"/>
      <c r="AQ16" s="233"/>
      <c r="AR16" s="232"/>
      <c r="AS16" s="232"/>
      <c r="AT16" s="239"/>
      <c r="AU16" s="238"/>
      <c r="AV16" s="232"/>
      <c r="AW16" s="232"/>
      <c r="AX16" s="232"/>
      <c r="AY16" s="240"/>
      <c r="AZ16" s="45"/>
      <c r="BA16" s="64"/>
      <c r="BB16" s="147"/>
      <c r="BC16" s="147"/>
      <c r="BD16" s="242"/>
      <c r="BE16" s="146"/>
      <c r="BF16" s="147"/>
      <c r="BG16" s="147"/>
      <c r="BH16" s="205"/>
      <c r="BI16" s="242"/>
      <c r="BJ16" s="146"/>
      <c r="BK16" s="147"/>
      <c r="BL16" s="147"/>
      <c r="BM16" s="147"/>
      <c r="BN16" s="147"/>
      <c r="BO16" s="146"/>
      <c r="BP16" s="147"/>
      <c r="BQ16" s="147"/>
      <c r="BR16" s="147"/>
      <c r="BS16" s="271"/>
      <c r="BT16" s="22"/>
      <c r="BU16" s="22"/>
      <c r="BV16" s="22"/>
    </row>
    <row r="17" spans="1:93" s="1" customFormat="1" x14ac:dyDescent="0.3">
      <c r="A17" s="124" t="s">
        <v>37</v>
      </c>
      <c r="B17" s="46" t="s">
        <v>73</v>
      </c>
      <c r="C17" s="124" t="s">
        <v>40</v>
      </c>
      <c r="D17" s="64">
        <v>136.15</v>
      </c>
      <c r="E17" s="163">
        <v>1.119</v>
      </c>
      <c r="F17" s="45">
        <v>0.05</v>
      </c>
      <c r="G17" s="64">
        <f t="shared" ref="G17" si="15">F17*D17</f>
        <v>6.807500000000001</v>
      </c>
      <c r="H17" s="78">
        <f t="shared" si="6"/>
        <v>6.0835567470956224</v>
      </c>
      <c r="I17" s="84">
        <f t="shared" si="7"/>
        <v>13.615000000000002</v>
      </c>
      <c r="J17" s="78">
        <f t="shared" si="8"/>
        <v>12.167113494191245</v>
      </c>
      <c r="K17" s="84">
        <f t="shared" si="0"/>
        <v>55.02</v>
      </c>
      <c r="L17" s="78">
        <v>70</v>
      </c>
      <c r="M17" s="81">
        <f t="shared" si="13"/>
        <v>68.635000000000005</v>
      </c>
      <c r="N17" s="82">
        <f t="shared" si="14"/>
        <v>82.167113494191241</v>
      </c>
      <c r="O17" s="157">
        <v>6</v>
      </c>
      <c r="P17" s="38"/>
      <c r="Q17" s="199"/>
      <c r="R17" s="38"/>
      <c r="S17" s="749"/>
      <c r="T17" s="861" t="s">
        <v>24</v>
      </c>
      <c r="U17" s="47" t="s">
        <v>105</v>
      </c>
      <c r="V17" s="41">
        <v>63</v>
      </c>
      <c r="W17" s="42">
        <v>69</v>
      </c>
      <c r="X17" s="42">
        <v>73</v>
      </c>
      <c r="Y17" s="43">
        <v>83</v>
      </c>
      <c r="AA17" s="749"/>
      <c r="AB17" s="861" t="s">
        <v>24</v>
      </c>
      <c r="AC17" s="47" t="s">
        <v>105</v>
      </c>
      <c r="AD17" s="142">
        <f t="shared" si="11"/>
        <v>7</v>
      </c>
      <c r="AE17" s="57">
        <f t="shared" si="1"/>
        <v>2.147949523372171</v>
      </c>
      <c r="AF17" s="57">
        <f>W17*O$41</f>
        <v>12.699781999377143</v>
      </c>
      <c r="AG17" s="57">
        <f t="shared" si="2"/>
        <v>20.018342270325888</v>
      </c>
      <c r="AH17" s="57">
        <f t="shared" si="3"/>
        <v>34.463336484560152</v>
      </c>
      <c r="AI17" s="42">
        <v>549</v>
      </c>
      <c r="AJ17" s="42">
        <v>47.6</v>
      </c>
      <c r="AK17" s="138">
        <f>L$11 + N$14 + N$18 + N$21 + H$26</f>
        <v>1059.1173292713886</v>
      </c>
      <c r="AL17" s="139">
        <f t="shared" si="4"/>
        <v>4659.1173292713884</v>
      </c>
      <c r="AM17" s="26"/>
      <c r="AN17" s="122"/>
      <c r="AO17" s="749"/>
      <c r="AP17" s="238"/>
      <c r="AQ17" s="232"/>
      <c r="AR17" s="232"/>
      <c r="AS17" s="232"/>
      <c r="AT17" s="240"/>
      <c r="AU17" s="238"/>
      <c r="AV17" s="232"/>
      <c r="AW17" s="232"/>
      <c r="AX17" s="232"/>
      <c r="AY17" s="240"/>
      <c r="AZ17" s="171"/>
      <c r="BA17" s="64"/>
      <c r="BB17" s="234"/>
      <c r="BC17" s="147"/>
      <c r="BD17" s="242"/>
      <c r="BE17" s="146"/>
      <c r="BF17" s="147"/>
      <c r="BG17" s="147"/>
      <c r="BH17" s="205"/>
      <c r="BI17" s="242"/>
      <c r="BJ17" s="146"/>
      <c r="BK17" s="147"/>
      <c r="BL17" s="147"/>
      <c r="BM17" s="147"/>
      <c r="BN17" s="147"/>
      <c r="BO17" s="146"/>
      <c r="BP17" s="147"/>
      <c r="BQ17" s="147"/>
      <c r="BR17" s="147"/>
      <c r="BS17" s="271"/>
      <c r="BT17" s="22"/>
      <c r="BU17" s="22"/>
      <c r="BV17" s="22"/>
    </row>
    <row r="18" spans="1:93" s="1" customFormat="1" x14ac:dyDescent="0.3">
      <c r="A18" s="124" t="s">
        <v>34</v>
      </c>
      <c r="B18" s="46" t="s">
        <v>35</v>
      </c>
      <c r="C18" s="124" t="s">
        <v>41</v>
      </c>
      <c r="D18" s="64">
        <v>138.59</v>
      </c>
      <c r="E18" s="163">
        <v>0.90900000000000003</v>
      </c>
      <c r="F18" s="45">
        <v>7.4999999999999997E-2</v>
      </c>
      <c r="G18" s="64">
        <f>F18*D18</f>
        <v>10.39425</v>
      </c>
      <c r="H18" s="78">
        <f t="shared" si="6"/>
        <v>11.434818481848184</v>
      </c>
      <c r="I18" s="84">
        <f t="shared" si="7"/>
        <v>20.788499999999999</v>
      </c>
      <c r="J18" s="78">
        <f t="shared" si="8"/>
        <v>22.869636963696369</v>
      </c>
      <c r="K18" s="84">
        <f t="shared" si="0"/>
        <v>55.02</v>
      </c>
      <c r="L18" s="78">
        <v>70</v>
      </c>
      <c r="M18" s="81">
        <f t="shared" si="13"/>
        <v>75.808500000000009</v>
      </c>
      <c r="N18" s="82">
        <f t="shared" si="14"/>
        <v>92.869636963696365</v>
      </c>
      <c r="O18" s="157">
        <v>18</v>
      </c>
      <c r="P18" s="38"/>
      <c r="Q18" s="199"/>
      <c r="R18" s="38"/>
      <c r="S18" s="749"/>
      <c r="T18" s="862"/>
      <c r="U18" s="44" t="s">
        <v>111</v>
      </c>
      <c r="V18" s="45">
        <v>59</v>
      </c>
      <c r="W18" s="64">
        <v>69</v>
      </c>
      <c r="X18" s="64">
        <v>74</v>
      </c>
      <c r="Y18" s="46">
        <v>81</v>
      </c>
      <c r="AA18" s="749"/>
      <c r="AB18" s="862"/>
      <c r="AC18" s="44" t="s">
        <v>111</v>
      </c>
      <c r="AD18" s="143">
        <f t="shared" si="11"/>
        <v>8</v>
      </c>
      <c r="AE18" s="78">
        <f t="shared" si="1"/>
        <v>2.0115717758564777</v>
      </c>
      <c r="AF18" s="78">
        <f>W18*O$41</f>
        <v>12.699781999377143</v>
      </c>
      <c r="AG18" s="78">
        <f t="shared" si="2"/>
        <v>20.29256613704268</v>
      </c>
      <c r="AH18" s="78">
        <f t="shared" si="3"/>
        <v>33.6328946415587</v>
      </c>
      <c r="AI18" s="64">
        <v>548</v>
      </c>
      <c r="AJ18" s="64">
        <v>47.7</v>
      </c>
      <c r="AK18" s="132">
        <f>L$11 + N$14 + N$18 + N$21 + H$26</f>
        <v>1059.1173292713886</v>
      </c>
      <c r="AL18" s="133">
        <f t="shared" si="4"/>
        <v>4659.1173292713884</v>
      </c>
      <c r="AM18" s="26"/>
      <c r="AN18" s="122"/>
      <c r="AO18" s="749"/>
      <c r="AP18" s="238"/>
      <c r="AQ18" s="232"/>
      <c r="AR18" s="232"/>
      <c r="AS18" s="232"/>
      <c r="AT18" s="240"/>
      <c r="AU18" s="238"/>
      <c r="AV18" s="232"/>
      <c r="AW18" s="232"/>
      <c r="AX18" s="232"/>
      <c r="AY18" s="240"/>
      <c r="AZ18" s="45"/>
      <c r="BA18" s="64"/>
      <c r="BB18" s="147"/>
      <c r="BC18" s="147"/>
      <c r="BD18" s="242"/>
      <c r="BE18" s="146"/>
      <c r="BF18" s="147"/>
      <c r="BG18" s="147"/>
      <c r="BH18" s="205"/>
      <c r="BI18" s="242"/>
      <c r="BJ18" s="252"/>
      <c r="BK18" s="147"/>
      <c r="BL18" s="147"/>
      <c r="BM18" s="147"/>
      <c r="BN18" s="147"/>
      <c r="BO18" s="146"/>
      <c r="BP18" s="253"/>
      <c r="BQ18" s="147"/>
      <c r="BR18" s="147"/>
      <c r="BS18" s="271"/>
      <c r="BT18" s="22"/>
      <c r="BU18" s="22"/>
      <c r="BV18" s="22"/>
    </row>
    <row r="19" spans="1:93" x14ac:dyDescent="0.3">
      <c r="A19" s="124" t="s">
        <v>7</v>
      </c>
      <c r="B19" s="46" t="s">
        <v>33</v>
      </c>
      <c r="C19" s="124" t="s">
        <v>17</v>
      </c>
      <c r="D19" s="64">
        <v>104.15</v>
      </c>
      <c r="E19" s="163">
        <v>1.0900000000000001</v>
      </c>
      <c r="F19" s="45">
        <v>7.4999999999999997E-2</v>
      </c>
      <c r="G19" s="64">
        <f>F19*D19</f>
        <v>7.8112500000000002</v>
      </c>
      <c r="H19" s="78">
        <f t="shared" si="6"/>
        <v>7.1662844036697244</v>
      </c>
      <c r="I19" s="84">
        <f t="shared" si="7"/>
        <v>15.6225</v>
      </c>
      <c r="J19" s="78">
        <f t="shared" si="8"/>
        <v>14.332568807339449</v>
      </c>
      <c r="K19" s="84">
        <f t="shared" si="0"/>
        <v>55.02</v>
      </c>
      <c r="L19" s="78">
        <v>70</v>
      </c>
      <c r="M19" s="81">
        <f t="shared" si="13"/>
        <v>70.642499999999998</v>
      </c>
      <c r="N19" s="82">
        <f t="shared" si="14"/>
        <v>84.332568807339442</v>
      </c>
      <c r="O19" s="157">
        <v>18</v>
      </c>
      <c r="P19" s="38"/>
      <c r="Q19" s="199"/>
      <c r="R19" s="38"/>
      <c r="S19" s="749"/>
      <c r="T19" s="863"/>
      <c r="U19" s="48" t="s">
        <v>76</v>
      </c>
      <c r="V19" s="49">
        <v>58</v>
      </c>
      <c r="W19" s="50">
        <v>68</v>
      </c>
      <c r="X19" s="50">
        <v>73</v>
      </c>
      <c r="Y19" s="51">
        <v>84</v>
      </c>
      <c r="AA19" s="749"/>
      <c r="AB19" s="863"/>
      <c r="AC19" s="48" t="s">
        <v>76</v>
      </c>
      <c r="AD19" s="144">
        <f t="shared" si="11"/>
        <v>9</v>
      </c>
      <c r="AE19" s="58">
        <f t="shared" si="1"/>
        <v>1.9774773389775542</v>
      </c>
      <c r="AF19" s="58">
        <f>W19*O$41</f>
        <v>12.515727187791967</v>
      </c>
      <c r="AG19" s="58">
        <f t="shared" si="2"/>
        <v>20.018342270325888</v>
      </c>
      <c r="AH19" s="58">
        <f t="shared" si="3"/>
        <v>34.878557406060878</v>
      </c>
      <c r="AI19" s="50">
        <v>549</v>
      </c>
      <c r="AJ19" s="50">
        <v>48.3</v>
      </c>
      <c r="AK19" s="140">
        <f>L$11 + N$14 + N$18 + N$21 + H$26</f>
        <v>1059.1173292713886</v>
      </c>
      <c r="AL19" s="141">
        <f t="shared" si="4"/>
        <v>4659.1173292713884</v>
      </c>
      <c r="AM19" s="26"/>
      <c r="AN19" s="122"/>
      <c r="AO19" s="749"/>
      <c r="AP19" s="238"/>
      <c r="AQ19" s="232"/>
      <c r="AR19" s="232"/>
      <c r="AS19" s="232"/>
      <c r="AT19" s="240"/>
      <c r="AU19" s="238"/>
      <c r="AV19" s="234"/>
      <c r="AW19" s="232"/>
      <c r="AX19" s="232"/>
      <c r="AY19" s="240"/>
      <c r="AZ19" s="45"/>
      <c r="BA19" s="64"/>
      <c r="BB19" s="147"/>
      <c r="BC19" s="147"/>
      <c r="BD19" s="242"/>
      <c r="BE19" s="146"/>
      <c r="BF19" s="147"/>
      <c r="BG19" s="147"/>
      <c r="BH19" s="205"/>
      <c r="BI19" s="242"/>
      <c r="BJ19" s="146"/>
      <c r="BK19" s="147"/>
      <c r="BL19" s="147"/>
      <c r="BM19" s="147"/>
      <c r="BN19" s="147"/>
      <c r="BO19" s="146"/>
      <c r="BP19" s="147"/>
      <c r="BQ19" s="147"/>
      <c r="BR19" s="147"/>
      <c r="BS19" s="271"/>
      <c r="BT19" s="22"/>
      <c r="BU19" s="22"/>
      <c r="BV19" s="22"/>
      <c r="BW19" s="22"/>
      <c r="BX19" s="22"/>
      <c r="BY19" s="22"/>
    </row>
    <row r="20" spans="1:93" s="22" customFormat="1" x14ac:dyDescent="0.3">
      <c r="A20" s="124" t="s">
        <v>75</v>
      </c>
      <c r="B20" s="46" t="s">
        <v>72</v>
      </c>
      <c r="C20" s="124" t="s">
        <v>74</v>
      </c>
      <c r="D20" s="64">
        <v>105.14</v>
      </c>
      <c r="E20" s="163">
        <v>0.98799999999999999</v>
      </c>
      <c r="F20" s="45">
        <v>7.4999999999999997E-2</v>
      </c>
      <c r="G20" s="64">
        <f t="shared" ref="G20" si="16">F20*D20</f>
        <v>7.8854999999999995</v>
      </c>
      <c r="H20" s="78">
        <f t="shared" si="6"/>
        <v>7.9812753036437245</v>
      </c>
      <c r="I20" s="84">
        <f t="shared" si="7"/>
        <v>15.770999999999999</v>
      </c>
      <c r="J20" s="78">
        <f t="shared" si="8"/>
        <v>15.962550607287449</v>
      </c>
      <c r="K20" s="84">
        <f t="shared" si="0"/>
        <v>55.02</v>
      </c>
      <c r="L20" s="78">
        <v>70</v>
      </c>
      <c r="M20" s="81">
        <f t="shared" si="13"/>
        <v>70.790999999999997</v>
      </c>
      <c r="N20" s="82">
        <f t="shared" si="14"/>
        <v>85.962550607287454</v>
      </c>
      <c r="O20" s="157">
        <v>12</v>
      </c>
      <c r="P20" s="38"/>
      <c r="Q20" s="199"/>
      <c r="R20" s="38"/>
      <c r="S20" s="749"/>
      <c r="T20" s="861" t="s">
        <v>25</v>
      </c>
      <c r="U20" s="47" t="s">
        <v>77</v>
      </c>
      <c r="V20" s="41">
        <v>62</v>
      </c>
      <c r="W20" s="42">
        <v>66</v>
      </c>
      <c r="X20" s="42">
        <v>73</v>
      </c>
      <c r="Y20" s="43">
        <v>83</v>
      </c>
      <c r="AA20" s="749"/>
      <c r="AB20" s="861" t="s">
        <v>25</v>
      </c>
      <c r="AC20" s="47" t="s">
        <v>77</v>
      </c>
      <c r="AD20" s="143">
        <f t="shared" si="11"/>
        <v>10</v>
      </c>
      <c r="AE20" s="78">
        <f t="shared" si="1"/>
        <v>2.1138550864932477</v>
      </c>
      <c r="AF20" s="78">
        <f>W20*O$42</f>
        <v>13.092299847016831</v>
      </c>
      <c r="AG20" s="78">
        <f t="shared" si="2"/>
        <v>20.018342270325888</v>
      </c>
      <c r="AH20" s="78">
        <f t="shared" si="3"/>
        <v>34.463336484560152</v>
      </c>
      <c r="AI20" s="64">
        <v>548</v>
      </c>
      <c r="AJ20" s="64">
        <v>47.9</v>
      </c>
      <c r="AK20" s="132">
        <f>L$11 + N$15 + N$18 + N$21 + H$26</f>
        <v>1060.6767504578877</v>
      </c>
      <c r="AL20" s="133">
        <f t="shared" si="4"/>
        <v>4660.6767504578875</v>
      </c>
      <c r="AM20" s="26"/>
      <c r="AN20" s="122"/>
      <c r="AO20" s="749"/>
      <c r="AP20" s="241"/>
      <c r="AQ20" s="233"/>
      <c r="AR20" s="232"/>
      <c r="AS20" s="232"/>
      <c r="AT20" s="240"/>
      <c r="AU20" s="238"/>
      <c r="AV20" s="232"/>
      <c r="AW20" s="232"/>
      <c r="AX20" s="232"/>
      <c r="AY20" s="240"/>
      <c r="AZ20" s="45"/>
      <c r="BA20" s="64"/>
      <c r="BB20" s="147"/>
      <c r="BC20" s="147"/>
      <c r="BD20" s="242"/>
      <c r="BE20" s="146"/>
      <c r="BF20" s="147"/>
      <c r="BG20" s="147"/>
      <c r="BH20" s="205"/>
      <c r="BI20" s="242"/>
      <c r="BJ20" s="146"/>
      <c r="BK20" s="147"/>
      <c r="BL20" s="147"/>
      <c r="BM20" s="147"/>
      <c r="BN20" s="147"/>
      <c r="BO20" s="146"/>
      <c r="BP20" s="147"/>
      <c r="BQ20" s="147"/>
      <c r="BR20" s="147"/>
      <c r="BS20" s="271"/>
    </row>
    <row r="21" spans="1:93" x14ac:dyDescent="0.3">
      <c r="A21" s="124" t="s">
        <v>5</v>
      </c>
      <c r="B21" s="46" t="s">
        <v>30</v>
      </c>
      <c r="C21" s="124" t="s">
        <v>31</v>
      </c>
      <c r="D21" s="64">
        <v>202.98</v>
      </c>
      <c r="E21" s="163">
        <v>1.306</v>
      </c>
      <c r="F21" s="45" t="s">
        <v>9</v>
      </c>
      <c r="G21" s="64">
        <f>E21*H21</f>
        <v>16.742920000000002</v>
      </c>
      <c r="H21" s="78">
        <v>12.82</v>
      </c>
      <c r="I21" s="84">
        <f t="shared" si="7"/>
        <v>33.485840000000003</v>
      </c>
      <c r="J21" s="78">
        <f t="shared" si="8"/>
        <v>25.64</v>
      </c>
      <c r="K21" s="84">
        <f t="shared" si="0"/>
        <v>47.160000000000004</v>
      </c>
      <c r="L21" s="78">
        <v>60</v>
      </c>
      <c r="M21" s="81">
        <f t="shared" si="9"/>
        <v>80.645840000000007</v>
      </c>
      <c r="N21" s="82">
        <f t="shared" si="10"/>
        <v>85.64</v>
      </c>
      <c r="O21" s="157">
        <v>48</v>
      </c>
      <c r="P21" s="38"/>
      <c r="Q21" s="199"/>
      <c r="R21" s="38"/>
      <c r="S21" s="749"/>
      <c r="T21" s="862"/>
      <c r="U21" s="44" t="s">
        <v>78</v>
      </c>
      <c r="V21" s="45">
        <v>59</v>
      </c>
      <c r="W21" s="64">
        <v>70</v>
      </c>
      <c r="X21" s="64">
        <v>73</v>
      </c>
      <c r="Y21" s="46">
        <v>82</v>
      </c>
      <c r="AA21" s="749"/>
      <c r="AB21" s="862"/>
      <c r="AC21" s="44" t="s">
        <v>78</v>
      </c>
      <c r="AD21" s="143">
        <f t="shared" si="11"/>
        <v>11</v>
      </c>
      <c r="AE21" s="78">
        <f t="shared" si="1"/>
        <v>2.0115717758564777</v>
      </c>
      <c r="AF21" s="78">
        <f>W21*O$42</f>
        <v>13.885772565017851</v>
      </c>
      <c r="AG21" s="78">
        <f t="shared" si="2"/>
        <v>20.018342270325888</v>
      </c>
      <c r="AH21" s="78">
        <f t="shared" si="3"/>
        <v>34.048115563059426</v>
      </c>
      <c r="AI21" s="64">
        <v>547</v>
      </c>
      <c r="AJ21" s="64">
        <v>48.4</v>
      </c>
      <c r="AK21" s="132">
        <f>L$11 + N$15 + N$18 + N$21 + H$26</f>
        <v>1060.6767504578877</v>
      </c>
      <c r="AL21" s="133">
        <f t="shared" si="4"/>
        <v>4660.6767504578875</v>
      </c>
      <c r="AM21" s="26"/>
      <c r="AN21" s="122"/>
      <c r="AO21" s="749"/>
      <c r="AP21" s="238"/>
      <c r="AQ21" s="233"/>
      <c r="AR21" s="232"/>
      <c r="AS21" s="234"/>
      <c r="AT21" s="239"/>
      <c r="AU21" s="238"/>
      <c r="AV21" s="234"/>
      <c r="AW21" s="232"/>
      <c r="AX21" s="232"/>
      <c r="AY21" s="240"/>
      <c r="AZ21" s="45"/>
      <c r="BA21" s="64"/>
      <c r="BB21" s="147"/>
      <c r="BC21" s="147"/>
      <c r="BD21" s="242"/>
      <c r="BE21" s="146"/>
      <c r="BF21" s="147"/>
      <c r="BG21" s="147"/>
      <c r="BH21" s="205"/>
      <c r="BI21" s="242"/>
      <c r="BJ21" s="146"/>
      <c r="BK21" s="147"/>
      <c r="BL21" s="147"/>
      <c r="BM21" s="147"/>
      <c r="BN21" s="147"/>
      <c r="BO21" s="146"/>
      <c r="BP21" s="147"/>
      <c r="BQ21" s="147"/>
      <c r="BR21" s="147"/>
      <c r="BS21" s="271"/>
      <c r="BT21" s="22"/>
      <c r="BU21" s="22"/>
      <c r="BV21" s="22"/>
      <c r="BW21" s="22"/>
      <c r="BX21" s="22"/>
      <c r="BY21" s="22"/>
    </row>
    <row r="22" spans="1:93" ht="14.4" customHeight="1" thickBot="1" x14ac:dyDescent="0.35">
      <c r="A22" s="164" t="s">
        <v>6</v>
      </c>
      <c r="B22" s="201" t="s">
        <v>8</v>
      </c>
      <c r="C22" s="164" t="s">
        <v>18</v>
      </c>
      <c r="D22" s="165">
        <v>325.81900000000002</v>
      </c>
      <c r="E22" s="166" t="s">
        <v>9</v>
      </c>
      <c r="F22" s="167" t="s">
        <v>9</v>
      </c>
      <c r="G22" s="165">
        <v>25</v>
      </c>
      <c r="H22" s="168" t="s">
        <v>9</v>
      </c>
      <c r="I22" s="169">
        <f t="shared" si="7"/>
        <v>50</v>
      </c>
      <c r="J22" s="168" t="s">
        <v>9</v>
      </c>
      <c r="K22" s="169" t="s">
        <v>9</v>
      </c>
      <c r="L22" s="168" t="s">
        <v>9</v>
      </c>
      <c r="M22" s="158">
        <v>50</v>
      </c>
      <c r="N22" s="159" t="s">
        <v>9</v>
      </c>
      <c r="O22" s="160">
        <v>48</v>
      </c>
      <c r="P22" s="38"/>
      <c r="Q22" s="199"/>
      <c r="R22" s="38"/>
      <c r="S22" s="749"/>
      <c r="T22" s="863"/>
      <c r="U22" s="48" t="s">
        <v>88</v>
      </c>
      <c r="V22" s="49">
        <v>64</v>
      </c>
      <c r="W22" s="50">
        <v>71</v>
      </c>
      <c r="X22" s="50">
        <v>74</v>
      </c>
      <c r="Y22" s="51">
        <v>84</v>
      </c>
      <c r="AA22" s="749"/>
      <c r="AB22" s="863"/>
      <c r="AC22" s="48" t="s">
        <v>88</v>
      </c>
      <c r="AD22" s="143">
        <f t="shared" si="11"/>
        <v>12</v>
      </c>
      <c r="AE22" s="78">
        <f t="shared" si="1"/>
        <v>2.1820439602510944</v>
      </c>
      <c r="AF22" s="78">
        <f>W22*O$42</f>
        <v>14.084140744518105</v>
      </c>
      <c r="AG22" s="78">
        <f t="shared" si="2"/>
        <v>20.29256613704268</v>
      </c>
      <c r="AH22" s="78">
        <f t="shared" si="3"/>
        <v>34.878557406060878</v>
      </c>
      <c r="AI22" s="64">
        <v>548</v>
      </c>
      <c r="AJ22" s="64">
        <v>48.3</v>
      </c>
      <c r="AK22" s="132">
        <f>L$11 + N$15 + N$18 + N$21 + H$26</f>
        <v>1060.6767504578877</v>
      </c>
      <c r="AL22" s="133">
        <f t="shared" si="4"/>
        <v>4660.6767504578875</v>
      </c>
      <c r="AM22" s="26"/>
      <c r="AN22" s="122"/>
      <c r="AO22" s="749"/>
      <c r="AP22" s="238"/>
      <c r="AQ22" s="232"/>
      <c r="AR22" s="232"/>
      <c r="AS22" s="232"/>
      <c r="AT22" s="239"/>
      <c r="AU22" s="238"/>
      <c r="AV22" s="232"/>
      <c r="AW22" s="233"/>
      <c r="AX22" s="232"/>
      <c r="AY22" s="249"/>
      <c r="AZ22" s="171"/>
      <c r="BA22" s="64"/>
      <c r="BB22" s="234"/>
      <c r="BC22" s="147"/>
      <c r="BD22" s="242"/>
      <c r="BE22" s="146"/>
      <c r="BF22" s="147"/>
      <c r="BG22" s="147"/>
      <c r="BH22" s="147"/>
      <c r="BI22" s="242"/>
      <c r="BJ22" s="146"/>
      <c r="BK22" s="147"/>
      <c r="BL22" s="147"/>
      <c r="BM22" s="147"/>
      <c r="BN22" s="147"/>
      <c r="BO22" s="146"/>
      <c r="BP22" s="147"/>
      <c r="BQ22" s="147"/>
      <c r="BR22" s="147"/>
      <c r="BS22" s="271"/>
      <c r="BT22" s="22"/>
      <c r="BU22" s="22"/>
      <c r="BV22" s="22"/>
      <c r="BW22" s="22"/>
      <c r="BX22" s="22"/>
      <c r="BY22" s="22"/>
    </row>
    <row r="23" spans="1:93" ht="15" thickBot="1" x14ac:dyDescent="0.35">
      <c r="I23" s="2"/>
      <c r="J23" s="2"/>
      <c r="K23" s="2"/>
      <c r="L23" s="2"/>
      <c r="M23" s="2"/>
      <c r="N23" s="7"/>
      <c r="O23" s="7"/>
      <c r="P23" s="7"/>
      <c r="Q23" s="200"/>
      <c r="R23" s="7"/>
      <c r="S23" s="749"/>
      <c r="T23" s="861" t="s">
        <v>38</v>
      </c>
      <c r="U23" s="47" t="s">
        <v>93</v>
      </c>
      <c r="V23" s="41">
        <v>58</v>
      </c>
      <c r="W23" s="42">
        <v>75</v>
      </c>
      <c r="X23" s="42">
        <v>73</v>
      </c>
      <c r="Y23" s="43">
        <v>83</v>
      </c>
      <c r="AA23" s="749"/>
      <c r="AB23" s="861" t="s">
        <v>38</v>
      </c>
      <c r="AC23" s="47" t="s">
        <v>93</v>
      </c>
      <c r="AD23" s="142">
        <f t="shared" si="11"/>
        <v>13</v>
      </c>
      <c r="AE23" s="57">
        <f t="shared" si="1"/>
        <v>1.9774773389775542</v>
      </c>
      <c r="AF23" s="57">
        <f>W23*O$43</f>
        <v>16.582434383759448</v>
      </c>
      <c r="AG23" s="57">
        <f t="shared" si="2"/>
        <v>20.018342270325888</v>
      </c>
      <c r="AH23" s="57">
        <f t="shared" si="3"/>
        <v>34.463336484560152</v>
      </c>
      <c r="AI23" s="42">
        <v>550</v>
      </c>
      <c r="AJ23" s="42">
        <v>47.7</v>
      </c>
      <c r="AK23" s="138">
        <f>L$11 + N$16 + N$18 + N$21 + H$26</f>
        <v>1062.0905065289137</v>
      </c>
      <c r="AL23" s="139">
        <f t="shared" si="4"/>
        <v>4662.0905065289135</v>
      </c>
      <c r="AM23" s="26"/>
      <c r="AN23" s="122"/>
      <c r="AO23" s="749"/>
      <c r="AP23" s="238"/>
      <c r="AQ23" s="232"/>
      <c r="AR23" s="232"/>
      <c r="AS23" s="232"/>
      <c r="AT23" s="240"/>
      <c r="AU23" s="238"/>
      <c r="AV23" s="147"/>
      <c r="AW23" s="233"/>
      <c r="AX23" s="232"/>
      <c r="AY23" s="240"/>
      <c r="AZ23" s="251"/>
      <c r="BA23" s="64"/>
      <c r="BB23" s="147"/>
      <c r="BC23" s="147"/>
      <c r="BD23" s="242"/>
      <c r="BE23" s="146"/>
      <c r="BF23" s="147"/>
      <c r="BG23" s="147"/>
      <c r="BH23" s="147"/>
      <c r="BI23" s="242"/>
      <c r="BJ23" s="146"/>
      <c r="BK23" s="147"/>
      <c r="BL23" s="147"/>
      <c r="BM23" s="147"/>
      <c r="BN23" s="147"/>
      <c r="BO23" s="146"/>
      <c r="BP23" s="147"/>
      <c r="BQ23" s="147"/>
      <c r="BR23" s="147"/>
      <c r="BS23" s="271"/>
      <c r="BT23" s="22"/>
      <c r="BU23" s="22"/>
      <c r="BV23" s="22"/>
      <c r="BW23" s="22"/>
      <c r="BX23" s="22"/>
      <c r="BY23" s="22"/>
    </row>
    <row r="24" spans="1:93" x14ac:dyDescent="0.3">
      <c r="C24" s="886" t="s">
        <v>114</v>
      </c>
      <c r="D24" s="887"/>
      <c r="E24" s="884"/>
      <c r="F24" s="883" t="s">
        <v>128</v>
      </c>
      <c r="G24" s="884"/>
      <c r="H24" s="883" t="s">
        <v>129</v>
      </c>
      <c r="I24" s="885"/>
      <c r="J24" s="2"/>
      <c r="K24" s="2"/>
      <c r="L24" s="25"/>
      <c r="M24" s="25"/>
      <c r="N24" s="7"/>
      <c r="O24" s="7"/>
      <c r="P24" s="7"/>
      <c r="Q24" s="200"/>
      <c r="R24" s="7"/>
      <c r="S24" s="749"/>
      <c r="T24" s="862"/>
      <c r="U24" s="44" t="s">
        <v>98</v>
      </c>
      <c r="V24" s="45">
        <v>59</v>
      </c>
      <c r="W24" s="64">
        <v>74</v>
      </c>
      <c r="X24" s="64">
        <v>73</v>
      </c>
      <c r="Y24" s="46">
        <v>84</v>
      </c>
      <c r="Z24" s="22"/>
      <c r="AA24" s="749"/>
      <c r="AB24" s="862"/>
      <c r="AC24" s="44" t="s">
        <v>98</v>
      </c>
      <c r="AD24" s="143">
        <f t="shared" si="11"/>
        <v>14</v>
      </c>
      <c r="AE24" s="78">
        <f t="shared" si="1"/>
        <v>2.0115717758564777</v>
      </c>
      <c r="AF24" s="78">
        <f>W24*O$43</f>
        <v>16.361335258642658</v>
      </c>
      <c r="AG24" s="78">
        <f t="shared" si="2"/>
        <v>20.018342270325888</v>
      </c>
      <c r="AH24" s="78">
        <f t="shared" si="3"/>
        <v>34.878557406060878</v>
      </c>
      <c r="AI24" s="64">
        <v>548</v>
      </c>
      <c r="AJ24" s="64">
        <v>47.7</v>
      </c>
      <c r="AK24" s="132">
        <f>L$11 + N$16 + N$18 + N$21 + H$26</f>
        <v>1062.0905065289137</v>
      </c>
      <c r="AL24" s="133">
        <f t="shared" si="4"/>
        <v>4662.0905065289135</v>
      </c>
      <c r="AM24" s="26"/>
      <c r="AN24" s="122"/>
      <c r="AO24" s="749"/>
      <c r="AP24" s="241"/>
      <c r="AQ24" s="186"/>
      <c r="AR24" s="253" t="s">
        <v>174</v>
      </c>
      <c r="AS24" s="234"/>
      <c r="AT24" s="239"/>
      <c r="AU24" s="238"/>
      <c r="AV24" s="147"/>
      <c r="AW24" s="253" t="s">
        <v>175</v>
      </c>
      <c r="AX24" s="232"/>
      <c r="AY24" s="249"/>
      <c r="AZ24" s="171"/>
      <c r="BA24" s="64"/>
      <c r="BB24" s="253" t="s">
        <v>176</v>
      </c>
      <c r="BC24" s="147"/>
      <c r="BD24" s="242"/>
      <c r="BE24" s="147"/>
      <c r="BF24" s="147"/>
      <c r="BG24" s="283" t="s">
        <v>178</v>
      </c>
      <c r="BH24" s="147"/>
      <c r="BI24" s="242"/>
      <c r="BJ24" s="146"/>
      <c r="BK24" s="147"/>
      <c r="BL24" s="253" t="s">
        <v>179</v>
      </c>
      <c r="BM24" s="147"/>
      <c r="BN24" s="147"/>
      <c r="BO24" s="146"/>
      <c r="BP24" s="147"/>
      <c r="BQ24" s="253" t="s">
        <v>180</v>
      </c>
      <c r="BR24" s="147"/>
      <c r="BS24" s="271"/>
      <c r="BT24" s="22"/>
      <c r="BU24" s="22"/>
      <c r="BV24" s="22"/>
      <c r="BW24" s="22"/>
      <c r="BX24" s="22"/>
      <c r="BY24" s="22"/>
    </row>
    <row r="25" spans="1:93" ht="15" thickBot="1" x14ac:dyDescent="0.35">
      <c r="C25" s="161" t="s">
        <v>14</v>
      </c>
      <c r="D25" s="56" t="s">
        <v>0</v>
      </c>
      <c r="E25" s="162" t="s">
        <v>146</v>
      </c>
      <c r="F25" s="76" t="s">
        <v>26</v>
      </c>
      <c r="G25" s="162" t="s">
        <v>27</v>
      </c>
      <c r="H25" s="76" t="s">
        <v>26</v>
      </c>
      <c r="I25" s="231" t="s">
        <v>27</v>
      </c>
      <c r="J25" s="2"/>
      <c r="K25" s="2"/>
      <c r="L25" s="25"/>
      <c r="M25" s="25"/>
      <c r="N25" s="7"/>
      <c r="O25" s="7"/>
      <c r="P25" s="7"/>
      <c r="Q25" s="200"/>
      <c r="R25" s="7"/>
      <c r="S25" s="749"/>
      <c r="T25" s="863"/>
      <c r="U25" s="48" t="s">
        <v>104</v>
      </c>
      <c r="V25" s="49">
        <v>60</v>
      </c>
      <c r="W25" s="50">
        <v>75</v>
      </c>
      <c r="X25" s="50">
        <v>73</v>
      </c>
      <c r="Y25" s="51">
        <v>86</v>
      </c>
      <c r="AA25" s="749"/>
      <c r="AB25" s="863"/>
      <c r="AC25" s="48" t="s">
        <v>104</v>
      </c>
      <c r="AD25" s="144">
        <f t="shared" si="11"/>
        <v>15</v>
      </c>
      <c r="AE25" s="58">
        <f t="shared" si="1"/>
        <v>2.0456662127354011</v>
      </c>
      <c r="AF25" s="58">
        <f>W25*O$43</f>
        <v>16.582434383759448</v>
      </c>
      <c r="AG25" s="58">
        <f t="shared" si="2"/>
        <v>20.018342270325888</v>
      </c>
      <c r="AH25" s="58">
        <f t="shared" si="3"/>
        <v>35.708999249062323</v>
      </c>
      <c r="AI25" s="50">
        <v>549</v>
      </c>
      <c r="AJ25" s="50">
        <v>57</v>
      </c>
      <c r="AK25" s="140">
        <f>L$11 + N$16 + N$18 + N$21 + H$26</f>
        <v>1062.0905065289137</v>
      </c>
      <c r="AL25" s="141">
        <f t="shared" si="4"/>
        <v>4662.0905065289135</v>
      </c>
      <c r="AM25" s="26"/>
      <c r="AN25" s="122"/>
      <c r="AO25" s="749"/>
      <c r="AP25" s="238"/>
      <c r="AQ25" s="186"/>
      <c r="AR25" s="147" t="s">
        <v>170</v>
      </c>
      <c r="AS25" s="232"/>
      <c r="AT25" s="240"/>
      <c r="AU25" s="238"/>
      <c r="AV25" s="234"/>
      <c r="AW25" s="147" t="s">
        <v>177</v>
      </c>
      <c r="AX25" s="232"/>
      <c r="AY25" s="249"/>
      <c r="AZ25" s="251"/>
      <c r="BA25" s="64"/>
      <c r="BB25" s="147">
        <v>350.113</v>
      </c>
      <c r="BC25" s="147"/>
      <c r="BD25" s="242"/>
      <c r="BE25" s="147"/>
      <c r="BF25" s="147"/>
      <c r="BG25" s="147">
        <v>362.37279999999998</v>
      </c>
      <c r="BH25" s="147"/>
      <c r="BI25" s="242"/>
      <c r="BJ25" s="146"/>
      <c r="BK25" s="147"/>
      <c r="BL25" s="147" t="s">
        <v>181</v>
      </c>
      <c r="BM25" s="147"/>
      <c r="BN25" s="147"/>
      <c r="BO25" s="146"/>
      <c r="BP25" s="147"/>
      <c r="BQ25" s="147" t="s">
        <v>171</v>
      </c>
      <c r="BR25" s="147"/>
      <c r="BS25" s="271"/>
      <c r="BT25" s="22"/>
      <c r="BU25" s="22"/>
      <c r="BV25" s="22"/>
      <c r="BW25" s="22"/>
      <c r="BX25" s="22"/>
      <c r="BY25" s="22"/>
    </row>
    <row r="26" spans="1:93" ht="15" thickBot="1" x14ac:dyDescent="0.35">
      <c r="A26" s="187" t="s">
        <v>130</v>
      </c>
      <c r="B26" s="188" t="s">
        <v>131</v>
      </c>
      <c r="C26" s="125" t="s">
        <v>154</v>
      </c>
      <c r="D26" s="54">
        <v>41.05</v>
      </c>
      <c r="E26" s="184">
        <v>0.78600000000000003</v>
      </c>
      <c r="F26" s="53">
        <f>500*D5</f>
        <v>1000</v>
      </c>
      <c r="G26" s="184">
        <f>E26*F26</f>
        <v>786</v>
      </c>
      <c r="H26" s="185">
        <f>F26-(L11+L12+L18+L21)</f>
        <v>730</v>
      </c>
      <c r="I26" s="117">
        <f>E26*H26</f>
        <v>573.78</v>
      </c>
      <c r="J26" s="2"/>
      <c r="K26" s="2"/>
      <c r="L26" s="80"/>
      <c r="M26" s="9"/>
      <c r="N26" s="25"/>
      <c r="S26" s="749"/>
      <c r="T26" s="861" t="s">
        <v>73</v>
      </c>
      <c r="U26" s="47" t="s">
        <v>110</v>
      </c>
      <c r="V26" s="41">
        <v>64</v>
      </c>
      <c r="W26" s="42">
        <v>69</v>
      </c>
      <c r="X26" s="42">
        <v>73</v>
      </c>
      <c r="Y26" s="43">
        <v>84</v>
      </c>
      <c r="AA26" s="749"/>
      <c r="AB26" s="861" t="s">
        <v>73</v>
      </c>
      <c r="AC26" s="47" t="s">
        <v>110</v>
      </c>
      <c r="AD26" s="143">
        <f t="shared" si="11"/>
        <v>16</v>
      </c>
      <c r="AE26" s="78">
        <f t="shared" si="1"/>
        <v>2.1820439602510944</v>
      </c>
      <c r="AF26" s="78">
        <f>W26*O$44</f>
        <v>13.687404385517596</v>
      </c>
      <c r="AG26" s="78">
        <f t="shared" si="2"/>
        <v>20.018342270325888</v>
      </c>
      <c r="AH26" s="78">
        <f t="shared" si="3"/>
        <v>34.878557406060878</v>
      </c>
      <c r="AI26" s="64">
        <v>558</v>
      </c>
      <c r="AJ26" s="64">
        <v>48</v>
      </c>
      <c r="AK26" s="132">
        <f>L$11 + N$17 + N$18 + N$21 + H$26</f>
        <v>1060.6767504578877</v>
      </c>
      <c r="AL26" s="133">
        <f t="shared" si="4"/>
        <v>4660.6767504578875</v>
      </c>
      <c r="AM26" s="26"/>
      <c r="AN26" s="122"/>
      <c r="AO26" s="750"/>
      <c r="AP26" s="260"/>
      <c r="AQ26" s="261"/>
      <c r="AR26" s="262"/>
      <c r="AS26" s="262"/>
      <c r="AT26" s="263"/>
      <c r="AU26" s="148"/>
      <c r="AV26" s="149"/>
      <c r="AW26" s="149"/>
      <c r="AX26" s="149"/>
      <c r="AY26" s="248"/>
      <c r="AZ26" s="148"/>
      <c r="BA26" s="149"/>
      <c r="BB26" s="149"/>
      <c r="BC26" s="149"/>
      <c r="BD26" s="248"/>
      <c r="BE26" s="148"/>
      <c r="BF26" s="149"/>
      <c r="BG26" s="149"/>
      <c r="BH26" s="149"/>
      <c r="BI26" s="248"/>
      <c r="BJ26" s="148"/>
      <c r="BK26" s="149"/>
      <c r="BL26" s="149"/>
      <c r="BM26" s="149"/>
      <c r="BN26" s="149"/>
      <c r="BO26" s="148"/>
      <c r="BP26" s="149"/>
      <c r="BQ26" s="149"/>
      <c r="BR26" s="149"/>
      <c r="BS26" s="284"/>
      <c r="BT26" s="22"/>
      <c r="BU26" s="22"/>
      <c r="BV26" s="22"/>
      <c r="BW26" s="22"/>
      <c r="BX26" s="22"/>
      <c r="BY26" s="22"/>
    </row>
    <row r="27" spans="1:93" x14ac:dyDescent="0.3">
      <c r="B27" s="5"/>
      <c r="F27" s="5"/>
      <c r="G27" s="5"/>
      <c r="I27" s="23"/>
      <c r="J27" s="2"/>
      <c r="K27" s="2"/>
      <c r="L27" s="25"/>
      <c r="M27" s="9"/>
      <c r="N27" s="25"/>
      <c r="S27" s="749"/>
      <c r="T27" s="862"/>
      <c r="U27" s="44" t="s">
        <v>68</v>
      </c>
      <c r="V27" s="45">
        <v>61</v>
      </c>
      <c r="W27" s="64">
        <v>66</v>
      </c>
      <c r="X27" s="64">
        <v>73</v>
      </c>
      <c r="Y27" s="46">
        <v>83</v>
      </c>
      <c r="AA27" s="749"/>
      <c r="AB27" s="862"/>
      <c r="AC27" s="44" t="s">
        <v>68</v>
      </c>
      <c r="AD27" s="143">
        <f t="shared" si="11"/>
        <v>17</v>
      </c>
      <c r="AE27" s="78">
        <f t="shared" si="1"/>
        <v>2.0797606496143244</v>
      </c>
      <c r="AF27" s="78">
        <f>W27*O$44</f>
        <v>13.092299847016831</v>
      </c>
      <c r="AG27" s="78">
        <f t="shared" si="2"/>
        <v>20.018342270325888</v>
      </c>
      <c r="AH27" s="78">
        <f t="shared" si="3"/>
        <v>34.463336484560152</v>
      </c>
      <c r="AI27" s="64">
        <v>549</v>
      </c>
      <c r="AJ27" s="64">
        <v>47.5</v>
      </c>
      <c r="AK27" s="132">
        <f>L$11 + N$17 + N$18 + N$21 + H$26</f>
        <v>1060.6767504578877</v>
      </c>
      <c r="AL27" s="133">
        <f t="shared" si="4"/>
        <v>4660.6767504578875</v>
      </c>
      <c r="AM27" s="26"/>
      <c r="AN27" s="122"/>
      <c r="AO27" s="748" t="s">
        <v>33</v>
      </c>
      <c r="AP27" s="286"/>
      <c r="AQ27" s="256"/>
      <c r="AR27" s="254"/>
      <c r="AS27" s="257"/>
      <c r="AT27" s="255"/>
      <c r="AU27" s="259"/>
      <c r="AV27" s="221"/>
      <c r="AW27" s="221"/>
      <c r="AX27" s="221"/>
      <c r="AY27" s="258"/>
      <c r="AZ27" s="259"/>
      <c r="BA27" s="221"/>
      <c r="BB27" s="221"/>
      <c r="BC27" s="221"/>
      <c r="BD27" s="258"/>
      <c r="BE27" s="259"/>
      <c r="BF27" s="221"/>
      <c r="BG27" s="221"/>
      <c r="BH27" s="221"/>
      <c r="BI27" s="258"/>
      <c r="BJ27" s="146"/>
      <c r="BK27" s="147"/>
      <c r="BL27" s="147"/>
      <c r="BM27" s="147"/>
      <c r="BN27" s="147"/>
      <c r="BO27" s="259"/>
      <c r="BP27" s="221"/>
      <c r="BQ27" s="221"/>
      <c r="BR27" s="221"/>
      <c r="BS27" s="285"/>
      <c r="BT27" s="22"/>
      <c r="BU27" s="22"/>
      <c r="BV27" s="22"/>
      <c r="BW27" s="22"/>
      <c r="BX27" s="22"/>
      <c r="BY27" s="22"/>
    </row>
    <row r="28" spans="1:93" x14ac:dyDescent="0.3">
      <c r="L28" s="9"/>
      <c r="M28" s="9"/>
      <c r="N28" s="25"/>
      <c r="S28" s="750"/>
      <c r="T28" s="863"/>
      <c r="U28" s="48" t="s">
        <v>69</v>
      </c>
      <c r="V28" s="49">
        <v>64</v>
      </c>
      <c r="W28" s="50">
        <v>73</v>
      </c>
      <c r="X28" s="50">
        <v>88</v>
      </c>
      <c r="Y28" s="51">
        <v>85</v>
      </c>
      <c r="AA28" s="750"/>
      <c r="AB28" s="863"/>
      <c r="AC28" s="48" t="s">
        <v>69</v>
      </c>
      <c r="AD28" s="143">
        <f t="shared" si="11"/>
        <v>18</v>
      </c>
      <c r="AE28" s="78">
        <f t="shared" si="1"/>
        <v>2.1820439602510944</v>
      </c>
      <c r="AF28" s="78">
        <f>W28*O$44</f>
        <v>14.480877103518615</v>
      </c>
      <c r="AG28" s="78">
        <f t="shared" si="2"/>
        <v>24.131700271077783</v>
      </c>
      <c r="AH28" s="78">
        <f t="shared" si="3"/>
        <v>35.293778327561597</v>
      </c>
      <c r="AI28" s="64">
        <v>547</v>
      </c>
      <c r="AJ28" s="64">
        <v>48.2</v>
      </c>
      <c r="AK28" s="132">
        <f>L$11 + N$17 + N$18 + N$21 + H$26</f>
        <v>1060.6767504578877</v>
      </c>
      <c r="AL28" s="133">
        <f t="shared" si="4"/>
        <v>4660.6767504578875</v>
      </c>
      <c r="AM28" s="26"/>
      <c r="AN28" s="122"/>
      <c r="AO28" s="749"/>
      <c r="AP28" s="241"/>
      <c r="AQ28" s="233"/>
      <c r="AR28" s="232"/>
      <c r="AS28" s="234"/>
      <c r="AT28" s="239"/>
      <c r="AU28" s="250"/>
      <c r="AV28" s="235"/>
      <c r="AW28" s="235"/>
      <c r="AX28" s="235"/>
      <c r="AY28" s="247"/>
      <c r="AZ28" s="250"/>
      <c r="BA28" s="235"/>
      <c r="BB28" s="147"/>
      <c r="BC28" s="147"/>
      <c r="BD28" s="242"/>
      <c r="BE28" s="146"/>
      <c r="BF28" s="147"/>
      <c r="BG28" s="147"/>
      <c r="BH28" s="147"/>
      <c r="BI28" s="242"/>
      <c r="BJ28" s="146"/>
      <c r="BK28" s="147"/>
      <c r="BL28" s="147"/>
      <c r="BM28" s="147"/>
      <c r="BN28" s="147"/>
      <c r="BO28" s="146"/>
      <c r="BP28" s="147"/>
      <c r="BQ28" s="147"/>
      <c r="BR28" s="147"/>
      <c r="BS28" s="271"/>
      <c r="BT28" s="22"/>
      <c r="BU28" s="22"/>
      <c r="BV28" s="22"/>
      <c r="BW28" s="22"/>
      <c r="BX28" s="22"/>
      <c r="BY28" s="22"/>
    </row>
    <row r="29" spans="1:93" x14ac:dyDescent="0.3">
      <c r="H29" s="11"/>
      <c r="I29" s="11"/>
      <c r="L29" s="25"/>
      <c r="M29" s="9"/>
      <c r="N29" s="25"/>
      <c r="S29" s="749" t="s">
        <v>33</v>
      </c>
      <c r="T29" s="861" t="s">
        <v>10</v>
      </c>
      <c r="U29" s="47" t="s">
        <v>70</v>
      </c>
      <c r="V29" s="41">
        <v>58</v>
      </c>
      <c r="W29" s="42">
        <v>66</v>
      </c>
      <c r="X29" s="42">
        <v>70</v>
      </c>
      <c r="Y29" s="43">
        <v>81</v>
      </c>
      <c r="AA29" s="749" t="s">
        <v>33</v>
      </c>
      <c r="AB29" s="861" t="s">
        <v>10</v>
      </c>
      <c r="AC29" s="47" t="s">
        <v>70</v>
      </c>
      <c r="AD29" s="142">
        <f t="shared" si="11"/>
        <v>19</v>
      </c>
      <c r="AE29" s="57">
        <f t="shared" si="1"/>
        <v>1.9774773389775542</v>
      </c>
      <c r="AF29" s="57">
        <f>W29*O$39</f>
        <v>9.811970043943802</v>
      </c>
      <c r="AG29" s="57">
        <f t="shared" ref="AG29:AG46" si="17">X29*O$46</f>
        <v>15.480411933326256</v>
      </c>
      <c r="AH29" s="57">
        <f t="shared" si="3"/>
        <v>33.6328946415587</v>
      </c>
      <c r="AI29" s="42">
        <v>549</v>
      </c>
      <c r="AJ29" s="42">
        <v>47.5</v>
      </c>
      <c r="AK29" s="138">
        <f>L$11 + N$12 + N$19 + N$21 + H$26</f>
        <v>1048.255327428029</v>
      </c>
      <c r="AL29" s="139">
        <f t="shared" si="4"/>
        <v>4648.255327428029</v>
      </c>
      <c r="AM29" s="26"/>
      <c r="AN29" s="122"/>
      <c r="AO29" s="749"/>
      <c r="AP29" s="146"/>
      <c r="AQ29" s="147"/>
      <c r="AR29" s="147"/>
      <c r="AS29" s="147"/>
      <c r="AT29" s="242"/>
      <c r="AU29" s="250"/>
      <c r="AV29" s="235"/>
      <c r="AW29" s="235"/>
      <c r="AX29" s="235"/>
      <c r="AY29" s="247"/>
      <c r="AZ29" s="250"/>
      <c r="BA29" s="235"/>
      <c r="BB29" s="147"/>
      <c r="BC29" s="147"/>
      <c r="BD29" s="242"/>
      <c r="BE29" s="146"/>
      <c r="BF29" s="147"/>
      <c r="BG29" s="147"/>
      <c r="BH29" s="147"/>
      <c r="BI29" s="242"/>
      <c r="BJ29" s="146"/>
      <c r="BK29" s="147"/>
      <c r="BL29" s="147"/>
      <c r="BM29" s="147"/>
      <c r="BN29" s="147"/>
      <c r="BO29" s="146"/>
      <c r="BP29" s="147"/>
      <c r="BQ29" s="147"/>
      <c r="BR29" s="147"/>
      <c r="BS29" s="271"/>
      <c r="BT29" s="22"/>
      <c r="BU29" s="22"/>
      <c r="BV29" s="22"/>
      <c r="BW29" s="22"/>
      <c r="BX29" s="22"/>
    </row>
    <row r="30" spans="1:93" x14ac:dyDescent="0.3">
      <c r="K30" s="9"/>
      <c r="L30" s="7"/>
      <c r="S30" s="749"/>
      <c r="T30" s="862"/>
      <c r="U30" s="44" t="s">
        <v>87</v>
      </c>
      <c r="V30" s="45">
        <v>60</v>
      </c>
      <c r="W30" s="64">
        <v>65</v>
      </c>
      <c r="X30" s="64">
        <v>70</v>
      </c>
      <c r="Y30" s="46">
        <v>82</v>
      </c>
      <c r="AA30" s="749"/>
      <c r="AB30" s="862"/>
      <c r="AC30" s="44" t="s">
        <v>87</v>
      </c>
      <c r="AD30" s="143">
        <f t="shared" si="11"/>
        <v>20</v>
      </c>
      <c r="AE30" s="78">
        <f t="shared" si="1"/>
        <v>2.0456662127354011</v>
      </c>
      <c r="AF30" s="78">
        <f>W30*O$39</f>
        <v>9.6633038311567745</v>
      </c>
      <c r="AG30" s="78">
        <f t="shared" si="17"/>
        <v>15.480411933326256</v>
      </c>
      <c r="AH30" s="78">
        <f t="shared" si="3"/>
        <v>34.048115563059426</v>
      </c>
      <c r="AI30" s="64">
        <v>550</v>
      </c>
      <c r="AJ30" s="64">
        <v>47.9</v>
      </c>
      <c r="AK30" s="132">
        <f>L$11 + N$12 + N$19 + N$21 + H$26</f>
        <v>1048.255327428029</v>
      </c>
      <c r="AL30" s="133">
        <f t="shared" si="4"/>
        <v>4648.255327428029</v>
      </c>
      <c r="AM30" s="26"/>
      <c r="AN30" s="122"/>
      <c r="AO30" s="749"/>
      <c r="AP30" s="146"/>
      <c r="AQ30" s="147"/>
      <c r="AR30" s="147"/>
      <c r="AS30" s="147"/>
      <c r="AT30" s="242"/>
      <c r="AU30" s="250"/>
      <c r="AV30" s="235"/>
      <c r="AW30" s="235"/>
      <c r="AX30" s="235"/>
      <c r="AY30" s="247"/>
      <c r="AZ30" s="250"/>
      <c r="BA30" s="235"/>
      <c r="BB30" s="147"/>
      <c r="BC30" s="147"/>
      <c r="BD30" s="242"/>
      <c r="BE30" s="146"/>
      <c r="BF30" s="147"/>
      <c r="BG30" s="147"/>
      <c r="BH30" s="147"/>
      <c r="BI30" s="242"/>
      <c r="BJ30" s="146"/>
      <c r="BK30" s="147"/>
      <c r="BL30" s="147"/>
      <c r="BM30" s="147"/>
      <c r="BN30" s="147"/>
      <c r="BO30" s="146"/>
      <c r="BP30" s="147"/>
      <c r="BQ30" s="147"/>
      <c r="BR30" s="147"/>
      <c r="BS30" s="271"/>
      <c r="BT30" s="11"/>
      <c r="BU30" s="11"/>
      <c r="BV30" s="11"/>
      <c r="BW30" s="22"/>
      <c r="BX30" s="22"/>
    </row>
    <row r="31" spans="1:93" x14ac:dyDescent="0.3">
      <c r="C31" s="4"/>
      <c r="D31" s="22"/>
      <c r="H31" s="22"/>
      <c r="I31" s="22"/>
      <c r="J31" s="22"/>
      <c r="K31" s="7"/>
      <c r="L31" s="7"/>
      <c r="M31" s="7"/>
      <c r="N31" s="7"/>
      <c r="O31" s="7"/>
      <c r="P31" s="7"/>
      <c r="Q31" s="200"/>
      <c r="R31" s="7"/>
      <c r="S31" s="749"/>
      <c r="T31" s="863"/>
      <c r="U31" s="48" t="s">
        <v>92</v>
      </c>
      <c r="V31" s="49">
        <v>64</v>
      </c>
      <c r="W31" s="50">
        <v>63</v>
      </c>
      <c r="X31" s="50">
        <v>75</v>
      </c>
      <c r="Y31" s="51">
        <v>82</v>
      </c>
      <c r="AA31" s="749"/>
      <c r="AB31" s="863"/>
      <c r="AC31" s="48" t="s">
        <v>92</v>
      </c>
      <c r="AD31" s="144">
        <f t="shared" si="11"/>
        <v>21</v>
      </c>
      <c r="AE31" s="58">
        <f t="shared" si="1"/>
        <v>2.1820439602510944</v>
      </c>
      <c r="AF31" s="58">
        <f>W31*O$39</f>
        <v>9.3659714055827195</v>
      </c>
      <c r="AG31" s="58">
        <f t="shared" si="17"/>
        <v>16.586155642849562</v>
      </c>
      <c r="AH31" s="58">
        <f t="shared" si="3"/>
        <v>34.048115563059426</v>
      </c>
      <c r="AI31" s="50">
        <v>547</v>
      </c>
      <c r="AJ31" s="50">
        <v>47.9</v>
      </c>
      <c r="AK31" s="140">
        <f>L$11 + N$12 + N$19 + N$21 + H$26</f>
        <v>1048.255327428029</v>
      </c>
      <c r="AL31" s="141">
        <f t="shared" si="4"/>
        <v>4648.255327428029</v>
      </c>
      <c r="AM31" s="26"/>
      <c r="AN31" s="122"/>
      <c r="AO31" s="749"/>
      <c r="AP31" s="243"/>
      <c r="AQ31" s="236"/>
      <c r="AR31" s="236"/>
      <c r="AS31" s="236"/>
      <c r="AT31" s="244"/>
      <c r="AU31" s="250"/>
      <c r="AV31" s="235"/>
      <c r="AW31" s="235"/>
      <c r="AX31" s="235"/>
      <c r="AY31" s="247"/>
      <c r="AZ31" s="250"/>
      <c r="BA31" s="235"/>
      <c r="BB31" s="147"/>
      <c r="BC31" s="147"/>
      <c r="BD31" s="242"/>
      <c r="BE31" s="146"/>
      <c r="BF31" s="147"/>
      <c r="BG31" s="147"/>
      <c r="BH31" s="147"/>
      <c r="BI31" s="242"/>
      <c r="BJ31" s="146"/>
      <c r="BK31" s="147"/>
      <c r="BL31" s="147"/>
      <c r="BM31" s="147"/>
      <c r="BN31" s="147"/>
      <c r="BO31" s="146"/>
      <c r="BP31" s="147"/>
      <c r="BQ31" s="147"/>
      <c r="BR31" s="147"/>
      <c r="BS31" s="271"/>
      <c r="BT31" s="22"/>
      <c r="BU31" s="22"/>
      <c r="BV31" s="22"/>
      <c r="BW31" s="22"/>
      <c r="BX31" s="22"/>
    </row>
    <row r="32" spans="1:93" x14ac:dyDescent="0.3">
      <c r="C32" s="4"/>
      <c r="D32" s="22"/>
      <c r="H32" s="22"/>
      <c r="I32" s="22"/>
      <c r="J32" s="22"/>
      <c r="S32" s="749"/>
      <c r="T32" s="861" t="s">
        <v>13</v>
      </c>
      <c r="U32" s="47" t="s">
        <v>97</v>
      </c>
      <c r="V32" s="41">
        <v>61</v>
      </c>
      <c r="W32" s="42">
        <v>70</v>
      </c>
      <c r="X32" s="42">
        <v>69</v>
      </c>
      <c r="Y32" s="43">
        <v>83</v>
      </c>
      <c r="AA32" s="749"/>
      <c r="AB32" s="861" t="s">
        <v>13</v>
      </c>
      <c r="AC32" s="47" t="s">
        <v>97</v>
      </c>
      <c r="AD32" s="143">
        <f t="shared" si="11"/>
        <v>22</v>
      </c>
      <c r="AE32" s="78">
        <f t="shared" si="1"/>
        <v>2.0797606496143244</v>
      </c>
      <c r="AF32" s="78">
        <f>W32*O$40</f>
        <v>14.368048533872599</v>
      </c>
      <c r="AG32" s="78">
        <f t="shared" si="17"/>
        <v>15.259263191421596</v>
      </c>
      <c r="AH32" s="78">
        <f t="shared" si="3"/>
        <v>34.463336484560152</v>
      </c>
      <c r="AI32" s="64">
        <v>560</v>
      </c>
      <c r="AJ32" s="64">
        <v>47.9</v>
      </c>
      <c r="AK32" s="132">
        <f>L$11 + N$13 + N$19 + N$21 + H$26</f>
        <v>1050.937074980179</v>
      </c>
      <c r="AL32" s="133">
        <f t="shared" si="4"/>
        <v>4650.9370749801792</v>
      </c>
      <c r="AM32" s="26"/>
      <c r="AN32" s="122"/>
      <c r="AO32" s="749"/>
      <c r="AP32" s="245"/>
      <c r="AQ32" s="237"/>
      <c r="AR32" s="237"/>
      <c r="AS32" s="237"/>
      <c r="AT32" s="246"/>
      <c r="AU32" s="250"/>
      <c r="AV32" s="235"/>
      <c r="AW32" s="235"/>
      <c r="AX32" s="235"/>
      <c r="AY32" s="247"/>
      <c r="AZ32" s="250"/>
      <c r="BA32" s="235"/>
      <c r="BB32" s="147"/>
      <c r="BC32" s="147"/>
      <c r="BD32" s="242"/>
      <c r="BE32" s="146"/>
      <c r="BF32" s="147"/>
      <c r="BG32" s="147"/>
      <c r="BH32" s="147"/>
      <c r="BI32" s="242"/>
      <c r="BJ32" s="146"/>
      <c r="BK32" s="147"/>
      <c r="BL32" s="147"/>
      <c r="BM32" s="147"/>
      <c r="BN32" s="147"/>
      <c r="BO32" s="146"/>
      <c r="BP32" s="147"/>
      <c r="BQ32" s="147"/>
      <c r="BR32" s="147"/>
      <c r="BS32" s="271"/>
      <c r="BT32" s="22"/>
      <c r="BU32" s="22"/>
      <c r="BV32" s="22"/>
      <c r="BW32" s="22"/>
      <c r="BX32" s="22"/>
      <c r="CA32" s="3"/>
      <c r="CI32" s="3"/>
      <c r="CO32" s="15"/>
    </row>
    <row r="33" spans="1:93" x14ac:dyDescent="0.3">
      <c r="A33" s="5"/>
      <c r="B33" s="5"/>
      <c r="C33" s="4"/>
      <c r="D33" s="22"/>
      <c r="H33" s="22"/>
      <c r="I33" s="22"/>
      <c r="J33" s="22"/>
      <c r="K33" s="5"/>
      <c r="L33" s="5"/>
      <c r="M33" s="5"/>
      <c r="N33" s="5"/>
      <c r="O33" s="5"/>
      <c r="P33" s="5"/>
      <c r="Q33" s="197"/>
      <c r="R33" s="5"/>
      <c r="S33" s="749"/>
      <c r="T33" s="862"/>
      <c r="U33" s="44" t="s">
        <v>103</v>
      </c>
      <c r="V33" s="45">
        <v>64</v>
      </c>
      <c r="W33" s="64">
        <v>69</v>
      </c>
      <c r="X33" s="64">
        <v>70</v>
      </c>
      <c r="Y33" s="46">
        <v>77</v>
      </c>
      <c r="AA33" s="749"/>
      <c r="AB33" s="862"/>
      <c r="AC33" s="44" t="s">
        <v>103</v>
      </c>
      <c r="AD33" s="143">
        <f t="shared" si="11"/>
        <v>23</v>
      </c>
      <c r="AE33" s="78">
        <f t="shared" si="1"/>
        <v>2.1820439602510944</v>
      </c>
      <c r="AF33" s="78">
        <f>W33*O$40</f>
        <v>14.162790697674421</v>
      </c>
      <c r="AG33" s="78">
        <f t="shared" si="17"/>
        <v>15.480411933326256</v>
      </c>
      <c r="AH33" s="78">
        <f t="shared" si="3"/>
        <v>31.972010955555803</v>
      </c>
      <c r="AI33" s="64">
        <v>553</v>
      </c>
      <c r="AJ33" s="64">
        <v>48.1</v>
      </c>
      <c r="AK33" s="132">
        <f>L$11 + N$13 + N$19 + N$21 + H$26</f>
        <v>1050.937074980179</v>
      </c>
      <c r="AL33" s="133">
        <f t="shared" si="4"/>
        <v>4650.9370749801792</v>
      </c>
      <c r="AM33" s="26"/>
      <c r="AN33" s="122"/>
      <c r="AO33" s="749"/>
      <c r="AP33" s="243"/>
      <c r="AQ33" s="236"/>
      <c r="AR33" s="236"/>
      <c r="AS33" s="236"/>
      <c r="AT33" s="244"/>
      <c r="AU33" s="250"/>
      <c r="AV33" s="235"/>
      <c r="AW33" s="235"/>
      <c r="AX33" s="235"/>
      <c r="AY33" s="247"/>
      <c r="AZ33" s="250"/>
      <c r="BA33" s="235"/>
      <c r="BB33" s="147"/>
      <c r="BC33" s="147"/>
      <c r="BD33" s="242"/>
      <c r="BE33" s="146"/>
      <c r="BF33" s="147"/>
      <c r="BG33" s="147"/>
      <c r="BH33" s="147"/>
      <c r="BI33" s="242"/>
      <c r="BJ33" s="146"/>
      <c r="BK33" s="147"/>
      <c r="BL33" s="147"/>
      <c r="BM33" s="147"/>
      <c r="BN33" s="147"/>
      <c r="BO33" s="146"/>
      <c r="BP33" s="147"/>
      <c r="BQ33" s="147"/>
      <c r="BR33" s="147"/>
      <c r="BS33" s="271"/>
      <c r="BT33" s="22"/>
      <c r="BU33" s="22"/>
      <c r="BV33" s="22"/>
      <c r="BW33" s="22"/>
      <c r="BX33" s="22"/>
      <c r="CI33" s="13"/>
      <c r="CO33" s="14"/>
    </row>
    <row r="34" spans="1:93" x14ac:dyDescent="0.3">
      <c r="A34" s="5"/>
      <c r="B34" s="5"/>
      <c r="C34" s="4"/>
      <c r="D34" s="22"/>
      <c r="H34" s="22"/>
      <c r="I34" s="22"/>
      <c r="J34" s="22"/>
      <c r="K34" s="5"/>
      <c r="L34" s="5"/>
      <c r="M34" s="5"/>
      <c r="N34" s="5"/>
      <c r="O34" s="5"/>
      <c r="P34" s="5"/>
      <c r="Q34" s="197"/>
      <c r="R34" s="5"/>
      <c r="S34" s="749"/>
      <c r="T34" s="863"/>
      <c r="U34" s="48" t="s">
        <v>109</v>
      </c>
      <c r="V34" s="49">
        <v>64</v>
      </c>
      <c r="W34" s="50">
        <v>69</v>
      </c>
      <c r="X34" s="50">
        <v>70</v>
      </c>
      <c r="Y34" s="51">
        <v>82</v>
      </c>
      <c r="AA34" s="749"/>
      <c r="AB34" s="863"/>
      <c r="AC34" s="48" t="s">
        <v>109</v>
      </c>
      <c r="AD34" s="143">
        <f t="shared" si="11"/>
        <v>24</v>
      </c>
      <c r="AE34" s="78">
        <f t="shared" si="1"/>
        <v>2.1820439602510944</v>
      </c>
      <c r="AF34" s="78">
        <f>W34*O$40</f>
        <v>14.162790697674421</v>
      </c>
      <c r="AG34" s="78">
        <f t="shared" si="17"/>
        <v>15.480411933326256</v>
      </c>
      <c r="AH34" s="78">
        <f t="shared" si="3"/>
        <v>34.048115563059426</v>
      </c>
      <c r="AI34" s="64">
        <v>554</v>
      </c>
      <c r="AJ34" s="64">
        <v>48.1</v>
      </c>
      <c r="AK34" s="132">
        <f>L$11 + N$13 + N$19 + N$21 + H$26</f>
        <v>1050.937074980179</v>
      </c>
      <c r="AL34" s="133">
        <f t="shared" si="4"/>
        <v>4650.9370749801792</v>
      </c>
      <c r="AM34" s="26"/>
      <c r="AN34" s="122"/>
      <c r="AO34" s="749"/>
      <c r="AP34" s="243"/>
      <c r="AQ34" s="235"/>
      <c r="AR34" s="235"/>
      <c r="AS34" s="235"/>
      <c r="AT34" s="247"/>
      <c r="AU34" s="146"/>
      <c r="AV34" s="147"/>
      <c r="AW34" s="147"/>
      <c r="AX34" s="147"/>
      <c r="AY34" s="242"/>
      <c r="AZ34" s="146"/>
      <c r="BA34" s="147"/>
      <c r="BB34" s="147"/>
      <c r="BC34" s="147"/>
      <c r="BD34" s="242"/>
      <c r="BE34" s="146"/>
      <c r="BF34" s="147"/>
      <c r="BG34" s="147"/>
      <c r="BH34" s="147"/>
      <c r="BI34" s="242"/>
      <c r="BJ34" s="146"/>
      <c r="BK34" s="147"/>
      <c r="BL34" s="147"/>
      <c r="BM34" s="147"/>
      <c r="BN34" s="147"/>
      <c r="BO34" s="146"/>
      <c r="BP34" s="147"/>
      <c r="BQ34" s="147"/>
      <c r="BR34" s="147"/>
      <c r="BS34" s="271"/>
      <c r="BT34" s="22"/>
      <c r="BU34" s="22"/>
      <c r="BV34" s="22"/>
      <c r="BW34" s="22"/>
      <c r="BX34" s="22"/>
    </row>
    <row r="35" spans="1:93" ht="15" customHeight="1" x14ac:dyDescent="0.35">
      <c r="A35" s="88" t="s">
        <v>22</v>
      </c>
      <c r="B35" s="5"/>
      <c r="C35" s="4"/>
      <c r="D35" s="22"/>
      <c r="F35" s="22"/>
      <c r="G35" s="22"/>
      <c r="H35" s="22"/>
      <c r="I35" s="22"/>
      <c r="J35" s="22"/>
      <c r="K35" s="6"/>
      <c r="L35" s="26"/>
      <c r="M35" s="35"/>
      <c r="N35" s="5"/>
      <c r="O35" s="5"/>
      <c r="P35" s="5"/>
      <c r="Q35" s="197"/>
      <c r="R35" s="5"/>
      <c r="S35" s="749"/>
      <c r="T35" s="861" t="s">
        <v>24</v>
      </c>
      <c r="U35" s="47" t="s">
        <v>65</v>
      </c>
      <c r="V35" s="41">
        <v>64</v>
      </c>
      <c r="W35" s="42">
        <v>68</v>
      </c>
      <c r="X35" s="42">
        <v>68</v>
      </c>
      <c r="Y35" s="43">
        <v>85</v>
      </c>
      <c r="AA35" s="749"/>
      <c r="AB35" s="861" t="s">
        <v>24</v>
      </c>
      <c r="AC35" s="47" t="s">
        <v>65</v>
      </c>
      <c r="AD35" s="142">
        <f t="shared" si="11"/>
        <v>25</v>
      </c>
      <c r="AE35" s="57">
        <f t="shared" si="1"/>
        <v>2.1820439602510944</v>
      </c>
      <c r="AF35" s="57">
        <f>W35*O$41</f>
        <v>12.515727187791967</v>
      </c>
      <c r="AG35" s="57">
        <f t="shared" si="17"/>
        <v>15.038114449516934</v>
      </c>
      <c r="AH35" s="57">
        <f t="shared" si="3"/>
        <v>35.293778327561597</v>
      </c>
      <c r="AI35" s="42">
        <v>552</v>
      </c>
      <c r="AJ35" s="42">
        <v>49.5</v>
      </c>
      <c r="AK35" s="138">
        <f>L$11 + N$14 + N$19 + N$21 + H$26</f>
        <v>1050.5802611150318</v>
      </c>
      <c r="AL35" s="139">
        <f t="shared" si="4"/>
        <v>4650.580261115032</v>
      </c>
      <c r="AM35" s="26"/>
      <c r="AN35" s="122"/>
      <c r="AO35" s="749"/>
      <c r="AP35" s="243"/>
      <c r="AQ35" s="235"/>
      <c r="AR35" s="235"/>
      <c r="AS35" s="235"/>
      <c r="AT35" s="247"/>
      <c r="AU35" s="146"/>
      <c r="AV35" s="147"/>
      <c r="AW35" s="147"/>
      <c r="AX35" s="147"/>
      <c r="AY35" s="242"/>
      <c r="AZ35" s="146"/>
      <c r="BA35" s="147"/>
      <c r="BB35" s="147"/>
      <c r="BC35" s="147"/>
      <c r="BD35" s="242"/>
      <c r="BE35" s="146"/>
      <c r="BF35" s="147"/>
      <c r="BG35" s="147"/>
      <c r="BH35" s="147"/>
      <c r="BI35" s="242"/>
      <c r="BJ35" s="146"/>
      <c r="BK35" s="147"/>
      <c r="BL35" s="147"/>
      <c r="BM35" s="147"/>
      <c r="BN35" s="147"/>
      <c r="BO35" s="146"/>
      <c r="BP35" s="147"/>
      <c r="BQ35" s="147"/>
      <c r="BR35" s="147"/>
      <c r="BS35" s="271"/>
      <c r="BT35" s="22"/>
      <c r="BU35" s="22"/>
      <c r="BV35" s="22"/>
      <c r="BW35" s="22"/>
      <c r="BX35" s="22"/>
    </row>
    <row r="36" spans="1:93" ht="15" customHeight="1" thickBot="1" x14ac:dyDescent="0.35">
      <c r="A36" s="5"/>
      <c r="B36" s="5"/>
      <c r="D36" s="22"/>
      <c r="F36" s="22"/>
      <c r="G36" s="22"/>
      <c r="H36" s="22"/>
      <c r="I36" s="22"/>
      <c r="J36" s="22"/>
      <c r="K36" s="6"/>
      <c r="L36" s="26"/>
      <c r="M36" s="35"/>
      <c r="N36" s="5"/>
      <c r="O36" s="5"/>
      <c r="P36" s="5"/>
      <c r="Q36" s="197"/>
      <c r="R36" s="5"/>
      <c r="S36" s="749"/>
      <c r="T36" s="862"/>
      <c r="U36" s="44" t="s">
        <v>66</v>
      </c>
      <c r="V36" s="45">
        <v>66</v>
      </c>
      <c r="W36" s="64">
        <v>70</v>
      </c>
      <c r="X36" s="64">
        <v>70</v>
      </c>
      <c r="Y36" s="46">
        <v>83</v>
      </c>
      <c r="AA36" s="749"/>
      <c r="AB36" s="862"/>
      <c r="AC36" s="44" t="s">
        <v>66</v>
      </c>
      <c r="AD36" s="143">
        <f t="shared" si="11"/>
        <v>26</v>
      </c>
      <c r="AE36" s="78">
        <f t="shared" si="1"/>
        <v>2.250232834008941</v>
      </c>
      <c r="AF36" s="78">
        <f>W36*O$41</f>
        <v>12.883836810962318</v>
      </c>
      <c r="AG36" s="78">
        <f t="shared" si="17"/>
        <v>15.480411933326256</v>
      </c>
      <c r="AH36" s="78">
        <f t="shared" si="3"/>
        <v>34.463336484560152</v>
      </c>
      <c r="AI36" s="64">
        <v>551</v>
      </c>
      <c r="AJ36" s="64">
        <v>48.2</v>
      </c>
      <c r="AK36" s="132">
        <f>L$11 + N$14 + N$19 + N$21 + H$26</f>
        <v>1050.5802611150318</v>
      </c>
      <c r="AL36" s="133">
        <f t="shared" si="4"/>
        <v>4650.580261115032</v>
      </c>
      <c r="AM36" s="26"/>
      <c r="AN36" s="122"/>
      <c r="AO36" s="749"/>
      <c r="AP36" s="243"/>
      <c r="AQ36" s="235"/>
      <c r="AR36" s="235"/>
      <c r="AS36" s="235"/>
      <c r="AT36" s="247"/>
      <c r="AU36" s="146"/>
      <c r="AV36" s="147"/>
      <c r="AW36" s="147"/>
      <c r="AX36" s="147"/>
      <c r="AY36" s="242"/>
      <c r="AZ36" s="146"/>
      <c r="BA36" s="147"/>
      <c r="BB36" s="147"/>
      <c r="BC36" s="147"/>
      <c r="BD36" s="242"/>
      <c r="BE36" s="146"/>
      <c r="BF36" s="147"/>
      <c r="BG36" s="147"/>
      <c r="BH36" s="147"/>
      <c r="BI36" s="242"/>
      <c r="BJ36" s="146"/>
      <c r="BK36" s="147"/>
      <c r="BL36" s="147"/>
      <c r="BM36" s="147"/>
      <c r="BN36" s="147"/>
      <c r="BO36" s="146"/>
      <c r="BP36" s="147"/>
      <c r="BQ36" s="147"/>
      <c r="BR36" s="147"/>
      <c r="BS36" s="271"/>
      <c r="BT36" s="22"/>
      <c r="BU36" s="22"/>
      <c r="BV36" s="22"/>
      <c r="BW36" s="22"/>
      <c r="BX36" s="22"/>
    </row>
    <row r="37" spans="1:93" ht="15" customHeight="1" x14ac:dyDescent="0.3">
      <c r="A37" s="5"/>
      <c r="B37" s="27"/>
      <c r="C37" s="880" t="s">
        <v>120</v>
      </c>
      <c r="D37" s="881"/>
      <c r="E37" s="881"/>
      <c r="F37" s="882"/>
      <c r="G37" s="886" t="s">
        <v>119</v>
      </c>
      <c r="H37" s="887"/>
      <c r="I37" s="887"/>
      <c r="J37" s="885"/>
      <c r="K37" s="6"/>
      <c r="L37" s="36"/>
      <c r="M37" s="880" t="s">
        <v>144</v>
      </c>
      <c r="N37" s="881"/>
      <c r="O37" s="882"/>
      <c r="P37" s="5"/>
      <c r="Q37" s="197"/>
      <c r="R37" s="5"/>
      <c r="S37" s="749"/>
      <c r="T37" s="863"/>
      <c r="U37" s="48" t="s">
        <v>67</v>
      </c>
      <c r="V37" s="49">
        <v>66</v>
      </c>
      <c r="W37" s="50">
        <v>71</v>
      </c>
      <c r="X37" s="50">
        <v>70</v>
      </c>
      <c r="Y37" s="51">
        <v>84</v>
      </c>
      <c r="AA37" s="749"/>
      <c r="AB37" s="863"/>
      <c r="AC37" s="48" t="s">
        <v>67</v>
      </c>
      <c r="AD37" s="144">
        <f t="shared" si="11"/>
        <v>27</v>
      </c>
      <c r="AE37" s="58">
        <f t="shared" si="1"/>
        <v>2.250232834008941</v>
      </c>
      <c r="AF37" s="58">
        <f>W37*O$41</f>
        <v>13.067891622547494</v>
      </c>
      <c r="AG37" s="58">
        <f t="shared" si="17"/>
        <v>15.480411933326256</v>
      </c>
      <c r="AH37" s="58">
        <f t="shared" si="3"/>
        <v>34.878557406060878</v>
      </c>
      <c r="AI37" s="50">
        <v>553</v>
      </c>
      <c r="AJ37" s="50">
        <v>47.5</v>
      </c>
      <c r="AK37" s="140">
        <f>L$11 + N$14 + N$19 + N$21 + H$26</f>
        <v>1050.5802611150318</v>
      </c>
      <c r="AL37" s="141">
        <f t="shared" si="4"/>
        <v>4650.580261115032</v>
      </c>
      <c r="AM37" s="26"/>
      <c r="AN37" s="122"/>
      <c r="AO37" s="749"/>
      <c r="AP37" s="243"/>
      <c r="AQ37" s="147"/>
      <c r="AR37" s="147"/>
      <c r="AS37" s="147"/>
      <c r="AT37" s="242"/>
      <c r="AU37" s="146"/>
      <c r="AV37" s="147"/>
      <c r="AW37" s="147"/>
      <c r="AX37" s="147"/>
      <c r="AY37" s="242"/>
      <c r="AZ37" s="146"/>
      <c r="BA37" s="147"/>
      <c r="BB37" s="147"/>
      <c r="BC37" s="147"/>
      <c r="BD37" s="242"/>
      <c r="BE37" s="146"/>
      <c r="BF37" s="147"/>
      <c r="BG37" s="147"/>
      <c r="BH37" s="147"/>
      <c r="BI37" s="242"/>
      <c r="BJ37" s="146"/>
      <c r="BK37" s="147"/>
      <c r="BL37" s="147"/>
      <c r="BM37" s="147"/>
      <c r="BN37" s="147"/>
      <c r="BO37" s="146"/>
      <c r="BP37" s="147"/>
      <c r="BQ37" s="147"/>
      <c r="BR37" s="147"/>
      <c r="BS37" s="271"/>
      <c r="BT37" s="22"/>
      <c r="BU37" s="22"/>
      <c r="BV37" s="22"/>
      <c r="BW37" s="22"/>
      <c r="BX37" s="22"/>
    </row>
    <row r="38" spans="1:93" x14ac:dyDescent="0.3">
      <c r="A38" s="5"/>
      <c r="B38" s="26"/>
      <c r="C38" s="888" t="s">
        <v>116</v>
      </c>
      <c r="D38" s="889"/>
      <c r="E38" s="890" t="s">
        <v>117</v>
      </c>
      <c r="F38" s="891"/>
      <c r="G38" s="888" t="s">
        <v>121</v>
      </c>
      <c r="H38" s="889"/>
      <c r="I38" s="892" t="s">
        <v>136</v>
      </c>
      <c r="J38" s="893"/>
      <c r="K38" s="6"/>
      <c r="L38" s="36"/>
      <c r="M38" s="123" t="s">
        <v>19</v>
      </c>
      <c r="N38" s="42" t="s">
        <v>19</v>
      </c>
      <c r="O38" s="150">
        <f>H40/((H40)+(J40*E26))</f>
        <v>3.409443687892335E-2</v>
      </c>
      <c r="P38" s="5"/>
      <c r="Q38" s="197"/>
      <c r="R38" s="5"/>
      <c r="S38" s="749"/>
      <c r="T38" s="861" t="s">
        <v>25</v>
      </c>
      <c r="U38" s="47" t="s">
        <v>86</v>
      </c>
      <c r="V38" s="41">
        <v>67</v>
      </c>
      <c r="W38" s="42">
        <v>71</v>
      </c>
      <c r="X38" s="42">
        <v>70</v>
      </c>
      <c r="Y38" s="43">
        <v>86</v>
      </c>
      <c r="AA38" s="749"/>
      <c r="AB38" s="861" t="s">
        <v>25</v>
      </c>
      <c r="AC38" s="47" t="s">
        <v>86</v>
      </c>
      <c r="AD38" s="143">
        <f t="shared" si="11"/>
        <v>28</v>
      </c>
      <c r="AE38" s="78">
        <f t="shared" si="1"/>
        <v>2.2843272708878644</v>
      </c>
      <c r="AF38" s="78">
        <f>W38*O$42</f>
        <v>14.084140744518105</v>
      </c>
      <c r="AG38" s="78">
        <f t="shared" si="17"/>
        <v>15.480411933326256</v>
      </c>
      <c r="AH38" s="78">
        <f t="shared" si="3"/>
        <v>35.708999249062323</v>
      </c>
      <c r="AI38" s="64">
        <v>552</v>
      </c>
      <c r="AJ38" s="64">
        <v>47.7</v>
      </c>
      <c r="AK38" s="132">
        <f>L$11 + N$15 + N$19 + N$21 + H$26</f>
        <v>1052.1396823015307</v>
      </c>
      <c r="AL38" s="133">
        <f t="shared" si="4"/>
        <v>4652.1396823015311</v>
      </c>
      <c r="AM38" s="26"/>
      <c r="AN38" s="122"/>
      <c r="AO38" s="749"/>
      <c r="AP38" s="243"/>
      <c r="AQ38" s="147"/>
      <c r="AR38" s="147"/>
      <c r="AS38" s="147"/>
      <c r="AT38" s="242"/>
      <c r="AU38" s="146"/>
      <c r="AV38" s="147"/>
      <c r="AW38" s="147"/>
      <c r="AX38" s="147"/>
      <c r="AY38" s="242"/>
      <c r="AZ38" s="146"/>
      <c r="BA38" s="147"/>
      <c r="BB38" s="147"/>
      <c r="BC38" s="147"/>
      <c r="BD38" s="242"/>
      <c r="BE38" s="146"/>
      <c r="BF38" s="147"/>
      <c r="BG38" s="147"/>
      <c r="BH38" s="147"/>
      <c r="BI38" s="242"/>
      <c r="BJ38" s="146"/>
      <c r="BK38" s="147"/>
      <c r="BL38" s="147"/>
      <c r="BM38" s="147"/>
      <c r="BN38" s="147"/>
      <c r="BO38" s="146"/>
      <c r="BP38" s="147"/>
      <c r="BQ38" s="147"/>
      <c r="BR38" s="147"/>
      <c r="BS38" s="271"/>
      <c r="BT38" s="22"/>
      <c r="BU38" s="22"/>
      <c r="BV38" s="22"/>
      <c r="BW38" s="22"/>
      <c r="BX38" s="22"/>
    </row>
    <row r="39" spans="1:93" ht="15" thickBot="1" x14ac:dyDescent="0.35">
      <c r="A39" s="5"/>
      <c r="B39" s="6"/>
      <c r="C39" s="161" t="s">
        <v>115</v>
      </c>
      <c r="D39" s="162" t="s">
        <v>3</v>
      </c>
      <c r="E39" s="118" t="s">
        <v>115</v>
      </c>
      <c r="F39" s="174" t="s">
        <v>3</v>
      </c>
      <c r="G39" s="161" t="s">
        <v>122</v>
      </c>
      <c r="H39" s="162" t="s">
        <v>124</v>
      </c>
      <c r="I39" s="56" t="s">
        <v>123</v>
      </c>
      <c r="J39" s="128" t="s">
        <v>124</v>
      </c>
      <c r="K39" s="6"/>
      <c r="L39" s="36"/>
      <c r="M39" s="124" t="s">
        <v>1</v>
      </c>
      <c r="N39" s="64" t="s">
        <v>10</v>
      </c>
      <c r="O39" s="151">
        <f xml:space="preserve"> (E41*E12) / ( (E41*E12) + (F41*E$26) )</f>
        <v>0.1486662127870273</v>
      </c>
      <c r="P39" s="5"/>
      <c r="Q39" s="197"/>
      <c r="R39" s="5"/>
      <c r="S39" s="749"/>
      <c r="T39" s="862"/>
      <c r="U39" s="44" t="s">
        <v>91</v>
      </c>
      <c r="V39" s="45">
        <v>70</v>
      </c>
      <c r="W39" s="64">
        <v>72</v>
      </c>
      <c r="X39" s="64">
        <v>72</v>
      </c>
      <c r="Y39" s="46">
        <v>85</v>
      </c>
      <c r="AA39" s="749"/>
      <c r="AB39" s="862"/>
      <c r="AC39" s="44" t="s">
        <v>91</v>
      </c>
      <c r="AD39" s="143">
        <f t="shared" si="11"/>
        <v>29</v>
      </c>
      <c r="AE39" s="78">
        <f t="shared" si="1"/>
        <v>2.3866105815246343</v>
      </c>
      <c r="AF39" s="78">
        <f>W39*O$42</f>
        <v>14.28250892401836</v>
      </c>
      <c r="AG39" s="78">
        <f t="shared" si="17"/>
        <v>15.922709417135577</v>
      </c>
      <c r="AH39" s="78">
        <f t="shared" si="3"/>
        <v>35.293778327561597</v>
      </c>
      <c r="AI39" s="64">
        <v>550</v>
      </c>
      <c r="AJ39" s="64">
        <v>48.8</v>
      </c>
      <c r="AK39" s="132">
        <f>L$11 + N$15 + N$19 + N$21 + H$26</f>
        <v>1052.1396823015307</v>
      </c>
      <c r="AL39" s="133">
        <f t="shared" si="4"/>
        <v>4652.1396823015311</v>
      </c>
      <c r="AM39" s="26"/>
      <c r="AN39" s="122"/>
      <c r="AO39" s="749"/>
      <c r="AP39" s="146"/>
      <c r="AQ39" s="147"/>
      <c r="AR39" s="147"/>
      <c r="AS39" s="147"/>
      <c r="AT39" s="242"/>
      <c r="AU39" s="146"/>
      <c r="AV39" s="147"/>
      <c r="AW39" s="147"/>
      <c r="AX39" s="147"/>
      <c r="AY39" s="242"/>
      <c r="AZ39" s="146"/>
      <c r="BA39" s="147"/>
      <c r="BB39" s="147"/>
      <c r="BC39" s="147"/>
      <c r="BD39" s="242"/>
      <c r="BE39" s="146"/>
      <c r="BF39" s="147"/>
      <c r="BG39" s="147"/>
      <c r="BH39" s="147"/>
      <c r="BI39" s="242"/>
      <c r="BJ39" s="146"/>
      <c r="BK39" s="147"/>
      <c r="BL39" s="147"/>
      <c r="BM39" s="147"/>
      <c r="BN39" s="147"/>
      <c r="BO39" s="146"/>
      <c r="BP39" s="147"/>
      <c r="BQ39" s="147"/>
      <c r="BR39" s="147"/>
      <c r="BS39" s="271"/>
      <c r="BT39" s="22"/>
      <c r="BU39" s="22"/>
      <c r="BV39" s="22"/>
      <c r="BW39" s="22"/>
      <c r="BX39" s="22"/>
    </row>
    <row r="40" spans="1:93" x14ac:dyDescent="0.3">
      <c r="A40" s="61" t="s">
        <v>19</v>
      </c>
      <c r="B40" s="63" t="s">
        <v>19</v>
      </c>
      <c r="C40" s="175" t="s">
        <v>9</v>
      </c>
      <c r="D40" s="170" t="s">
        <v>9</v>
      </c>
      <c r="E40" s="64" t="s">
        <v>9</v>
      </c>
      <c r="F40" s="46" t="s">
        <v>9</v>
      </c>
      <c r="G40" s="124">
        <v>110</v>
      </c>
      <c r="H40" s="93">
        <v>110.2</v>
      </c>
      <c r="I40" s="64">
        <f>L11*O11*1.18</f>
        <v>3964.7999999999997</v>
      </c>
      <c r="J40" s="182">
        <f>H40* (I40/G40)</f>
        <v>3972.0087272727269</v>
      </c>
      <c r="K40" s="6"/>
      <c r="L40" s="36"/>
      <c r="M40" s="124" t="s">
        <v>2</v>
      </c>
      <c r="N40" s="64" t="s">
        <v>13</v>
      </c>
      <c r="O40" s="151">
        <f>(H42)/((H42) + (J42*E$26))</f>
        <v>0.20525783619818</v>
      </c>
      <c r="P40" s="5"/>
      <c r="Q40" s="197"/>
      <c r="R40" s="5"/>
      <c r="S40" s="749"/>
      <c r="T40" s="863"/>
      <c r="U40" s="48" t="s">
        <v>96</v>
      </c>
      <c r="V40" s="49">
        <v>69</v>
      </c>
      <c r="W40" s="50">
        <v>66</v>
      </c>
      <c r="X40" s="50">
        <v>74</v>
      </c>
      <c r="Y40" s="51">
        <v>84</v>
      </c>
      <c r="AA40" s="749"/>
      <c r="AB40" s="863"/>
      <c r="AC40" s="48" t="s">
        <v>96</v>
      </c>
      <c r="AD40" s="143">
        <f t="shared" si="11"/>
        <v>30</v>
      </c>
      <c r="AE40" s="78">
        <f t="shared" si="1"/>
        <v>2.352516144645711</v>
      </c>
      <c r="AF40" s="78">
        <f>W40*O$42</f>
        <v>13.092299847016831</v>
      </c>
      <c r="AG40" s="78">
        <f t="shared" si="17"/>
        <v>16.365006900944898</v>
      </c>
      <c r="AH40" s="78">
        <f t="shared" si="3"/>
        <v>34.878557406060878</v>
      </c>
      <c r="AI40" s="64">
        <v>552</v>
      </c>
      <c r="AJ40" s="64">
        <v>47.8</v>
      </c>
      <c r="AK40" s="132">
        <f>L$11 + N$15 + N$19 + N$21 + H$26</f>
        <v>1052.1396823015307</v>
      </c>
      <c r="AL40" s="133">
        <f t="shared" si="4"/>
        <v>4652.1396823015311</v>
      </c>
      <c r="AM40" s="26"/>
      <c r="AN40" s="122"/>
      <c r="AO40" s="749"/>
      <c r="AP40" s="146"/>
      <c r="AQ40" s="147"/>
      <c r="AR40" s="147"/>
      <c r="AS40" s="147"/>
      <c r="AT40" s="242"/>
      <c r="AU40" s="146"/>
      <c r="AV40" s="147"/>
      <c r="AW40" s="147"/>
      <c r="AX40" s="147"/>
      <c r="AY40" s="242"/>
      <c r="AZ40" s="146"/>
      <c r="BA40" s="147"/>
      <c r="BB40" s="147"/>
      <c r="BC40" s="147"/>
      <c r="BD40" s="242"/>
      <c r="BE40" s="146"/>
      <c r="BF40" s="147"/>
      <c r="BG40" s="147"/>
      <c r="BH40" s="147"/>
      <c r="BI40" s="242"/>
      <c r="BJ40" s="146"/>
      <c r="BK40" s="147"/>
      <c r="BL40" s="147"/>
      <c r="BM40" s="147"/>
      <c r="BN40" s="147"/>
      <c r="BO40" s="146"/>
      <c r="BP40" s="147"/>
      <c r="BQ40" s="147"/>
      <c r="BR40" s="147"/>
      <c r="BS40" s="271"/>
      <c r="BT40" s="22"/>
      <c r="BU40" s="22"/>
      <c r="BV40" s="22"/>
      <c r="BW40" s="22"/>
      <c r="BX40" s="22"/>
    </row>
    <row r="41" spans="1:93" x14ac:dyDescent="0.3">
      <c r="A41" s="124" t="s">
        <v>1</v>
      </c>
      <c r="B41" s="46" t="s">
        <v>10</v>
      </c>
      <c r="C41" s="175">
        <f>J12*O12</f>
        <v>74.544827586206907</v>
      </c>
      <c r="D41" s="170">
        <f>L12*O12</f>
        <v>630</v>
      </c>
      <c r="E41" s="130">
        <f>C41*D$58</f>
        <v>223.63448275862072</v>
      </c>
      <c r="F41" s="176">
        <f>D41*D$58</f>
        <v>1890</v>
      </c>
      <c r="G41" s="183" t="s">
        <v>9</v>
      </c>
      <c r="H41" s="172" t="s">
        <v>9</v>
      </c>
      <c r="I41" s="173" t="s">
        <v>9</v>
      </c>
      <c r="J41" s="177" t="s">
        <v>9</v>
      </c>
      <c r="K41" s="6"/>
      <c r="L41" s="26"/>
      <c r="M41" s="124" t="s">
        <v>4</v>
      </c>
      <c r="N41" s="64" t="s">
        <v>24</v>
      </c>
      <c r="O41" s="151">
        <f t="shared" ref="O41:O48" si="18" xml:space="preserve"> (E43*E14) / ( (E43*E14) + (F43*E$26) )</f>
        <v>0.18405481158517598</v>
      </c>
      <c r="P41" s="5"/>
      <c r="Q41" s="197"/>
      <c r="R41" s="5"/>
      <c r="S41" s="749"/>
      <c r="T41" s="861" t="s">
        <v>38</v>
      </c>
      <c r="U41" s="47" t="s">
        <v>102</v>
      </c>
      <c r="V41" s="41">
        <v>68</v>
      </c>
      <c r="W41" s="42">
        <v>76</v>
      </c>
      <c r="X41" s="42">
        <v>79</v>
      </c>
      <c r="Y41" s="43">
        <v>86</v>
      </c>
      <c r="AA41" s="749"/>
      <c r="AB41" s="861" t="s">
        <v>38</v>
      </c>
      <c r="AC41" s="47" t="s">
        <v>102</v>
      </c>
      <c r="AD41" s="142">
        <f t="shared" si="11"/>
        <v>31</v>
      </c>
      <c r="AE41" s="57">
        <f t="shared" si="1"/>
        <v>2.3184217077667877</v>
      </c>
      <c r="AF41" s="57">
        <f>W41*O$43</f>
        <v>16.803533508876242</v>
      </c>
      <c r="AG41" s="57">
        <f t="shared" si="17"/>
        <v>17.470750610468205</v>
      </c>
      <c r="AH41" s="57">
        <f t="shared" si="3"/>
        <v>35.708999249062323</v>
      </c>
      <c r="AI41" s="42">
        <v>551</v>
      </c>
      <c r="AJ41" s="42">
        <v>48</v>
      </c>
      <c r="AK41" s="138">
        <f>L$11 + N$16 + N$19 + N$21 + H$26</f>
        <v>1053.5534383725569</v>
      </c>
      <c r="AL41" s="139">
        <f t="shared" si="4"/>
        <v>4653.5534383725571</v>
      </c>
      <c r="AM41" s="26"/>
      <c r="AN41" s="122"/>
      <c r="AO41" s="749"/>
      <c r="AP41" s="146"/>
      <c r="AQ41" s="147"/>
      <c r="AR41" s="147"/>
      <c r="AS41" s="147"/>
      <c r="AT41" s="242"/>
      <c r="AU41" s="146"/>
      <c r="AV41" s="147"/>
      <c r="AW41" s="147"/>
      <c r="AX41" s="147"/>
      <c r="AY41" s="242"/>
      <c r="AZ41" s="146"/>
      <c r="BA41" s="147"/>
      <c r="BB41" s="147"/>
      <c r="BC41" s="147"/>
      <c r="BD41" s="242"/>
      <c r="BE41" s="146"/>
      <c r="BF41" s="147"/>
      <c r="BG41" s="147"/>
      <c r="BH41" s="147"/>
      <c r="BI41" s="242"/>
      <c r="BJ41" s="146"/>
      <c r="BK41" s="147"/>
      <c r="BL41" s="147"/>
      <c r="BM41" s="147"/>
      <c r="BN41" s="242"/>
      <c r="BO41" s="147"/>
      <c r="BP41" s="147"/>
      <c r="BQ41" s="147"/>
      <c r="BR41" s="147"/>
      <c r="BS41" s="271"/>
      <c r="BT41" s="22"/>
      <c r="BU41" s="22"/>
      <c r="BV41" s="22"/>
      <c r="BW41" s="22"/>
      <c r="BX41" s="22"/>
    </row>
    <row r="42" spans="1:93" x14ac:dyDescent="0.3">
      <c r="A42" s="124" t="s">
        <v>2</v>
      </c>
      <c r="B42" s="46" t="s">
        <v>13</v>
      </c>
      <c r="C42" s="175" t="s">
        <v>9</v>
      </c>
      <c r="D42" s="170" t="s">
        <v>9</v>
      </c>
      <c r="E42" s="173" t="s">
        <v>9</v>
      </c>
      <c r="F42" s="177" t="s">
        <v>9</v>
      </c>
      <c r="G42" s="124">
        <f>I13*O13*D$58</f>
        <v>383.67000000000007</v>
      </c>
      <c r="H42" s="131">
        <v>361.9</v>
      </c>
      <c r="I42" s="64">
        <f>L13*O13*D$58</f>
        <v>1890</v>
      </c>
      <c r="J42" s="182">
        <f>H42* (I42/G42)</f>
        <v>1782.7586206896549</v>
      </c>
      <c r="K42" s="6"/>
      <c r="L42" s="26"/>
      <c r="M42" s="124" t="s">
        <v>12</v>
      </c>
      <c r="N42" s="64" t="s">
        <v>25</v>
      </c>
      <c r="O42" s="151">
        <f t="shared" si="18"/>
        <v>0.19836817950025501</v>
      </c>
      <c r="P42" s="5"/>
      <c r="Q42" s="197"/>
      <c r="R42" s="5"/>
      <c r="S42" s="749"/>
      <c r="T42" s="862"/>
      <c r="U42" s="44" t="s">
        <v>108</v>
      </c>
      <c r="V42" s="45">
        <v>69</v>
      </c>
      <c r="W42" s="64">
        <v>74</v>
      </c>
      <c r="X42" s="64">
        <v>80</v>
      </c>
      <c r="Y42" s="46">
        <v>85</v>
      </c>
      <c r="Z42" s="36"/>
      <c r="AA42" s="749"/>
      <c r="AB42" s="862"/>
      <c r="AC42" s="44" t="s">
        <v>108</v>
      </c>
      <c r="AD42" s="143">
        <f t="shared" si="11"/>
        <v>32</v>
      </c>
      <c r="AE42" s="78">
        <f t="shared" si="1"/>
        <v>2.352516144645711</v>
      </c>
      <c r="AF42" s="78">
        <f>W42*O$43</f>
        <v>16.361335258642658</v>
      </c>
      <c r="AG42" s="78">
        <f t="shared" si="17"/>
        <v>17.691899352372864</v>
      </c>
      <c r="AH42" s="78">
        <f t="shared" si="3"/>
        <v>35.293778327561597</v>
      </c>
      <c r="AI42" s="64">
        <v>552</v>
      </c>
      <c r="AJ42" s="64">
        <v>48.7</v>
      </c>
      <c r="AK42" s="132">
        <f>L$11 + N$16 + N$19 + N$21 + H$26</f>
        <v>1053.5534383725569</v>
      </c>
      <c r="AL42" s="133">
        <f t="shared" si="4"/>
        <v>4653.5534383725571</v>
      </c>
      <c r="AM42" s="26"/>
      <c r="AN42" s="122"/>
      <c r="AO42" s="749"/>
      <c r="AP42" s="146"/>
      <c r="AQ42" s="147"/>
      <c r="AR42" s="253" t="s">
        <v>182</v>
      </c>
      <c r="AS42" s="147"/>
      <c r="AT42" s="242"/>
      <c r="AU42" s="146"/>
      <c r="AV42" s="147"/>
      <c r="AW42" s="253" t="s">
        <v>185</v>
      </c>
      <c r="AX42" s="147"/>
      <c r="AY42" s="242"/>
      <c r="AZ42" s="146"/>
      <c r="BA42" s="147"/>
      <c r="BB42" s="253" t="s">
        <v>186</v>
      </c>
      <c r="BC42" s="147"/>
      <c r="BD42" s="242"/>
      <c r="BE42" s="146"/>
      <c r="BF42" s="147"/>
      <c r="BG42" s="253" t="s">
        <v>187</v>
      </c>
      <c r="BH42" s="147"/>
      <c r="BI42" s="242"/>
      <c r="BJ42" s="146"/>
      <c r="BK42" s="147"/>
      <c r="BL42" s="253" t="s">
        <v>188</v>
      </c>
      <c r="BM42" s="147"/>
      <c r="BN42" s="242"/>
      <c r="BO42" s="147"/>
      <c r="BP42" s="147"/>
      <c r="BQ42" s="253" t="s">
        <v>189</v>
      </c>
      <c r="BR42" s="147"/>
      <c r="BS42" s="271"/>
      <c r="BT42" s="22"/>
      <c r="BU42" s="22"/>
      <c r="BV42" s="22"/>
      <c r="BW42" s="22"/>
      <c r="BX42" s="22"/>
    </row>
    <row r="43" spans="1:93" x14ac:dyDescent="0.3">
      <c r="A43" s="124" t="s">
        <v>4</v>
      </c>
      <c r="B43" s="46" t="s">
        <v>24</v>
      </c>
      <c r="C43" s="175">
        <f t="shared" ref="C43:C50" si="19">J14*O14</f>
        <v>95.469230769230776</v>
      </c>
      <c r="D43" s="170">
        <f t="shared" ref="D43:D50" si="20">L14*O14</f>
        <v>630</v>
      </c>
      <c r="E43" s="130">
        <f>C43*D$58</f>
        <v>286.40769230769234</v>
      </c>
      <c r="F43" s="176">
        <f>D43*D$58</f>
        <v>1890</v>
      </c>
      <c r="G43" s="124" t="s">
        <v>9</v>
      </c>
      <c r="H43" s="163" t="s">
        <v>9</v>
      </c>
      <c r="I43" s="64" t="s">
        <v>9</v>
      </c>
      <c r="J43" s="46" t="s">
        <v>9</v>
      </c>
      <c r="K43" s="6"/>
      <c r="L43" s="36"/>
      <c r="M43" s="124" t="s">
        <v>36</v>
      </c>
      <c r="N43" s="64" t="s">
        <v>38</v>
      </c>
      <c r="O43" s="151">
        <f t="shared" si="18"/>
        <v>0.22109912511679267</v>
      </c>
      <c r="P43" s="5"/>
      <c r="Q43" s="197"/>
      <c r="R43" s="5"/>
      <c r="S43" s="749"/>
      <c r="T43" s="863"/>
      <c r="U43" s="48" t="s">
        <v>62</v>
      </c>
      <c r="V43" s="49">
        <v>69</v>
      </c>
      <c r="W43" s="50">
        <v>78</v>
      </c>
      <c r="X43" s="50">
        <v>80</v>
      </c>
      <c r="Y43" s="51">
        <v>84</v>
      </c>
      <c r="Z43" s="5"/>
      <c r="AA43" s="749"/>
      <c r="AB43" s="863"/>
      <c r="AC43" s="48" t="s">
        <v>62</v>
      </c>
      <c r="AD43" s="144">
        <f t="shared" si="11"/>
        <v>33</v>
      </c>
      <c r="AE43" s="58">
        <f t="shared" si="1"/>
        <v>2.352516144645711</v>
      </c>
      <c r="AF43" s="58">
        <f>W43*O$43</f>
        <v>17.245731759109827</v>
      </c>
      <c r="AG43" s="58">
        <f t="shared" si="17"/>
        <v>17.691899352372864</v>
      </c>
      <c r="AH43" s="58">
        <f t="shared" si="3"/>
        <v>34.878557406060878</v>
      </c>
      <c r="AI43" s="50">
        <v>552</v>
      </c>
      <c r="AJ43" s="50">
        <v>66.099999999999994</v>
      </c>
      <c r="AK43" s="140">
        <f>L$11 + N$16 + N$19 + N$21 + H$26</f>
        <v>1053.5534383725569</v>
      </c>
      <c r="AL43" s="141">
        <f t="shared" si="4"/>
        <v>4653.5534383725571</v>
      </c>
      <c r="AM43" s="26"/>
      <c r="AN43" s="122"/>
      <c r="AO43" s="749"/>
      <c r="AP43" s="146"/>
      <c r="AQ43" s="147"/>
      <c r="AR43" s="147" t="s">
        <v>172</v>
      </c>
      <c r="AS43" s="147"/>
      <c r="AT43" s="242"/>
      <c r="AU43" s="146"/>
      <c r="AV43" s="147"/>
      <c r="AW43" s="147" t="s">
        <v>183</v>
      </c>
      <c r="AX43" s="147"/>
      <c r="AY43" s="242"/>
      <c r="AZ43" s="146"/>
      <c r="BA43" s="147"/>
      <c r="BB43" s="147">
        <v>384.07799999999997</v>
      </c>
      <c r="BC43" s="147"/>
      <c r="BD43" s="242"/>
      <c r="BE43" s="147"/>
      <c r="BF43" s="147"/>
      <c r="BG43" s="147">
        <v>396.09399999999999</v>
      </c>
      <c r="BH43" s="147"/>
      <c r="BI43" s="242"/>
      <c r="BJ43" s="146"/>
      <c r="BK43" s="147"/>
      <c r="BL43" s="147" t="s">
        <v>184</v>
      </c>
      <c r="BM43" s="147"/>
      <c r="BN43" s="242"/>
      <c r="BO43" s="147"/>
      <c r="BP43" s="147"/>
      <c r="BQ43" s="147" t="s">
        <v>173</v>
      </c>
      <c r="BR43" s="147"/>
      <c r="BS43" s="271"/>
      <c r="BT43" s="22"/>
      <c r="BU43" s="22"/>
      <c r="BV43" s="22"/>
      <c r="BW43" s="22"/>
      <c r="BX43" s="22"/>
    </row>
    <row r="44" spans="1:93" ht="15" thickBot="1" x14ac:dyDescent="0.35">
      <c r="A44" s="124" t="s">
        <v>12</v>
      </c>
      <c r="B44" s="46" t="s">
        <v>25</v>
      </c>
      <c r="C44" s="175">
        <f t="shared" si="19"/>
        <v>109.5040214477212</v>
      </c>
      <c r="D44" s="170">
        <f t="shared" si="20"/>
        <v>630</v>
      </c>
      <c r="E44" s="130">
        <f>C44*D$58</f>
        <v>328.51206434316362</v>
      </c>
      <c r="F44" s="176">
        <f>D44*D$58</f>
        <v>1890</v>
      </c>
      <c r="G44" s="124" t="s">
        <v>9</v>
      </c>
      <c r="H44" s="163" t="s">
        <v>9</v>
      </c>
      <c r="I44" s="64" t="s">
        <v>9</v>
      </c>
      <c r="J44" s="46" t="s">
        <v>9</v>
      </c>
      <c r="K44" s="6"/>
      <c r="L44" s="36"/>
      <c r="M44" s="124" t="s">
        <v>37</v>
      </c>
      <c r="N44" s="64" t="s">
        <v>73</v>
      </c>
      <c r="O44" s="151">
        <f t="shared" si="18"/>
        <v>0.19836817950025501</v>
      </c>
      <c r="P44" s="5"/>
      <c r="Q44" s="197"/>
      <c r="R44" s="5"/>
      <c r="S44" s="749"/>
      <c r="T44" s="861" t="s">
        <v>73</v>
      </c>
      <c r="U44" s="47" t="s">
        <v>63</v>
      </c>
      <c r="V44" s="41">
        <v>69</v>
      </c>
      <c r="W44" s="42">
        <v>66</v>
      </c>
      <c r="X44" s="42">
        <v>80</v>
      </c>
      <c r="Y44" s="43">
        <v>85</v>
      </c>
      <c r="Z44" s="24"/>
      <c r="AA44" s="749"/>
      <c r="AB44" s="861" t="s">
        <v>73</v>
      </c>
      <c r="AC44" s="47" t="s">
        <v>63</v>
      </c>
      <c r="AD44" s="143">
        <f t="shared" si="11"/>
        <v>34</v>
      </c>
      <c r="AE44" s="78">
        <f t="shared" si="1"/>
        <v>2.352516144645711</v>
      </c>
      <c r="AF44" s="78">
        <f>W44*O$44</f>
        <v>13.092299847016831</v>
      </c>
      <c r="AG44" s="78">
        <f t="shared" si="17"/>
        <v>17.691899352372864</v>
      </c>
      <c r="AH44" s="78">
        <f t="shared" si="3"/>
        <v>35.293778327561597</v>
      </c>
      <c r="AI44" s="64">
        <v>552</v>
      </c>
      <c r="AJ44" s="64">
        <v>47.8</v>
      </c>
      <c r="AK44" s="132">
        <f>L$11 + N$17 + N$19 + N$21 + H$26</f>
        <v>1052.1396823015307</v>
      </c>
      <c r="AL44" s="133">
        <f t="shared" si="4"/>
        <v>4652.1396823015311</v>
      </c>
      <c r="AM44" s="26"/>
      <c r="AN44" s="122"/>
      <c r="AO44" s="750"/>
      <c r="AP44" s="148"/>
      <c r="AQ44" s="149"/>
      <c r="AR44" s="149"/>
      <c r="AS44" s="149"/>
      <c r="AT44" s="248"/>
      <c r="AU44" s="148"/>
      <c r="AV44" s="149"/>
      <c r="AW44" s="149"/>
      <c r="AX44" s="149"/>
      <c r="AY44" s="248"/>
      <c r="AZ44" s="148"/>
      <c r="BA44" s="149"/>
      <c r="BB44" s="149"/>
      <c r="BC44" s="149"/>
      <c r="BD44" s="248"/>
      <c r="BE44" s="149"/>
      <c r="BF44" s="149"/>
      <c r="BG44" s="149"/>
      <c r="BH44" s="149"/>
      <c r="BI44" s="248"/>
      <c r="BJ44" s="272"/>
      <c r="BK44" s="222"/>
      <c r="BL44" s="222"/>
      <c r="BM44" s="222"/>
      <c r="BN44" s="273"/>
      <c r="BO44" s="222"/>
      <c r="BP44" s="222"/>
      <c r="BQ44" s="222">
        <f>396.09*0.05</f>
        <v>19.804500000000001</v>
      </c>
      <c r="BR44" s="222"/>
      <c r="BS44" s="274"/>
      <c r="BT44" s="22"/>
      <c r="BU44" s="22"/>
      <c r="BV44" s="22"/>
      <c r="BW44" s="22"/>
      <c r="BX44" s="22"/>
    </row>
    <row r="45" spans="1:93" x14ac:dyDescent="0.3">
      <c r="A45" s="124" t="s">
        <v>36</v>
      </c>
      <c r="B45" s="46" t="s">
        <v>38</v>
      </c>
      <c r="C45" s="175">
        <f t="shared" si="19"/>
        <v>81.48521739130436</v>
      </c>
      <c r="D45" s="170">
        <f t="shared" si="20"/>
        <v>420</v>
      </c>
      <c r="E45" s="130">
        <f>C45*D$59</f>
        <v>325.94086956521744</v>
      </c>
      <c r="F45" s="176">
        <f>D45*D$59</f>
        <v>1680</v>
      </c>
      <c r="G45" s="124" t="s">
        <v>9</v>
      </c>
      <c r="H45" s="163" t="s">
        <v>9</v>
      </c>
      <c r="I45" s="64" t="s">
        <v>9</v>
      </c>
      <c r="J45" s="46" t="s">
        <v>9</v>
      </c>
      <c r="K45" s="6"/>
      <c r="L45" s="36"/>
      <c r="M45" s="124" t="s">
        <v>34</v>
      </c>
      <c r="N45" s="64" t="s">
        <v>35</v>
      </c>
      <c r="O45" s="151">
        <f t="shared" si="18"/>
        <v>0.274223866716793</v>
      </c>
      <c r="P45" s="5"/>
      <c r="Q45" s="197"/>
      <c r="R45" s="5"/>
      <c r="S45" s="749"/>
      <c r="T45" s="862"/>
      <c r="U45" s="44" t="s">
        <v>64</v>
      </c>
      <c r="V45" s="45">
        <v>69</v>
      </c>
      <c r="W45" s="64">
        <v>67</v>
      </c>
      <c r="X45" s="64">
        <v>79</v>
      </c>
      <c r="Y45" s="46">
        <v>86</v>
      </c>
      <c r="Z45" s="5"/>
      <c r="AA45" s="749"/>
      <c r="AB45" s="862"/>
      <c r="AC45" s="44" t="s">
        <v>64</v>
      </c>
      <c r="AD45" s="143">
        <f t="shared" si="11"/>
        <v>35</v>
      </c>
      <c r="AE45" s="78">
        <f t="shared" si="1"/>
        <v>2.352516144645711</v>
      </c>
      <c r="AF45" s="78">
        <f>W45*O$44</f>
        <v>13.290668026517086</v>
      </c>
      <c r="AG45" s="78">
        <f t="shared" si="17"/>
        <v>17.470750610468205</v>
      </c>
      <c r="AH45" s="78">
        <f t="shared" si="3"/>
        <v>35.708999249062323</v>
      </c>
      <c r="AI45" s="64">
        <v>550</v>
      </c>
      <c r="AJ45" s="64">
        <v>47.9</v>
      </c>
      <c r="AK45" s="132">
        <f>L$11 + N$17 + N$19 + N$21 + H$26</f>
        <v>1052.1396823015307</v>
      </c>
      <c r="AL45" s="133">
        <f t="shared" si="4"/>
        <v>4652.1396823015311</v>
      </c>
      <c r="AM45" s="26"/>
      <c r="AN45" s="122"/>
      <c r="AO45" s="749" t="s">
        <v>72</v>
      </c>
      <c r="AP45" s="146"/>
      <c r="AQ45" s="147"/>
      <c r="AR45" s="147"/>
      <c r="AS45" s="147"/>
      <c r="AT45" s="242"/>
      <c r="AU45" s="146"/>
      <c r="AV45" s="147"/>
      <c r="AW45" s="147"/>
      <c r="AX45" s="147"/>
      <c r="AY45" s="242"/>
      <c r="AZ45" s="146"/>
      <c r="BA45" s="147"/>
      <c r="BB45" s="147"/>
      <c r="BC45" s="147"/>
      <c r="BD45" s="242"/>
      <c r="BE45" s="146"/>
      <c r="BF45" s="147"/>
      <c r="BG45" s="147"/>
      <c r="BH45" s="147"/>
      <c r="BI45" s="271"/>
      <c r="BJ45" s="264"/>
      <c r="BK45" s="264"/>
      <c r="BL45" s="264"/>
      <c r="BM45" s="264"/>
      <c r="BN45" s="264"/>
      <c r="BO45" s="264"/>
      <c r="BP45" s="264"/>
      <c r="BQ45" s="264"/>
      <c r="BR45" s="264"/>
      <c r="BS45" s="264"/>
      <c r="BT45" s="22"/>
      <c r="BU45" s="22"/>
      <c r="BV45" s="22"/>
      <c r="BW45" s="22"/>
      <c r="BX45" s="22"/>
    </row>
    <row r="46" spans="1:93" x14ac:dyDescent="0.3">
      <c r="A46" s="124" t="s">
        <v>37</v>
      </c>
      <c r="B46" s="46" t="s">
        <v>73</v>
      </c>
      <c r="C46" s="175">
        <f t="shared" si="19"/>
        <v>73.002680965147476</v>
      </c>
      <c r="D46" s="170">
        <f t="shared" si="20"/>
        <v>420</v>
      </c>
      <c r="E46" s="130">
        <f>C46*D$59</f>
        <v>292.01072386058991</v>
      </c>
      <c r="F46" s="176">
        <f>D46*D$59</f>
        <v>1680</v>
      </c>
      <c r="G46" s="124" t="s">
        <v>9</v>
      </c>
      <c r="H46" s="163" t="s">
        <v>9</v>
      </c>
      <c r="I46" s="64" t="s">
        <v>9</v>
      </c>
      <c r="J46" s="46" t="s">
        <v>9</v>
      </c>
      <c r="K46" s="5"/>
      <c r="L46" s="5"/>
      <c r="M46" s="124" t="s">
        <v>7</v>
      </c>
      <c r="N46" s="64" t="s">
        <v>33</v>
      </c>
      <c r="O46" s="151">
        <f t="shared" si="18"/>
        <v>0.2211487419046608</v>
      </c>
      <c r="P46" s="5"/>
      <c r="Q46" s="197"/>
      <c r="R46" s="5"/>
      <c r="S46" s="749"/>
      <c r="T46" s="863"/>
      <c r="U46" s="48" t="s">
        <v>85</v>
      </c>
      <c r="V46" s="49">
        <v>68</v>
      </c>
      <c r="W46" s="50">
        <v>66</v>
      </c>
      <c r="X46" s="50">
        <v>80</v>
      </c>
      <c r="Y46" s="51">
        <v>86</v>
      </c>
      <c r="Z46" s="5"/>
      <c r="AA46" s="749"/>
      <c r="AB46" s="863"/>
      <c r="AC46" s="48" t="s">
        <v>85</v>
      </c>
      <c r="AD46" s="143">
        <f t="shared" si="11"/>
        <v>36</v>
      </c>
      <c r="AE46" s="78">
        <f t="shared" si="1"/>
        <v>2.3184217077667877</v>
      </c>
      <c r="AF46" s="78">
        <f>W46*O$44</f>
        <v>13.092299847016831</v>
      </c>
      <c r="AG46" s="78">
        <f t="shared" si="17"/>
        <v>17.691899352372864</v>
      </c>
      <c r="AH46" s="78">
        <f t="shared" si="3"/>
        <v>35.708999249062323</v>
      </c>
      <c r="AI46" s="64">
        <v>551</v>
      </c>
      <c r="AJ46" s="64">
        <v>47.9</v>
      </c>
      <c r="AK46" s="132">
        <f>L$11 + N$17 + N$19 + N$21 + H$26</f>
        <v>1052.1396823015307</v>
      </c>
      <c r="AL46" s="133">
        <f t="shared" si="4"/>
        <v>4652.1396823015311</v>
      </c>
      <c r="AM46" s="26"/>
      <c r="AN46" s="122"/>
      <c r="AO46" s="749"/>
      <c r="AP46" s="146"/>
      <c r="AQ46" s="147"/>
      <c r="AR46" s="147"/>
      <c r="AS46" s="147"/>
      <c r="AT46" s="242"/>
      <c r="AU46" s="146"/>
      <c r="AV46" s="147"/>
      <c r="AW46" s="147"/>
      <c r="AX46" s="147"/>
      <c r="AY46" s="242"/>
      <c r="AZ46" s="146"/>
      <c r="BA46" s="147"/>
      <c r="BB46" s="147"/>
      <c r="BC46" s="147"/>
      <c r="BD46" s="242"/>
      <c r="BE46" s="146"/>
      <c r="BF46" s="147"/>
      <c r="BG46" s="147"/>
      <c r="BH46" s="147"/>
      <c r="BI46" s="271"/>
      <c r="BJ46" s="5"/>
      <c r="BK46" s="5"/>
      <c r="BL46" s="5"/>
      <c r="BM46" s="5"/>
      <c r="BN46" s="5"/>
      <c r="BO46" s="5"/>
      <c r="BP46" s="5"/>
      <c r="BQ46" s="5"/>
      <c r="BR46" s="5"/>
      <c r="BS46" s="5"/>
      <c r="BT46" s="22"/>
      <c r="BU46" s="22"/>
      <c r="BV46" s="22"/>
      <c r="BW46" s="22"/>
      <c r="BX46" s="22"/>
    </row>
    <row r="47" spans="1:93" x14ac:dyDescent="0.3">
      <c r="A47" s="124" t="s">
        <v>34</v>
      </c>
      <c r="B47" s="46" t="s">
        <v>35</v>
      </c>
      <c r="C47" s="175">
        <f t="shared" si="19"/>
        <v>411.65346534653463</v>
      </c>
      <c r="D47" s="170">
        <f t="shared" si="20"/>
        <v>1260</v>
      </c>
      <c r="E47" s="130">
        <f>C47*D$56</f>
        <v>617.48019801980195</v>
      </c>
      <c r="F47" s="176">
        <f>D47*D56</f>
        <v>1890</v>
      </c>
      <c r="G47" s="124" t="s">
        <v>9</v>
      </c>
      <c r="H47" s="163" t="s">
        <v>9</v>
      </c>
      <c r="I47" s="64" t="s">
        <v>9</v>
      </c>
      <c r="J47" s="46" t="s">
        <v>9</v>
      </c>
      <c r="K47" s="5"/>
      <c r="L47" s="24"/>
      <c r="M47" s="124" t="s">
        <v>75</v>
      </c>
      <c r="N47" s="64" t="s">
        <v>72</v>
      </c>
      <c r="O47" s="151">
        <f t="shared" si="18"/>
        <v>0.22278255710471673</v>
      </c>
      <c r="P47" s="5"/>
      <c r="Q47" s="197"/>
      <c r="R47" s="5"/>
      <c r="S47" s="748" t="s">
        <v>72</v>
      </c>
      <c r="T47" s="861" t="s">
        <v>10</v>
      </c>
      <c r="U47" s="47" t="s">
        <v>90</v>
      </c>
      <c r="V47" s="41">
        <v>71</v>
      </c>
      <c r="W47" s="42">
        <v>65</v>
      </c>
      <c r="X47" s="42">
        <v>68</v>
      </c>
      <c r="Y47" s="43">
        <v>85</v>
      </c>
      <c r="AA47" s="748" t="s">
        <v>72</v>
      </c>
      <c r="AB47" s="861" t="s">
        <v>10</v>
      </c>
      <c r="AC47" s="47" t="s">
        <v>90</v>
      </c>
      <c r="AD47" s="142">
        <f t="shared" si="11"/>
        <v>37</v>
      </c>
      <c r="AE47" s="57">
        <f t="shared" si="1"/>
        <v>2.4207050184035577</v>
      </c>
      <c r="AF47" s="57">
        <f>W47*O$39</f>
        <v>9.6633038311567745</v>
      </c>
      <c r="AG47" s="57">
        <f t="shared" ref="AG47:AG58" si="21">X47*O$47</f>
        <v>15.149213883120737</v>
      </c>
      <c r="AH47" s="57">
        <f t="shared" si="3"/>
        <v>35.293778327561597</v>
      </c>
      <c r="AI47" s="42">
        <v>551</v>
      </c>
      <c r="AJ47" s="42">
        <v>48.9</v>
      </c>
      <c r="AK47" s="138">
        <f>L$11 + N$12 + N$20 + N$21 + H$26</f>
        <v>1049.8853092279771</v>
      </c>
      <c r="AL47" s="139">
        <f t="shared" si="4"/>
        <v>4649.8853092279769</v>
      </c>
      <c r="AM47" s="26"/>
      <c r="AN47" s="122"/>
      <c r="AO47" s="749"/>
      <c r="AP47" s="146"/>
      <c r="AQ47" s="147"/>
      <c r="AR47" s="147"/>
      <c r="AS47" s="147"/>
      <c r="AT47" s="242"/>
      <c r="AU47" s="146"/>
      <c r="AV47" s="147"/>
      <c r="AW47" s="147"/>
      <c r="AX47" s="147"/>
      <c r="AY47" s="242"/>
      <c r="AZ47" s="146"/>
      <c r="BA47" s="147"/>
      <c r="BB47" s="147"/>
      <c r="BC47" s="147"/>
      <c r="BD47" s="242"/>
      <c r="BE47" s="146"/>
      <c r="BF47" s="147"/>
      <c r="BG47" s="147"/>
      <c r="BH47" s="147"/>
      <c r="BI47" s="271"/>
      <c r="BJ47" s="5"/>
      <c r="BK47" s="5"/>
      <c r="BL47" s="5"/>
      <c r="BM47" s="5"/>
      <c r="BN47" s="5"/>
      <c r="BO47" s="5"/>
      <c r="BP47" s="5"/>
      <c r="BQ47" s="5"/>
      <c r="BR47" s="5"/>
      <c r="BS47" s="5"/>
      <c r="BT47" s="22"/>
      <c r="BU47" s="22"/>
      <c r="BV47" s="22"/>
      <c r="BW47" s="22"/>
      <c r="BX47" s="22"/>
    </row>
    <row r="48" spans="1:93" ht="15" thickBot="1" x14ac:dyDescent="0.35">
      <c r="A48" s="124" t="s">
        <v>7</v>
      </c>
      <c r="B48" s="46" t="s">
        <v>33</v>
      </c>
      <c r="C48" s="175">
        <f t="shared" si="19"/>
        <v>257.98623853211006</v>
      </c>
      <c r="D48" s="170">
        <f t="shared" si="20"/>
        <v>1260</v>
      </c>
      <c r="E48" s="130">
        <f>C48*D$56</f>
        <v>386.9793577981651</v>
      </c>
      <c r="F48" s="176">
        <f>D48*D56</f>
        <v>1890</v>
      </c>
      <c r="G48" s="124" t="s">
        <v>9</v>
      </c>
      <c r="H48" s="163" t="s">
        <v>9</v>
      </c>
      <c r="I48" s="64" t="s">
        <v>9</v>
      </c>
      <c r="J48" s="46" t="s">
        <v>9</v>
      </c>
      <c r="K48" s="5"/>
      <c r="L48" s="5"/>
      <c r="M48" s="125" t="s">
        <v>5</v>
      </c>
      <c r="N48" s="54" t="s">
        <v>30</v>
      </c>
      <c r="O48" s="152">
        <f t="shared" si="18"/>
        <v>0.4152209215007247</v>
      </c>
      <c r="P48" s="5"/>
      <c r="Q48" s="197"/>
      <c r="R48" s="5"/>
      <c r="S48" s="749"/>
      <c r="T48" s="862"/>
      <c r="U48" s="44" t="s">
        <v>95</v>
      </c>
      <c r="V48" s="45">
        <v>69</v>
      </c>
      <c r="W48" s="64">
        <v>68</v>
      </c>
      <c r="X48" s="64">
        <v>70</v>
      </c>
      <c r="Y48" s="46">
        <v>86</v>
      </c>
      <c r="AA48" s="749"/>
      <c r="AB48" s="862"/>
      <c r="AC48" s="44" t="s">
        <v>95</v>
      </c>
      <c r="AD48" s="143">
        <f t="shared" si="11"/>
        <v>38</v>
      </c>
      <c r="AE48" s="78">
        <f t="shared" si="1"/>
        <v>2.352516144645711</v>
      </c>
      <c r="AF48" s="78">
        <f>W48*O$39</f>
        <v>10.109302469517857</v>
      </c>
      <c r="AG48" s="78">
        <f t="shared" si="21"/>
        <v>15.59477899733017</v>
      </c>
      <c r="AH48" s="78">
        <f t="shared" si="3"/>
        <v>35.708999249062323</v>
      </c>
      <c r="AI48" s="64">
        <v>554</v>
      </c>
      <c r="AJ48" s="64">
        <v>48</v>
      </c>
      <c r="AK48" s="132">
        <f>L$11 + N$12 + N$20 + N$21 + H$26</f>
        <v>1049.8853092279771</v>
      </c>
      <c r="AL48" s="133">
        <f t="shared" si="4"/>
        <v>4649.8853092279769</v>
      </c>
      <c r="AM48" s="26"/>
      <c r="AN48" s="122"/>
      <c r="AO48" s="749"/>
      <c r="AP48" s="146"/>
      <c r="AQ48" s="147"/>
      <c r="AR48" s="147"/>
      <c r="AS48" s="147"/>
      <c r="AT48" s="242"/>
      <c r="AU48" s="146"/>
      <c r="AV48" s="147"/>
      <c r="AW48" s="147"/>
      <c r="AX48" s="147"/>
      <c r="AY48" s="242"/>
      <c r="AZ48" s="146"/>
      <c r="BA48" s="147"/>
      <c r="BB48" s="147"/>
      <c r="BC48" s="147"/>
      <c r="BD48" s="242"/>
      <c r="BE48" s="146"/>
      <c r="BF48" s="147"/>
      <c r="BG48" s="147"/>
      <c r="BH48" s="147"/>
      <c r="BI48" s="271"/>
      <c r="BJ48" s="5"/>
      <c r="BK48" s="5"/>
      <c r="BL48" s="5"/>
      <c r="BM48" s="5"/>
      <c r="BN48" s="5"/>
      <c r="BO48" s="5"/>
      <c r="BP48" s="5"/>
      <c r="BQ48" s="5"/>
      <c r="BR48" s="5"/>
      <c r="BS48" s="5"/>
      <c r="BT48" s="22"/>
      <c r="BU48" s="22"/>
      <c r="BV48" s="22"/>
      <c r="BW48" s="22"/>
      <c r="BX48" s="22"/>
      <c r="CA48" s="3"/>
      <c r="CI48" s="17"/>
      <c r="CN48" s="19"/>
    </row>
    <row r="49" spans="1:95" ht="15" thickBot="1" x14ac:dyDescent="0.35">
      <c r="A49" s="124" t="s">
        <v>75</v>
      </c>
      <c r="B49" s="46" t="s">
        <v>72</v>
      </c>
      <c r="C49" s="175">
        <f t="shared" si="19"/>
        <v>191.5506072874494</v>
      </c>
      <c r="D49" s="170">
        <f t="shared" si="20"/>
        <v>840</v>
      </c>
      <c r="E49" s="130">
        <f>C49*D$57</f>
        <v>383.10121457489879</v>
      </c>
      <c r="F49" s="176">
        <f>D49*D57</f>
        <v>1680</v>
      </c>
      <c r="G49" s="124" t="s">
        <v>9</v>
      </c>
      <c r="H49" s="163" t="s">
        <v>9</v>
      </c>
      <c r="I49" s="64" t="s">
        <v>9</v>
      </c>
      <c r="J49" s="46" t="s">
        <v>9</v>
      </c>
      <c r="K49" s="5"/>
      <c r="L49" s="5"/>
      <c r="P49" s="5"/>
      <c r="Q49" s="197"/>
      <c r="R49" s="5"/>
      <c r="S49" s="749"/>
      <c r="T49" s="863"/>
      <c r="U49" s="48" t="s">
        <v>101</v>
      </c>
      <c r="V49" s="49">
        <v>70</v>
      </c>
      <c r="W49" s="50">
        <v>63</v>
      </c>
      <c r="X49" s="50">
        <v>68</v>
      </c>
      <c r="Y49" s="51">
        <v>85</v>
      </c>
      <c r="AA49" s="749"/>
      <c r="AB49" s="863"/>
      <c r="AC49" s="48" t="s">
        <v>101</v>
      </c>
      <c r="AD49" s="144">
        <f t="shared" si="11"/>
        <v>39</v>
      </c>
      <c r="AE49" s="58">
        <f t="shared" si="1"/>
        <v>2.3866105815246343</v>
      </c>
      <c r="AF49" s="58">
        <f>W49*O$39</f>
        <v>9.3659714055827195</v>
      </c>
      <c r="AG49" s="58">
        <f t="shared" si="21"/>
        <v>15.149213883120737</v>
      </c>
      <c r="AH49" s="58">
        <f t="shared" si="3"/>
        <v>35.293778327561597</v>
      </c>
      <c r="AI49" s="50">
        <v>553</v>
      </c>
      <c r="AJ49" s="50">
        <v>47.7</v>
      </c>
      <c r="AK49" s="140">
        <f>L$11 + N$12 + N$20 + N$21 + H$26</f>
        <v>1049.8853092279771</v>
      </c>
      <c r="AL49" s="141">
        <f t="shared" si="4"/>
        <v>4649.8853092279769</v>
      </c>
      <c r="AM49" s="26"/>
      <c r="AN49" s="122"/>
      <c r="AO49" s="749"/>
      <c r="AP49" s="146"/>
      <c r="AQ49" s="147"/>
      <c r="AR49" s="147"/>
      <c r="AS49" s="147"/>
      <c r="AT49" s="242"/>
      <c r="AU49" s="146"/>
      <c r="AV49" s="147"/>
      <c r="AW49" s="147"/>
      <c r="AX49" s="147"/>
      <c r="AY49" s="242"/>
      <c r="AZ49" s="146"/>
      <c r="BA49" s="147"/>
      <c r="BB49" s="147"/>
      <c r="BC49" s="147"/>
      <c r="BD49" s="242"/>
      <c r="BE49" s="146"/>
      <c r="BF49" s="147"/>
      <c r="BG49" s="147"/>
      <c r="BH49" s="147"/>
      <c r="BI49" s="271"/>
      <c r="BJ49" s="5"/>
      <c r="BK49" s="5"/>
      <c r="BL49" s="5"/>
      <c r="BM49" s="5"/>
      <c r="BN49" s="5"/>
      <c r="BO49" s="5"/>
      <c r="BP49" s="5"/>
      <c r="BQ49" s="5"/>
      <c r="BR49" s="5"/>
      <c r="BS49" s="5"/>
      <c r="BT49" s="22"/>
      <c r="BU49" s="22"/>
      <c r="BV49" s="22"/>
      <c r="BW49" s="22"/>
      <c r="BX49" s="22"/>
      <c r="CI49" s="16"/>
      <c r="CN49" s="18"/>
    </row>
    <row r="50" spans="1:95" ht="15" thickBot="1" x14ac:dyDescent="0.35">
      <c r="A50" s="125" t="s">
        <v>5</v>
      </c>
      <c r="B50" s="55" t="s">
        <v>30</v>
      </c>
      <c r="C50" s="178">
        <f t="shared" si="19"/>
        <v>1230.72</v>
      </c>
      <c r="D50" s="179">
        <f t="shared" si="20"/>
        <v>2880</v>
      </c>
      <c r="E50" s="180">
        <f>C50*D$55</f>
        <v>1476.864</v>
      </c>
      <c r="F50" s="181">
        <f>D50*D55</f>
        <v>3456</v>
      </c>
      <c r="G50" s="125" t="s">
        <v>9</v>
      </c>
      <c r="H50" s="184" t="s">
        <v>9</v>
      </c>
      <c r="I50" s="54" t="s">
        <v>9</v>
      </c>
      <c r="J50" s="55" t="s">
        <v>9</v>
      </c>
      <c r="K50" s="5"/>
      <c r="L50" s="5"/>
      <c r="M50" s="871" t="s">
        <v>139</v>
      </c>
      <c r="N50" s="872"/>
      <c r="P50" s="5"/>
      <c r="Q50" s="197"/>
      <c r="R50" s="5"/>
      <c r="S50" s="749"/>
      <c r="T50" s="861" t="s">
        <v>13</v>
      </c>
      <c r="U50" s="47" t="s">
        <v>107</v>
      </c>
      <c r="V50" s="41">
        <v>70</v>
      </c>
      <c r="W50" s="42">
        <v>70</v>
      </c>
      <c r="X50" s="42">
        <v>70</v>
      </c>
      <c r="Y50" s="43">
        <v>84</v>
      </c>
      <c r="AA50" s="749"/>
      <c r="AB50" s="861" t="s">
        <v>13</v>
      </c>
      <c r="AC50" s="47" t="s">
        <v>107</v>
      </c>
      <c r="AD50" s="143">
        <f t="shared" si="11"/>
        <v>40</v>
      </c>
      <c r="AE50" s="78">
        <f t="shared" si="1"/>
        <v>2.3866105815246343</v>
      </c>
      <c r="AF50" s="78">
        <f>W50*O$40</f>
        <v>14.368048533872599</v>
      </c>
      <c r="AG50" s="78">
        <f t="shared" si="21"/>
        <v>15.59477899733017</v>
      </c>
      <c r="AH50" s="78">
        <f t="shared" si="3"/>
        <v>34.878557406060878</v>
      </c>
      <c r="AI50" s="64">
        <v>554</v>
      </c>
      <c r="AJ50" s="64">
        <v>47.5</v>
      </c>
      <c r="AK50" s="132">
        <f>L$11 + N$13 + N$20 + N$21 + H$26</f>
        <v>1052.5670567801269</v>
      </c>
      <c r="AL50" s="133">
        <f t="shared" si="4"/>
        <v>4652.5670567801271</v>
      </c>
      <c r="AM50" s="26"/>
      <c r="AN50" s="122"/>
      <c r="AO50" s="749"/>
      <c r="AP50" s="146"/>
      <c r="AQ50" s="147"/>
      <c r="AR50" s="147"/>
      <c r="AS50" s="147"/>
      <c r="AT50" s="242"/>
      <c r="AU50" s="146"/>
      <c r="AV50" s="147"/>
      <c r="AW50" s="147"/>
      <c r="AX50" s="147"/>
      <c r="AY50" s="242"/>
      <c r="AZ50" s="146"/>
      <c r="BA50" s="147"/>
      <c r="BB50" s="147"/>
      <c r="BC50" s="147"/>
      <c r="BD50" s="242"/>
      <c r="BE50" s="146"/>
      <c r="BF50" s="147"/>
      <c r="BG50" s="147"/>
      <c r="BH50" s="147"/>
      <c r="BI50" s="271"/>
      <c r="BJ50" s="5"/>
      <c r="BK50" s="5"/>
      <c r="BL50" s="5"/>
      <c r="BM50" s="5"/>
      <c r="BN50" s="5"/>
      <c r="BO50" s="5"/>
      <c r="BP50" s="5"/>
      <c r="BQ50" s="5"/>
      <c r="BR50" s="5"/>
      <c r="BS50" s="5"/>
      <c r="BT50" s="22"/>
      <c r="BU50" s="22"/>
      <c r="BV50" s="22"/>
      <c r="BW50" s="22"/>
      <c r="BX50" s="22"/>
      <c r="CN50" s="18"/>
    </row>
    <row r="51" spans="1:95" x14ac:dyDescent="0.3">
      <c r="A51" s="22"/>
      <c r="B51" s="22"/>
      <c r="K51" s="5"/>
      <c r="L51" s="5"/>
      <c r="M51" s="153" t="s">
        <v>140</v>
      </c>
      <c r="N51" s="154" t="s">
        <v>141</v>
      </c>
      <c r="P51" s="5"/>
      <c r="Q51" s="197"/>
      <c r="R51" s="5"/>
      <c r="S51" s="749"/>
      <c r="T51" s="862"/>
      <c r="U51" s="44" t="s">
        <v>59</v>
      </c>
      <c r="V51" s="45">
        <v>71</v>
      </c>
      <c r="W51" s="64">
        <v>68</v>
      </c>
      <c r="X51" s="64">
        <v>69</v>
      </c>
      <c r="Y51" s="46">
        <v>86</v>
      </c>
      <c r="AA51" s="749"/>
      <c r="AB51" s="862"/>
      <c r="AC51" s="44" t="s">
        <v>59</v>
      </c>
      <c r="AD51" s="143">
        <f t="shared" si="11"/>
        <v>41</v>
      </c>
      <c r="AE51" s="78">
        <f t="shared" si="1"/>
        <v>2.4207050184035577</v>
      </c>
      <c r="AF51" s="78">
        <f>W51*O$40</f>
        <v>13.95753286147624</v>
      </c>
      <c r="AG51" s="78">
        <f t="shared" si="21"/>
        <v>15.371996440225454</v>
      </c>
      <c r="AH51" s="78">
        <f t="shared" si="3"/>
        <v>35.708999249062323</v>
      </c>
      <c r="AI51" s="64">
        <v>553</v>
      </c>
      <c r="AJ51" s="64">
        <v>48.1</v>
      </c>
      <c r="AK51" s="132">
        <f>L$11 + N$13 + N$20 + N$21 + H$26</f>
        <v>1052.5670567801269</v>
      </c>
      <c r="AL51" s="133">
        <f t="shared" si="4"/>
        <v>4652.5670567801271</v>
      </c>
      <c r="AM51" s="26"/>
      <c r="AN51" s="122"/>
      <c r="AO51" s="749"/>
      <c r="AP51" s="146"/>
      <c r="AQ51" s="147"/>
      <c r="AR51" s="147"/>
      <c r="AS51" s="147"/>
      <c r="AT51" s="242"/>
      <c r="AU51" s="146"/>
      <c r="AV51" s="147"/>
      <c r="AW51" s="147"/>
      <c r="AX51" s="147"/>
      <c r="AY51" s="242"/>
      <c r="AZ51" s="146"/>
      <c r="BA51" s="147"/>
      <c r="BB51" s="147"/>
      <c r="BC51" s="147"/>
      <c r="BD51" s="242"/>
      <c r="BE51" s="146"/>
      <c r="BF51" s="147"/>
      <c r="BG51" s="147"/>
      <c r="BH51" s="147"/>
      <c r="BI51" s="271"/>
      <c r="BJ51" s="5"/>
      <c r="BK51" s="5"/>
      <c r="BL51" s="5"/>
      <c r="BM51" s="5"/>
      <c r="BN51" s="5"/>
      <c r="BO51" s="5"/>
      <c r="BP51" s="5"/>
      <c r="BQ51" s="5"/>
      <c r="BR51" s="5"/>
      <c r="BS51" s="5"/>
      <c r="BT51" s="22"/>
      <c r="BU51" s="22"/>
      <c r="BV51" s="22"/>
      <c r="BW51" s="22"/>
      <c r="BX51" s="22"/>
    </row>
    <row r="52" spans="1:95" ht="15" thickBot="1" x14ac:dyDescent="0.35">
      <c r="A52" s="5"/>
      <c r="B52" s="26"/>
      <c r="E52" s="22" t="s">
        <v>134</v>
      </c>
      <c r="K52" s="5"/>
      <c r="L52" s="5"/>
      <c r="M52" s="155">
        <v>1200</v>
      </c>
      <c r="N52" s="156">
        <v>3</v>
      </c>
      <c r="P52" s="5"/>
      <c r="Q52" s="197"/>
      <c r="R52" s="5"/>
      <c r="S52" s="749"/>
      <c r="T52" s="863"/>
      <c r="U52" s="48" t="s">
        <v>60</v>
      </c>
      <c r="V52" s="49">
        <v>68</v>
      </c>
      <c r="W52" s="50">
        <v>67</v>
      </c>
      <c r="X52" s="50">
        <v>68</v>
      </c>
      <c r="Y52" s="51">
        <v>87</v>
      </c>
      <c r="AA52" s="749"/>
      <c r="AB52" s="863"/>
      <c r="AC52" s="48" t="s">
        <v>60</v>
      </c>
      <c r="AD52" s="143">
        <f t="shared" si="11"/>
        <v>42</v>
      </c>
      <c r="AE52" s="78">
        <f t="shared" si="1"/>
        <v>2.3184217077667877</v>
      </c>
      <c r="AF52" s="78">
        <f>W52*O$40</f>
        <v>13.75227502527806</v>
      </c>
      <c r="AG52" s="78">
        <f t="shared" si="21"/>
        <v>15.149213883120737</v>
      </c>
      <c r="AH52" s="78">
        <f t="shared" si="3"/>
        <v>36.124220170563049</v>
      </c>
      <c r="AI52" s="64">
        <v>553</v>
      </c>
      <c r="AJ52" s="64">
        <v>47.7</v>
      </c>
      <c r="AK52" s="132">
        <f>L$11 + N$13 + N$20 + N$21 + H$26</f>
        <v>1052.5670567801269</v>
      </c>
      <c r="AL52" s="133">
        <f t="shared" si="4"/>
        <v>4652.5670567801271</v>
      </c>
      <c r="AM52" s="26"/>
      <c r="AN52" s="122"/>
      <c r="AO52" s="749"/>
      <c r="AP52" s="146"/>
      <c r="AQ52" s="147"/>
      <c r="AR52" s="147"/>
      <c r="AS52" s="147"/>
      <c r="AT52" s="242"/>
      <c r="AU52" s="146"/>
      <c r="AV52" s="147"/>
      <c r="AW52" s="147"/>
      <c r="AX52" s="147"/>
      <c r="AY52" s="242"/>
      <c r="AZ52" s="146"/>
      <c r="BA52" s="147"/>
      <c r="BB52" s="147"/>
      <c r="BC52" s="147"/>
      <c r="BD52" s="242"/>
      <c r="BE52" s="146"/>
      <c r="BF52" s="147"/>
      <c r="BG52" s="147"/>
      <c r="BH52" s="147"/>
      <c r="BI52" s="271"/>
      <c r="BJ52" s="5"/>
      <c r="BK52" s="5"/>
      <c r="BL52" s="5"/>
      <c r="BM52" s="5"/>
      <c r="BN52" s="5"/>
      <c r="BO52" s="5"/>
      <c r="BP52" s="5"/>
      <c r="BQ52" s="5"/>
      <c r="BR52" s="5"/>
      <c r="BS52" s="5"/>
      <c r="BT52" s="22"/>
      <c r="BU52" s="22"/>
      <c r="BV52" s="22"/>
      <c r="BW52" s="22"/>
      <c r="BX52" s="22"/>
    </row>
    <row r="53" spans="1:95" x14ac:dyDescent="0.3">
      <c r="A53" s="5"/>
      <c r="B53" s="26"/>
      <c r="C53" s="879" t="s">
        <v>118</v>
      </c>
      <c r="D53" s="851"/>
      <c r="K53" s="5"/>
      <c r="L53" s="5"/>
      <c r="M53" s="26"/>
      <c r="N53" s="5"/>
      <c r="O53" s="5"/>
      <c r="P53" s="5"/>
      <c r="Q53" s="197"/>
      <c r="R53" s="5"/>
      <c r="S53" s="749"/>
      <c r="T53" s="861" t="s">
        <v>24</v>
      </c>
      <c r="U53" s="47" t="s">
        <v>61</v>
      </c>
      <c r="V53" s="41">
        <v>68</v>
      </c>
      <c r="W53" s="42">
        <v>72</v>
      </c>
      <c r="X53" s="42">
        <v>68</v>
      </c>
      <c r="Y53" s="43">
        <v>77</v>
      </c>
      <c r="AA53" s="749"/>
      <c r="AB53" s="861" t="s">
        <v>24</v>
      </c>
      <c r="AC53" s="47" t="s">
        <v>61</v>
      </c>
      <c r="AD53" s="142">
        <f t="shared" si="11"/>
        <v>43</v>
      </c>
      <c r="AE53" s="57">
        <f t="shared" si="1"/>
        <v>2.3184217077667877</v>
      </c>
      <c r="AF53" s="57">
        <f>W53*O$41</f>
        <v>13.25194643413267</v>
      </c>
      <c r="AG53" s="57">
        <f t="shared" si="21"/>
        <v>15.149213883120737</v>
      </c>
      <c r="AH53" s="57">
        <f t="shared" si="3"/>
        <v>31.972010955555803</v>
      </c>
      <c r="AI53" s="42">
        <v>554</v>
      </c>
      <c r="AJ53" s="42">
        <v>47.9</v>
      </c>
      <c r="AK53" s="138">
        <f>L$11 + N$14 + N$20 + N$21 + H$26</f>
        <v>1052.2102429149797</v>
      </c>
      <c r="AL53" s="139">
        <f t="shared" si="4"/>
        <v>4652.21024291498</v>
      </c>
      <c r="AM53" s="26"/>
      <c r="AN53" s="122"/>
      <c r="AO53" s="749"/>
      <c r="AP53" s="146"/>
      <c r="AQ53" s="147"/>
      <c r="AR53" s="147"/>
      <c r="AS53" s="147"/>
      <c r="AT53" s="242"/>
      <c r="AU53" s="146"/>
      <c r="AV53" s="147"/>
      <c r="AW53" s="147"/>
      <c r="AX53" s="147"/>
      <c r="AY53" s="242"/>
      <c r="AZ53" s="146"/>
      <c r="BA53" s="147"/>
      <c r="BB53" s="147"/>
      <c r="BC53" s="147"/>
      <c r="BD53" s="242"/>
      <c r="BE53" s="146"/>
      <c r="BF53" s="147"/>
      <c r="BG53" s="147"/>
      <c r="BH53" s="147"/>
      <c r="BI53" s="271"/>
      <c r="BJ53" s="5"/>
      <c r="BK53" s="5"/>
      <c r="BL53" s="5"/>
      <c r="BM53" s="5"/>
      <c r="BN53" s="5"/>
      <c r="BO53" s="5"/>
      <c r="BP53" s="5"/>
      <c r="BQ53" s="5"/>
      <c r="BR53" s="5"/>
      <c r="BS53" s="5"/>
    </row>
    <row r="54" spans="1:95" x14ac:dyDescent="0.3">
      <c r="A54" s="12"/>
      <c r="B54" s="27"/>
      <c r="C54" s="161" t="s">
        <v>152</v>
      </c>
      <c r="D54" s="128" t="s">
        <v>151</v>
      </c>
      <c r="K54" s="5"/>
      <c r="L54" s="5"/>
      <c r="M54" s="26"/>
      <c r="N54" s="5"/>
      <c r="O54" s="5"/>
      <c r="P54" s="5"/>
      <c r="Q54" s="197"/>
      <c r="R54" s="5"/>
      <c r="S54" s="749"/>
      <c r="T54" s="862"/>
      <c r="U54" s="44" t="s">
        <v>82</v>
      </c>
      <c r="V54" s="45">
        <v>68</v>
      </c>
      <c r="W54" s="64">
        <v>70</v>
      </c>
      <c r="X54" s="64">
        <v>68</v>
      </c>
      <c r="Y54" s="46">
        <v>83</v>
      </c>
      <c r="AA54" s="749"/>
      <c r="AB54" s="862"/>
      <c r="AC54" s="44" t="s">
        <v>82</v>
      </c>
      <c r="AD54" s="143">
        <f t="shared" si="11"/>
        <v>44</v>
      </c>
      <c r="AE54" s="78">
        <f t="shared" si="1"/>
        <v>2.3184217077667877</v>
      </c>
      <c r="AF54" s="78">
        <f>W54*O$41</f>
        <v>12.883836810962318</v>
      </c>
      <c r="AG54" s="78">
        <f t="shared" si="21"/>
        <v>15.149213883120737</v>
      </c>
      <c r="AH54" s="78">
        <f t="shared" si="3"/>
        <v>34.463336484560152</v>
      </c>
      <c r="AI54" s="64">
        <v>553</v>
      </c>
      <c r="AJ54" s="64">
        <v>51.1</v>
      </c>
      <c r="AK54" s="132">
        <f>L$11 + N$14 + N$20 + N$21 + H$26</f>
        <v>1052.2102429149797</v>
      </c>
      <c r="AL54" s="133">
        <f t="shared" si="4"/>
        <v>4652.21024291498</v>
      </c>
      <c r="AM54" s="26"/>
      <c r="AN54" s="122"/>
      <c r="AO54" s="749"/>
      <c r="AP54" s="146"/>
      <c r="AQ54" s="147"/>
      <c r="AR54" s="147"/>
      <c r="AS54" s="147"/>
      <c r="AT54" s="242"/>
      <c r="AU54" s="146"/>
      <c r="AV54" s="147"/>
      <c r="AW54" s="147"/>
      <c r="AX54" s="147"/>
      <c r="AY54" s="242"/>
      <c r="AZ54" s="146"/>
      <c r="BA54" s="147"/>
      <c r="BB54" s="147"/>
      <c r="BC54" s="147"/>
      <c r="BD54" s="242"/>
      <c r="BE54" s="146"/>
      <c r="BF54" s="147"/>
      <c r="BG54" s="147"/>
      <c r="BH54" s="147"/>
      <c r="BI54" s="271"/>
      <c r="BJ54" s="5"/>
      <c r="BK54" s="5"/>
      <c r="BL54" s="5"/>
      <c r="BM54" s="5"/>
      <c r="BN54" s="5"/>
      <c r="BO54" s="5"/>
      <c r="BP54" s="5"/>
      <c r="BQ54" s="5"/>
      <c r="BR54" s="5"/>
      <c r="BS54" s="5"/>
    </row>
    <row r="55" spans="1:95" x14ac:dyDescent="0.3">
      <c r="A55" s="5"/>
      <c r="B55" s="26"/>
      <c r="C55" s="124" t="s">
        <v>42</v>
      </c>
      <c r="D55" s="46">
        <v>1.2</v>
      </c>
      <c r="K55" s="5"/>
      <c r="L55" s="5"/>
      <c r="M55" s="26"/>
      <c r="N55" s="5"/>
      <c r="O55" s="5"/>
      <c r="P55" s="5"/>
      <c r="Q55" s="197"/>
      <c r="R55" s="5"/>
      <c r="S55" s="749"/>
      <c r="T55" s="863"/>
      <c r="U55" s="48" t="s">
        <v>83</v>
      </c>
      <c r="V55" s="49">
        <v>70</v>
      </c>
      <c r="W55" s="50">
        <v>71</v>
      </c>
      <c r="X55" s="50">
        <v>69</v>
      </c>
      <c r="Y55" s="51">
        <v>82</v>
      </c>
      <c r="AA55" s="749"/>
      <c r="AB55" s="863"/>
      <c r="AC55" s="48" t="s">
        <v>83</v>
      </c>
      <c r="AD55" s="144">
        <f t="shared" si="11"/>
        <v>45</v>
      </c>
      <c r="AE55" s="58">
        <f t="shared" si="1"/>
        <v>2.3866105815246343</v>
      </c>
      <c r="AF55" s="58">
        <f>W55*O$41</f>
        <v>13.067891622547494</v>
      </c>
      <c r="AG55" s="58">
        <f t="shared" si="21"/>
        <v>15.371996440225454</v>
      </c>
      <c r="AH55" s="58">
        <f t="shared" si="3"/>
        <v>34.048115563059426</v>
      </c>
      <c r="AI55" s="50">
        <v>553</v>
      </c>
      <c r="AJ55" s="50">
        <v>47.7</v>
      </c>
      <c r="AK55" s="140">
        <f>L$11 + N$14 + N$20 + N$21 + H$26</f>
        <v>1052.2102429149797</v>
      </c>
      <c r="AL55" s="141">
        <f t="shared" si="4"/>
        <v>4652.21024291498</v>
      </c>
      <c r="AM55" s="26"/>
      <c r="AN55" s="122"/>
      <c r="AO55" s="749"/>
      <c r="AP55" s="146"/>
      <c r="AQ55" s="147"/>
      <c r="AR55" s="147"/>
      <c r="AS55" s="147"/>
      <c r="AT55" s="242"/>
      <c r="AU55" s="146"/>
      <c r="AV55" s="147"/>
      <c r="AW55" s="147"/>
      <c r="AX55" s="147"/>
      <c r="AY55" s="242"/>
      <c r="AZ55" s="146"/>
      <c r="BA55" s="147"/>
      <c r="BB55" s="147"/>
      <c r="BC55" s="147"/>
      <c r="BD55" s="242"/>
      <c r="BE55" s="146"/>
      <c r="BF55" s="147"/>
      <c r="BG55" s="147"/>
      <c r="BH55" s="147"/>
      <c r="BI55" s="271"/>
      <c r="BJ55" s="5"/>
      <c r="BK55" s="5"/>
      <c r="BL55" s="5"/>
      <c r="BM55" s="5"/>
      <c r="BN55" s="5"/>
      <c r="BO55" s="5"/>
      <c r="BP55" s="5"/>
      <c r="BQ55" s="5"/>
      <c r="BR55" s="5"/>
      <c r="BS55" s="5"/>
    </row>
    <row r="56" spans="1:95" x14ac:dyDescent="0.3">
      <c r="A56" s="5"/>
      <c r="B56" s="6"/>
      <c r="C56" s="124" t="s">
        <v>132</v>
      </c>
      <c r="D56" s="46">
        <v>1.5</v>
      </c>
      <c r="K56" s="5"/>
      <c r="L56" s="5"/>
      <c r="M56" s="26"/>
      <c r="N56" s="5"/>
      <c r="O56" s="5"/>
      <c r="P56" s="5"/>
      <c r="Q56" s="197"/>
      <c r="R56" s="5"/>
      <c r="S56" s="749"/>
      <c r="T56" s="861" t="s">
        <v>25</v>
      </c>
      <c r="U56" s="47" t="s">
        <v>84</v>
      </c>
      <c r="V56" s="41">
        <v>68</v>
      </c>
      <c r="W56" s="42">
        <v>70</v>
      </c>
      <c r="X56" s="42">
        <v>68</v>
      </c>
      <c r="Y56" s="43">
        <v>83</v>
      </c>
      <c r="AA56" s="749"/>
      <c r="AB56" s="861" t="s">
        <v>25</v>
      </c>
      <c r="AC56" s="47" t="s">
        <v>84</v>
      </c>
      <c r="AD56" s="143">
        <f t="shared" si="11"/>
        <v>46</v>
      </c>
      <c r="AE56" s="78">
        <f t="shared" si="1"/>
        <v>2.3184217077667877</v>
      </c>
      <c r="AF56" s="78">
        <f>W56*O$42</f>
        <v>13.885772565017851</v>
      </c>
      <c r="AG56" s="78">
        <f t="shared" si="21"/>
        <v>15.149213883120737</v>
      </c>
      <c r="AH56" s="78">
        <f t="shared" si="3"/>
        <v>34.463336484560152</v>
      </c>
      <c r="AI56" s="64">
        <v>554</v>
      </c>
      <c r="AJ56" s="64">
        <v>48</v>
      </c>
      <c r="AK56" s="132">
        <f>L$11 + N$15 + N$20 + N$21 + H$26</f>
        <v>1053.7696641014786</v>
      </c>
      <c r="AL56" s="133">
        <f t="shared" si="4"/>
        <v>4653.7696641014791</v>
      </c>
      <c r="AM56" s="26"/>
      <c r="AN56" s="122"/>
      <c r="AO56" s="749"/>
      <c r="AP56" s="146"/>
      <c r="AQ56" s="147"/>
      <c r="AR56" s="147"/>
      <c r="AS56" s="147"/>
      <c r="AT56" s="242"/>
      <c r="AU56" s="146"/>
      <c r="AV56" s="147"/>
      <c r="AW56" s="147"/>
      <c r="AX56" s="147"/>
      <c r="AY56" s="242"/>
      <c r="AZ56" s="146"/>
      <c r="BA56" s="147"/>
      <c r="BB56" s="147"/>
      <c r="BC56" s="147"/>
      <c r="BD56" s="242"/>
      <c r="BE56" s="146"/>
      <c r="BF56" s="147"/>
      <c r="BG56" s="147"/>
      <c r="BH56" s="147"/>
      <c r="BI56" s="271"/>
      <c r="BJ56" s="5"/>
      <c r="BK56" s="5"/>
      <c r="BL56" s="5"/>
      <c r="BM56" s="5"/>
      <c r="BN56" s="5"/>
      <c r="BO56" s="5"/>
      <c r="BP56" s="5"/>
      <c r="BQ56" s="5"/>
      <c r="BR56" s="5"/>
      <c r="BS56" s="5"/>
    </row>
    <row r="57" spans="1:95" x14ac:dyDescent="0.3">
      <c r="A57" s="5"/>
      <c r="B57" s="6"/>
      <c r="C57" s="124" t="s">
        <v>43</v>
      </c>
      <c r="D57" s="46">
        <v>2</v>
      </c>
      <c r="F57" s="22"/>
      <c r="G57" s="7"/>
      <c r="H57" s="22"/>
      <c r="I57" s="22"/>
      <c r="J57" s="22"/>
      <c r="K57" s="5"/>
      <c r="L57" s="5"/>
      <c r="M57" s="26"/>
      <c r="N57" s="5"/>
      <c r="O57" s="5"/>
      <c r="P57" s="5"/>
      <c r="Q57" s="197"/>
      <c r="R57" s="5"/>
      <c r="S57" s="749"/>
      <c r="T57" s="862"/>
      <c r="U57" s="44" t="s">
        <v>100</v>
      </c>
      <c r="V57" s="45">
        <v>66</v>
      </c>
      <c r="W57" s="64">
        <v>72</v>
      </c>
      <c r="X57" s="64">
        <v>72</v>
      </c>
      <c r="Y57" s="46">
        <v>84</v>
      </c>
      <c r="AA57" s="749"/>
      <c r="AB57" s="862"/>
      <c r="AC57" s="44" t="s">
        <v>100</v>
      </c>
      <c r="AD57" s="143">
        <f t="shared" si="11"/>
        <v>47</v>
      </c>
      <c r="AE57" s="78">
        <f t="shared" si="1"/>
        <v>2.250232834008941</v>
      </c>
      <c r="AF57" s="78">
        <f>W57*O$42</f>
        <v>14.28250892401836</v>
      </c>
      <c r="AG57" s="78">
        <f t="shared" si="21"/>
        <v>16.040344111539603</v>
      </c>
      <c r="AH57" s="78">
        <f t="shared" si="3"/>
        <v>34.878557406060878</v>
      </c>
      <c r="AI57" s="64">
        <v>555</v>
      </c>
      <c r="AJ57" s="64">
        <v>48.4</v>
      </c>
      <c r="AK57" s="132">
        <f>L$11 + N$15 + N$20 + N$21 + H$26</f>
        <v>1053.7696641014786</v>
      </c>
      <c r="AL57" s="133">
        <f t="shared" si="4"/>
        <v>4653.7696641014791</v>
      </c>
      <c r="AM57" s="26"/>
      <c r="AN57" s="122"/>
      <c r="AO57" s="749"/>
      <c r="AP57" s="146"/>
      <c r="AQ57" s="147"/>
      <c r="AR57" s="253" t="s">
        <v>193</v>
      </c>
      <c r="AS57" s="147"/>
      <c r="AT57" s="242"/>
      <c r="AU57" s="146"/>
      <c r="AV57" s="147"/>
      <c r="AW57" s="265" t="s">
        <v>190</v>
      </c>
      <c r="AX57" s="147"/>
      <c r="AY57" s="242"/>
      <c r="AZ57" s="146"/>
      <c r="BA57" s="147"/>
      <c r="BB57" s="266" t="s">
        <v>191</v>
      </c>
      <c r="BC57" s="147"/>
      <c r="BD57" s="242"/>
      <c r="BE57" s="146"/>
      <c r="BF57" s="147"/>
      <c r="BG57" s="253" t="s">
        <v>192</v>
      </c>
      <c r="BH57" s="147"/>
      <c r="BI57" s="271"/>
      <c r="BJ57" s="5"/>
      <c r="BK57" s="5"/>
      <c r="BL57" s="5"/>
      <c r="BM57" s="5"/>
      <c r="BN57" s="5"/>
      <c r="BO57" s="5"/>
      <c r="BP57" s="5"/>
      <c r="BQ57" s="5"/>
      <c r="BR57" s="5"/>
      <c r="BS57" s="5"/>
    </row>
    <row r="58" spans="1:95" ht="15" thickBot="1" x14ac:dyDescent="0.35">
      <c r="A58" s="5"/>
      <c r="B58" s="6"/>
      <c r="C58" s="124" t="s">
        <v>44</v>
      </c>
      <c r="D58" s="46">
        <v>3</v>
      </c>
      <c r="F58" s="38"/>
      <c r="G58" s="38"/>
      <c r="H58" s="26"/>
      <c r="I58" s="26"/>
      <c r="J58" s="5"/>
      <c r="K58" s="5"/>
      <c r="L58" s="5"/>
      <c r="M58" s="26"/>
      <c r="N58" s="5"/>
      <c r="O58" s="5"/>
      <c r="P58" s="5"/>
      <c r="Q58" s="197"/>
      <c r="R58" s="5"/>
      <c r="S58" s="754"/>
      <c r="T58" s="870"/>
      <c r="U58" s="52" t="s">
        <v>106</v>
      </c>
      <c r="V58" s="53">
        <v>68</v>
      </c>
      <c r="W58" s="54">
        <v>67</v>
      </c>
      <c r="X58" s="54">
        <v>68</v>
      </c>
      <c r="Y58" s="55">
        <v>83</v>
      </c>
      <c r="AA58" s="754"/>
      <c r="AB58" s="870"/>
      <c r="AC58" s="52" t="s">
        <v>106</v>
      </c>
      <c r="AD58" s="145">
        <f t="shared" si="11"/>
        <v>48</v>
      </c>
      <c r="AE58" s="59">
        <f t="shared" si="1"/>
        <v>2.3184217077667877</v>
      </c>
      <c r="AF58" s="59">
        <f>W58*O$42</f>
        <v>13.290668026517086</v>
      </c>
      <c r="AG58" s="59">
        <f t="shared" si="21"/>
        <v>15.149213883120737</v>
      </c>
      <c r="AH58" s="59">
        <f t="shared" si="3"/>
        <v>34.463336484560152</v>
      </c>
      <c r="AI58" s="54">
        <v>554</v>
      </c>
      <c r="AJ58" s="54">
        <v>47.9</v>
      </c>
      <c r="AK58" s="134">
        <f>L$11 + N$15 + N$20 + N$21 + H$26</f>
        <v>1053.7696641014786</v>
      </c>
      <c r="AL58" s="135">
        <f t="shared" si="4"/>
        <v>4653.7696641014791</v>
      </c>
      <c r="AM58" s="26"/>
      <c r="AN58" s="122"/>
      <c r="AO58" s="754"/>
      <c r="AP58" s="272"/>
      <c r="AQ58" s="222"/>
      <c r="AR58" s="222"/>
      <c r="AS58" s="222"/>
      <c r="AT58" s="273"/>
      <c r="AU58" s="272"/>
      <c r="AV58" s="222"/>
      <c r="AW58" s="222"/>
      <c r="AX58" s="222"/>
      <c r="AY58" s="273"/>
      <c r="AZ58" s="272"/>
      <c r="BA58" s="222"/>
      <c r="BB58" s="222"/>
      <c r="BC58" s="222"/>
      <c r="BD58" s="273"/>
      <c r="BE58" s="272"/>
      <c r="BF58" s="222"/>
      <c r="BG58" s="222"/>
      <c r="BH58" s="222"/>
      <c r="BI58" s="274"/>
      <c r="BJ58" s="5"/>
      <c r="BK58" s="5"/>
      <c r="BL58" s="5"/>
      <c r="BM58" s="5"/>
      <c r="BN58" s="5"/>
      <c r="BO58" s="5"/>
      <c r="BP58" s="5"/>
      <c r="BQ58" s="5"/>
      <c r="BR58" s="5"/>
      <c r="BS58" s="5"/>
    </row>
    <row r="59" spans="1:95" ht="15" thickBot="1" x14ac:dyDescent="0.35">
      <c r="A59" s="5"/>
      <c r="B59" s="6"/>
      <c r="C59" s="125" t="s">
        <v>133</v>
      </c>
      <c r="D59" s="195">
        <v>4</v>
      </c>
      <c r="F59" s="38"/>
      <c r="G59" s="38"/>
      <c r="H59" s="26"/>
      <c r="I59" s="26"/>
      <c r="J59" s="5"/>
      <c r="K59" s="5"/>
      <c r="L59" s="5"/>
      <c r="M59" s="26"/>
      <c r="N59" s="5"/>
      <c r="O59" s="5"/>
      <c r="P59" s="5"/>
      <c r="Q59" s="197"/>
      <c r="R59" s="5"/>
      <c r="AE59" s="60"/>
      <c r="AN59" s="30"/>
      <c r="AO59" s="30"/>
      <c r="AP59" s="32"/>
      <c r="AQ59" s="31"/>
      <c r="AR59" s="30"/>
      <c r="AS59" s="32"/>
      <c r="AT59" s="31"/>
      <c r="AU59" s="30"/>
      <c r="AV59" s="30"/>
      <c r="AW59" s="31"/>
      <c r="AX59" s="30"/>
      <c r="AY59" s="32"/>
      <c r="AZ59" s="26"/>
      <c r="BA59" s="26"/>
      <c r="BB59" s="5"/>
      <c r="BG59" s="22"/>
      <c r="BH59" s="37"/>
      <c r="BI59" s="860"/>
      <c r="BJ59" s="860"/>
      <c r="BK59" s="860"/>
      <c r="BL59" s="860"/>
      <c r="BM59" s="860"/>
      <c r="BN59" s="8"/>
      <c r="BO59" s="860"/>
      <c r="BP59" s="860"/>
      <c r="BQ59" s="860"/>
      <c r="BR59" s="860"/>
      <c r="BS59" s="860"/>
      <c r="BU59" s="791"/>
      <c r="BV59" s="791"/>
      <c r="BW59" s="791"/>
      <c r="BX59" s="791"/>
      <c r="BY59" s="791"/>
      <c r="CA59" s="791"/>
      <c r="CB59" s="791"/>
      <c r="CC59" s="791"/>
      <c r="CD59" s="791"/>
      <c r="CE59" s="791"/>
      <c r="CG59" s="791"/>
      <c r="CH59" s="791"/>
      <c r="CI59" s="791"/>
      <c r="CJ59" s="791"/>
      <c r="CK59" s="791"/>
      <c r="CM59" s="791"/>
      <c r="CN59" s="791"/>
      <c r="CO59" s="791"/>
      <c r="CP59" s="791"/>
      <c r="CQ59" s="791"/>
    </row>
    <row r="60" spans="1:95" x14ac:dyDescent="0.3">
      <c r="A60" s="5"/>
      <c r="B60" s="6"/>
      <c r="F60" s="38"/>
      <c r="G60" s="38"/>
      <c r="H60" s="26"/>
      <c r="I60" s="26"/>
      <c r="J60" s="5"/>
      <c r="K60" s="5"/>
      <c r="L60" s="5"/>
      <c r="M60" s="26"/>
      <c r="N60" s="5"/>
      <c r="O60" s="5"/>
      <c r="P60" s="5"/>
      <c r="Q60" s="197"/>
      <c r="R60" s="5"/>
      <c r="AE60" s="60"/>
      <c r="AN60" s="30"/>
      <c r="AO60" s="30"/>
      <c r="AP60" s="30"/>
      <c r="AQ60" s="31"/>
      <c r="AR60" s="30"/>
      <c r="AS60" s="30"/>
      <c r="AT60" s="31"/>
      <c r="AU60" s="30"/>
      <c r="AV60" s="30"/>
      <c r="AW60" s="30"/>
      <c r="AX60" s="30"/>
      <c r="AY60" s="30"/>
      <c r="AZ60" s="30"/>
      <c r="BA60" s="26"/>
      <c r="BB60" s="26"/>
      <c r="BC60" s="5"/>
      <c r="BH60" s="22"/>
      <c r="BI60" s="37"/>
    </row>
    <row r="61" spans="1:95" x14ac:dyDescent="0.3">
      <c r="A61" s="5"/>
      <c r="B61" s="6"/>
      <c r="F61" s="38"/>
      <c r="G61" s="38"/>
      <c r="H61" s="26"/>
      <c r="I61" s="26"/>
      <c r="J61" s="5"/>
      <c r="K61" s="5"/>
      <c r="L61" s="5"/>
      <c r="M61" s="26"/>
      <c r="N61" s="5"/>
      <c r="O61" s="5"/>
      <c r="P61" s="5"/>
      <c r="Q61" s="197"/>
      <c r="R61" s="5"/>
      <c r="AD61" s="3"/>
      <c r="AE61" s="60"/>
      <c r="AF61" s="9"/>
      <c r="AG61" s="30"/>
      <c r="AH61" s="30"/>
      <c r="AI61" s="30"/>
      <c r="AJ61" s="30"/>
      <c r="AK61" s="30"/>
      <c r="AL61" s="30"/>
      <c r="AM61" s="30"/>
      <c r="AN61" s="30"/>
      <c r="AO61" s="30"/>
      <c r="AP61" s="30"/>
      <c r="AQ61" s="30"/>
      <c r="AR61" s="30"/>
      <c r="AS61" s="30"/>
      <c r="AT61" s="30"/>
      <c r="AU61" s="30"/>
      <c r="AV61" s="30"/>
      <c r="AW61" s="30"/>
      <c r="AX61" s="30"/>
      <c r="AY61" s="30"/>
      <c r="AZ61" s="30"/>
      <c r="BA61" s="30"/>
      <c r="BB61" s="30"/>
      <c r="BC61" s="33"/>
      <c r="BD61" s="26"/>
      <c r="BE61" s="32"/>
      <c r="BH61" s="3"/>
      <c r="BJ61" s="22"/>
      <c r="BK61" s="37"/>
      <c r="BL61" s="3"/>
    </row>
    <row r="62" spans="1:95" s="196" customFormat="1" ht="15" customHeight="1" thickBot="1" x14ac:dyDescent="0.35">
      <c r="A62" s="5"/>
      <c r="B62" s="6"/>
      <c r="C62" s="4"/>
      <c r="D62" s="4"/>
      <c r="E62" s="38"/>
      <c r="F62" s="38"/>
      <c r="G62" s="38"/>
      <c r="H62" s="26"/>
      <c r="I62" s="26"/>
      <c r="J62" s="5"/>
      <c r="K62" s="5"/>
      <c r="L62" s="5"/>
      <c r="M62" s="26"/>
      <c r="N62" s="5"/>
      <c r="O62" s="5"/>
      <c r="P62" s="5"/>
      <c r="Q62" s="197"/>
      <c r="R62" s="197"/>
      <c r="AR62" s="203"/>
      <c r="AS62" s="203"/>
      <c r="AT62" s="203"/>
      <c r="AU62" s="203"/>
      <c r="AV62" s="203"/>
      <c r="AW62" s="203"/>
      <c r="AX62" s="203"/>
      <c r="AY62" s="203"/>
      <c r="AZ62" s="203"/>
      <c r="BA62" s="203"/>
      <c r="BB62" s="203"/>
      <c r="BC62" s="202"/>
      <c r="BD62" s="202"/>
      <c r="BE62" s="197"/>
      <c r="BK62" s="204"/>
    </row>
    <row r="63" spans="1:95" ht="15.75" customHeight="1" thickBot="1" x14ac:dyDescent="0.35">
      <c r="A63" s="867" t="s">
        <v>113</v>
      </c>
      <c r="B63" s="868"/>
      <c r="C63" s="868"/>
      <c r="D63" s="868"/>
      <c r="E63" s="868"/>
      <c r="F63" s="868"/>
      <c r="G63" s="868"/>
      <c r="H63" s="868"/>
      <c r="I63" s="868"/>
      <c r="J63" s="869"/>
      <c r="K63" s="5"/>
      <c r="S63" s="902" t="s">
        <v>156</v>
      </c>
      <c r="T63" s="903"/>
      <c r="AR63" s="30"/>
      <c r="AS63" s="30"/>
      <c r="AT63" s="30"/>
      <c r="AU63" s="30"/>
      <c r="AV63" s="30"/>
      <c r="AW63" s="30"/>
      <c r="AX63" s="30"/>
      <c r="AY63" s="32"/>
      <c r="AZ63" s="30"/>
      <c r="BA63" s="30"/>
      <c r="BB63" s="30"/>
      <c r="BC63" s="26"/>
      <c r="BD63" s="26"/>
      <c r="BE63" s="5"/>
      <c r="BJ63" s="22"/>
      <c r="BK63" s="37"/>
    </row>
    <row r="64" spans="1:95" ht="15.75" customHeight="1" thickBot="1" x14ac:dyDescent="0.35">
      <c r="A64" s="61"/>
      <c r="B64" s="62"/>
      <c r="C64" s="65">
        <v>1</v>
      </c>
      <c r="D64" s="62">
        <v>2</v>
      </c>
      <c r="E64" s="65">
        <v>3</v>
      </c>
      <c r="F64" s="62">
        <v>4</v>
      </c>
      <c r="G64" s="65">
        <v>5</v>
      </c>
      <c r="H64" s="90">
        <v>6</v>
      </c>
      <c r="I64" s="65">
        <v>7</v>
      </c>
      <c r="J64" s="63">
        <v>8</v>
      </c>
      <c r="K64" s="5"/>
      <c r="S64" s="904"/>
      <c r="T64" s="905"/>
      <c r="AQ64" s="31"/>
      <c r="AR64" s="30"/>
      <c r="AS64" s="32"/>
      <c r="AT64" s="31"/>
      <c r="AU64" s="30"/>
      <c r="AV64" s="30"/>
      <c r="AW64" s="30"/>
      <c r="AX64" s="30"/>
      <c r="AY64" s="30"/>
      <c r="AZ64" s="30"/>
      <c r="BA64" s="30"/>
      <c r="BB64" s="30"/>
      <c r="BC64" s="26"/>
      <c r="BD64" s="26"/>
      <c r="BE64" s="5"/>
      <c r="BJ64" s="22"/>
      <c r="BK64" s="37"/>
    </row>
    <row r="65" spans="1:84" ht="15" thickBot="1" x14ac:dyDescent="0.35">
      <c r="A65" s="748" t="s">
        <v>48</v>
      </c>
      <c r="B65" s="42" t="s">
        <v>46</v>
      </c>
      <c r="C65" s="103" t="s">
        <v>13</v>
      </c>
      <c r="D65" s="91" t="s">
        <v>13</v>
      </c>
      <c r="E65" s="103" t="s">
        <v>24</v>
      </c>
      <c r="F65" s="104" t="s">
        <v>24</v>
      </c>
      <c r="G65" s="91" t="s">
        <v>24</v>
      </c>
      <c r="H65" s="103" t="s">
        <v>25</v>
      </c>
      <c r="I65" s="104" t="s">
        <v>25</v>
      </c>
      <c r="J65" s="73" t="s">
        <v>25</v>
      </c>
      <c r="K65" s="5"/>
      <c r="W65" s="745" t="s">
        <v>161</v>
      </c>
      <c r="X65" s="746"/>
      <c r="Y65" s="746"/>
      <c r="Z65" s="746"/>
      <c r="AA65" s="746"/>
      <c r="AB65" s="746"/>
      <c r="AC65" s="746"/>
      <c r="AD65" s="746"/>
      <c r="AE65" s="746"/>
      <c r="AF65" s="746"/>
      <c r="AG65" s="746"/>
      <c r="AH65" s="746"/>
      <c r="AI65" s="746"/>
      <c r="AJ65" s="746"/>
      <c r="AK65" s="747"/>
      <c r="AL65" s="745" t="s">
        <v>162</v>
      </c>
      <c r="AM65" s="746"/>
      <c r="AN65" s="747"/>
      <c r="AP65" s="61"/>
      <c r="AQ65" s="296">
        <v>1</v>
      </c>
      <c r="AR65" s="297">
        <v>2</v>
      </c>
      <c r="AS65" s="296">
        <v>3</v>
      </c>
      <c r="AT65" s="297">
        <v>4</v>
      </c>
      <c r="AU65" s="296">
        <v>5</v>
      </c>
      <c r="AV65" s="298">
        <v>6</v>
      </c>
      <c r="AW65" s="296">
        <v>7</v>
      </c>
      <c r="AX65" s="126">
        <v>8</v>
      </c>
    </row>
    <row r="66" spans="1:84" ht="15" thickBot="1" x14ac:dyDescent="0.35">
      <c r="A66" s="750"/>
      <c r="B66" s="50" t="s">
        <v>47</v>
      </c>
      <c r="C66" s="105" t="s">
        <v>72</v>
      </c>
      <c r="D66" s="107" t="s">
        <v>72</v>
      </c>
      <c r="E66" s="105" t="s">
        <v>72</v>
      </c>
      <c r="F66" s="106" t="s">
        <v>72</v>
      </c>
      <c r="G66" s="107" t="s">
        <v>72</v>
      </c>
      <c r="H66" s="105" t="s">
        <v>72</v>
      </c>
      <c r="I66" s="106" t="s">
        <v>72</v>
      </c>
      <c r="J66" s="74" t="s">
        <v>72</v>
      </c>
      <c r="K66" s="5"/>
      <c r="W66" s="864" t="s">
        <v>19</v>
      </c>
      <c r="X66" s="865"/>
      <c r="Y66" s="865"/>
      <c r="Z66" s="898" t="s">
        <v>46</v>
      </c>
      <c r="AA66" s="865"/>
      <c r="AB66" s="899"/>
      <c r="AC66" s="865" t="s">
        <v>47</v>
      </c>
      <c r="AD66" s="865"/>
      <c r="AE66" s="865"/>
      <c r="AF66" s="898" t="s">
        <v>5</v>
      </c>
      <c r="AG66" s="865"/>
      <c r="AH66" s="899"/>
      <c r="AI66" s="865" t="s">
        <v>160</v>
      </c>
      <c r="AJ66" s="865"/>
      <c r="AK66" s="866"/>
      <c r="AL66" s="864" t="s">
        <v>8</v>
      </c>
      <c r="AM66" s="865"/>
      <c r="AN66" s="866"/>
      <c r="AP66" s="858" t="s">
        <v>48</v>
      </c>
      <c r="AQ66" s="96" t="s">
        <v>60</v>
      </c>
      <c r="AR66" s="97" t="s">
        <v>60</v>
      </c>
      <c r="AS66" s="96" t="s">
        <v>61</v>
      </c>
      <c r="AT66" s="66" t="s">
        <v>61</v>
      </c>
      <c r="AU66" s="97" t="s">
        <v>61</v>
      </c>
      <c r="AV66" s="41" t="s">
        <v>82</v>
      </c>
      <c r="AW66" s="42" t="s">
        <v>82</v>
      </c>
      <c r="AX66" s="43" t="s">
        <v>82</v>
      </c>
    </row>
    <row r="67" spans="1:84" x14ac:dyDescent="0.3">
      <c r="A67" s="748" t="s">
        <v>49</v>
      </c>
      <c r="B67" s="64" t="s">
        <v>46</v>
      </c>
      <c r="C67" s="98" t="s">
        <v>38</v>
      </c>
      <c r="D67" s="98" t="s">
        <v>73</v>
      </c>
      <c r="E67" s="71" t="s">
        <v>73</v>
      </c>
      <c r="F67" s="99" t="s">
        <v>73</v>
      </c>
      <c r="G67" s="103" t="s">
        <v>10</v>
      </c>
      <c r="H67" s="104" t="s">
        <v>10</v>
      </c>
      <c r="I67" s="91" t="s">
        <v>10</v>
      </c>
      <c r="J67" s="108" t="s">
        <v>13</v>
      </c>
      <c r="K67" s="5"/>
      <c r="S67" s="223" t="s">
        <v>47</v>
      </c>
      <c r="T67" s="224" t="s">
        <v>46</v>
      </c>
      <c r="U67" s="225" t="s">
        <v>55</v>
      </c>
      <c r="V67" s="226" t="s">
        <v>135</v>
      </c>
      <c r="W67" s="161" t="s">
        <v>158</v>
      </c>
      <c r="X67" s="56" t="s">
        <v>159</v>
      </c>
      <c r="Y67" s="56" t="s">
        <v>157</v>
      </c>
      <c r="Z67" s="76" t="s">
        <v>158</v>
      </c>
      <c r="AA67" s="56" t="s">
        <v>159</v>
      </c>
      <c r="AB67" s="162" t="s">
        <v>157</v>
      </c>
      <c r="AC67" s="56" t="s">
        <v>158</v>
      </c>
      <c r="AD67" s="56" t="s">
        <v>159</v>
      </c>
      <c r="AE67" s="56" t="s">
        <v>157</v>
      </c>
      <c r="AF67" s="76" t="s">
        <v>158</v>
      </c>
      <c r="AG67" s="56" t="s">
        <v>159</v>
      </c>
      <c r="AH67" s="162" t="s">
        <v>157</v>
      </c>
      <c r="AI67" s="56" t="s">
        <v>158</v>
      </c>
      <c r="AJ67" s="56" t="s">
        <v>159</v>
      </c>
      <c r="AK67" s="128" t="s">
        <v>157</v>
      </c>
      <c r="AL67" s="123" t="s">
        <v>158</v>
      </c>
      <c r="AM67" s="42" t="s">
        <v>159</v>
      </c>
      <c r="AN67" s="43" t="s">
        <v>157</v>
      </c>
      <c r="AP67" s="753"/>
      <c r="AQ67" s="94" t="s">
        <v>207</v>
      </c>
      <c r="AR67" s="95" t="s">
        <v>207</v>
      </c>
      <c r="AS67" s="94" t="s">
        <v>207</v>
      </c>
      <c r="AT67" s="67" t="s">
        <v>207</v>
      </c>
      <c r="AU67" s="95" t="s">
        <v>207</v>
      </c>
      <c r="AV67" s="49" t="s">
        <v>207</v>
      </c>
      <c r="AW67" s="50" t="s">
        <v>207</v>
      </c>
      <c r="AX67" s="51" t="s">
        <v>207</v>
      </c>
    </row>
    <row r="68" spans="1:84" x14ac:dyDescent="0.3">
      <c r="A68" s="750"/>
      <c r="B68" s="64" t="s">
        <v>47</v>
      </c>
      <c r="C68" s="100" t="s">
        <v>11</v>
      </c>
      <c r="D68" s="100" t="s">
        <v>11</v>
      </c>
      <c r="E68" s="72" t="s">
        <v>11</v>
      </c>
      <c r="F68" s="101" t="s">
        <v>11</v>
      </c>
      <c r="G68" s="105" t="s">
        <v>72</v>
      </c>
      <c r="H68" s="106" t="s">
        <v>72</v>
      </c>
      <c r="I68" s="107" t="s">
        <v>72</v>
      </c>
      <c r="J68" s="109" t="s">
        <v>72</v>
      </c>
      <c r="K68" s="5"/>
      <c r="S68" s="748" t="s">
        <v>35</v>
      </c>
      <c r="T68" s="861" t="s">
        <v>10</v>
      </c>
      <c r="U68" s="47" t="s">
        <v>79</v>
      </c>
      <c r="V68" s="142">
        <v>1</v>
      </c>
      <c r="W68" s="175">
        <f>M$11</f>
        <v>57.02</v>
      </c>
      <c r="X68" s="64">
        <f>V11</f>
        <v>61</v>
      </c>
      <c r="Y68" s="206">
        <f>ABS(X68-W68)/W68</f>
        <v>6.980007015082422E-2</v>
      </c>
      <c r="Z68" s="84">
        <f>M$12</f>
        <v>64.628</v>
      </c>
      <c r="AA68" s="64">
        <f>W11</f>
        <v>67</v>
      </c>
      <c r="AB68" s="216">
        <f>ABS(AA68-Z68)/Z68</f>
        <v>3.6702358111035463E-2</v>
      </c>
      <c r="AC68" s="78">
        <f>M$18</f>
        <v>75.808500000000009</v>
      </c>
      <c r="AD68" s="64">
        <f>X11</f>
        <v>87</v>
      </c>
      <c r="AE68" s="206">
        <f>ABS(AD68-AC68)/AC68</f>
        <v>0.14762856407922581</v>
      </c>
      <c r="AF68" s="84">
        <f>M$21</f>
        <v>80.645840000000007</v>
      </c>
      <c r="AG68" s="64">
        <f>Y11</f>
        <v>91</v>
      </c>
      <c r="AH68" s="216">
        <f>ABS(AG68-AF68)/AF68</f>
        <v>0.12839050346552275</v>
      </c>
      <c r="AI68" s="64">
        <f>I$26</f>
        <v>573.78</v>
      </c>
      <c r="AJ68" s="64">
        <f>AI11</f>
        <v>549</v>
      </c>
      <c r="AK68" s="207">
        <f>ABS(AJ68-AI68)/AI68</f>
        <v>4.3187284325002566E-2</v>
      </c>
      <c r="AL68" s="210">
        <f>M$22</f>
        <v>50</v>
      </c>
      <c r="AM68" s="42">
        <f>AJ11</f>
        <v>48.7</v>
      </c>
      <c r="AN68" s="212">
        <f>ABS(AM68-AL68)/AL68</f>
        <v>2.5999999999999943E-2</v>
      </c>
      <c r="AP68" s="858" t="s">
        <v>49</v>
      </c>
      <c r="AQ68" s="96" t="s">
        <v>83</v>
      </c>
      <c r="AR68" s="96" t="s">
        <v>84</v>
      </c>
      <c r="AS68" s="66" t="s">
        <v>84</v>
      </c>
      <c r="AT68" s="97" t="s">
        <v>84</v>
      </c>
      <c r="AU68" s="96" t="s">
        <v>59</v>
      </c>
      <c r="AV68" s="66" t="s">
        <v>59</v>
      </c>
      <c r="AW68" s="97" t="s">
        <v>59</v>
      </c>
      <c r="AX68" s="299" t="s">
        <v>60</v>
      </c>
    </row>
    <row r="69" spans="1:84" x14ac:dyDescent="0.3">
      <c r="A69" s="748" t="s">
        <v>50</v>
      </c>
      <c r="B69" s="42" t="s">
        <v>46</v>
      </c>
      <c r="C69" s="98" t="s">
        <v>24</v>
      </c>
      <c r="D69" s="70" t="s">
        <v>24</v>
      </c>
      <c r="E69" s="93" t="s">
        <v>24</v>
      </c>
      <c r="F69" s="102" t="s">
        <v>25</v>
      </c>
      <c r="G69" s="71" t="s">
        <v>25</v>
      </c>
      <c r="H69" s="99" t="s">
        <v>25</v>
      </c>
      <c r="I69" s="98" t="s">
        <v>38</v>
      </c>
      <c r="J69" s="110" t="s">
        <v>38</v>
      </c>
      <c r="K69" s="5"/>
      <c r="S69" s="749"/>
      <c r="T69" s="862"/>
      <c r="U69" s="44" t="s">
        <v>80</v>
      </c>
      <c r="V69" s="143">
        <f>V68+1</f>
        <v>2</v>
      </c>
      <c r="W69" s="175">
        <f t="shared" ref="W69:W115" si="22">M$11</f>
        <v>57.02</v>
      </c>
      <c r="X69" s="64">
        <f t="shared" ref="X69:X115" si="23">V12</f>
        <v>56</v>
      </c>
      <c r="Y69" s="206">
        <f t="shared" ref="Y69:Y115" si="24">ABS(X69-W69)/W69</f>
        <v>1.788846018940728E-2</v>
      </c>
      <c r="Z69" s="84">
        <f>M$12</f>
        <v>64.628</v>
      </c>
      <c r="AA69" s="64">
        <f t="shared" ref="AA69:AA115" si="25">W12</f>
        <v>62</v>
      </c>
      <c r="AB69" s="216">
        <f t="shared" ref="AB69:AB115" si="26">ABS(AA69-Z69)/Z69</f>
        <v>4.0663489509191061E-2</v>
      </c>
      <c r="AC69" s="78">
        <f t="shared" ref="AC69:AC115" si="27">M$18</f>
        <v>75.808500000000009</v>
      </c>
      <c r="AD69" s="64">
        <f t="shared" ref="AD69:AD115" si="28">X12</f>
        <v>75</v>
      </c>
      <c r="AE69" s="206">
        <f t="shared" ref="AE69:AE115" si="29">ABS(AD69-AC69)/AC69</f>
        <v>1.0665030966184652E-2</v>
      </c>
      <c r="AF69" s="84">
        <f t="shared" ref="AF69:AF115" si="30">M$21</f>
        <v>80.645840000000007</v>
      </c>
      <c r="AG69" s="64">
        <f t="shared" ref="AG69:AG115" si="31">Y12</f>
        <v>83</v>
      </c>
      <c r="AH69" s="216">
        <f t="shared" ref="AH69:AH115" si="32">ABS(AG69-AF69)/AF69</f>
        <v>2.9191338325696564E-2</v>
      </c>
      <c r="AI69" s="64">
        <f t="shared" ref="AI69:AI115" si="33">I$26</f>
        <v>573.78</v>
      </c>
      <c r="AJ69" s="64">
        <f t="shared" ref="AJ69:AJ115" si="34">AI12</f>
        <v>559</v>
      </c>
      <c r="AK69" s="207">
        <f t="shared" ref="AK69:AK115" si="35">ABS(AJ69-AI69)/AI69</f>
        <v>2.575900170797165E-2</v>
      </c>
      <c r="AL69" s="175">
        <f t="shared" ref="AL69:AL115" si="36">M$22</f>
        <v>50</v>
      </c>
      <c r="AM69" s="64">
        <f t="shared" ref="AM69:AM115" si="37">AJ12</f>
        <v>49</v>
      </c>
      <c r="AN69" s="207">
        <f t="shared" ref="AN69:AN115" si="38">ABS(AM69-AL69)/AL69</f>
        <v>0.02</v>
      </c>
      <c r="AP69" s="753"/>
      <c r="AQ69" s="94" t="s">
        <v>208</v>
      </c>
      <c r="AR69" s="94" t="s">
        <v>208</v>
      </c>
      <c r="AS69" s="67" t="s">
        <v>208</v>
      </c>
      <c r="AT69" s="95" t="s">
        <v>208</v>
      </c>
      <c r="AU69" s="94" t="s">
        <v>207</v>
      </c>
      <c r="AV69" s="67" t="s">
        <v>207</v>
      </c>
      <c r="AW69" s="95" t="s">
        <v>207</v>
      </c>
      <c r="AX69" s="300" t="s">
        <v>207</v>
      </c>
    </row>
    <row r="70" spans="1:84" x14ac:dyDescent="0.3">
      <c r="A70" s="750"/>
      <c r="B70" s="50" t="s">
        <v>47</v>
      </c>
      <c r="C70" s="100" t="s">
        <v>11</v>
      </c>
      <c r="D70" s="72" t="s">
        <v>11</v>
      </c>
      <c r="E70" s="101" t="s">
        <v>11</v>
      </c>
      <c r="F70" s="100" t="s">
        <v>11</v>
      </c>
      <c r="G70" s="72" t="s">
        <v>11</v>
      </c>
      <c r="H70" s="101" t="s">
        <v>11</v>
      </c>
      <c r="I70" s="100" t="s">
        <v>11</v>
      </c>
      <c r="J70" s="111" t="s">
        <v>11</v>
      </c>
      <c r="K70" s="5"/>
      <c r="S70" s="749"/>
      <c r="T70" s="863"/>
      <c r="U70" s="48" t="s">
        <v>81</v>
      </c>
      <c r="V70" s="144">
        <f t="shared" ref="V70:V115" si="39">V69+1</f>
        <v>3</v>
      </c>
      <c r="W70" s="175">
        <f t="shared" si="22"/>
        <v>57.02</v>
      </c>
      <c r="X70" s="64">
        <f t="shared" si="23"/>
        <v>56</v>
      </c>
      <c r="Y70" s="206">
        <f t="shared" si="24"/>
        <v>1.788846018940728E-2</v>
      </c>
      <c r="Z70" s="84">
        <f>M$12</f>
        <v>64.628</v>
      </c>
      <c r="AA70" s="64">
        <f t="shared" si="25"/>
        <v>72</v>
      </c>
      <c r="AB70" s="216">
        <f t="shared" si="26"/>
        <v>0.11406820573126199</v>
      </c>
      <c r="AC70" s="78">
        <f t="shared" si="27"/>
        <v>75.808500000000009</v>
      </c>
      <c r="AD70" s="64">
        <f t="shared" si="28"/>
        <v>76</v>
      </c>
      <c r="AE70" s="206">
        <f t="shared" si="29"/>
        <v>2.5261019542662188E-3</v>
      </c>
      <c r="AF70" s="84">
        <f t="shared" si="30"/>
        <v>80.645840000000007</v>
      </c>
      <c r="AG70" s="64">
        <f t="shared" si="31"/>
        <v>84</v>
      </c>
      <c r="AH70" s="216">
        <f t="shared" si="32"/>
        <v>4.1591233968174837E-2</v>
      </c>
      <c r="AI70" s="64">
        <f t="shared" si="33"/>
        <v>573.78</v>
      </c>
      <c r="AJ70" s="64">
        <f t="shared" si="34"/>
        <v>555</v>
      </c>
      <c r="AK70" s="207">
        <f t="shared" si="35"/>
        <v>3.2730314754784016E-2</v>
      </c>
      <c r="AL70" s="213">
        <f t="shared" si="36"/>
        <v>50</v>
      </c>
      <c r="AM70" s="50">
        <f t="shared" si="37"/>
        <v>47.7</v>
      </c>
      <c r="AN70" s="215">
        <f t="shared" si="38"/>
        <v>4.5999999999999944E-2</v>
      </c>
      <c r="AP70" s="858" t="s">
        <v>50</v>
      </c>
      <c r="AQ70" s="96" t="s">
        <v>61</v>
      </c>
      <c r="AR70" s="301" t="s">
        <v>61</v>
      </c>
      <c r="AS70" s="89" t="s">
        <v>61</v>
      </c>
      <c r="AT70" s="45" t="s">
        <v>82</v>
      </c>
      <c r="AU70" s="42" t="s">
        <v>82</v>
      </c>
      <c r="AV70" s="302" t="s">
        <v>82</v>
      </c>
      <c r="AW70" s="41" t="s">
        <v>83</v>
      </c>
      <c r="AX70" s="43" t="s">
        <v>83</v>
      </c>
    </row>
    <row r="71" spans="1:84" x14ac:dyDescent="0.3">
      <c r="A71" s="748" t="s">
        <v>51</v>
      </c>
      <c r="B71" s="64" t="s">
        <v>46</v>
      </c>
      <c r="C71" s="96" t="s">
        <v>73</v>
      </c>
      <c r="D71" s="97" t="s">
        <v>73</v>
      </c>
      <c r="E71" s="98" t="s">
        <v>10</v>
      </c>
      <c r="F71" s="71" t="s">
        <v>10</v>
      </c>
      <c r="G71" s="99" t="s">
        <v>10</v>
      </c>
      <c r="H71" s="98" t="s">
        <v>13</v>
      </c>
      <c r="I71" s="71" t="s">
        <v>13</v>
      </c>
      <c r="J71" s="110" t="s">
        <v>13</v>
      </c>
      <c r="K71" s="5"/>
      <c r="S71" s="749"/>
      <c r="T71" s="861" t="s">
        <v>13</v>
      </c>
      <c r="U71" s="47" t="s">
        <v>89</v>
      </c>
      <c r="V71" s="143">
        <f t="shared" si="39"/>
        <v>4</v>
      </c>
      <c r="W71" s="210">
        <f t="shared" si="22"/>
        <v>57.02</v>
      </c>
      <c r="X71" s="42">
        <f t="shared" si="23"/>
        <v>57</v>
      </c>
      <c r="Y71" s="211">
        <f t="shared" si="24"/>
        <v>3.5075412136098078E-4</v>
      </c>
      <c r="Z71" s="83">
        <f>M$13</f>
        <v>69.23</v>
      </c>
      <c r="AA71" s="42">
        <f t="shared" si="25"/>
        <v>69</v>
      </c>
      <c r="AB71" s="217">
        <f t="shared" si="26"/>
        <v>3.3222591362126819E-3</v>
      </c>
      <c r="AC71" s="57">
        <f t="shared" si="27"/>
        <v>75.808500000000009</v>
      </c>
      <c r="AD71" s="42">
        <f t="shared" si="28"/>
        <v>76</v>
      </c>
      <c r="AE71" s="211">
        <f t="shared" si="29"/>
        <v>2.5261019542662188E-3</v>
      </c>
      <c r="AF71" s="83">
        <f t="shared" si="30"/>
        <v>80.645840000000007</v>
      </c>
      <c r="AG71" s="42">
        <f t="shared" si="31"/>
        <v>84</v>
      </c>
      <c r="AH71" s="217">
        <f t="shared" si="32"/>
        <v>4.1591233968174837E-2</v>
      </c>
      <c r="AI71" s="42">
        <f t="shared" si="33"/>
        <v>573.78</v>
      </c>
      <c r="AJ71" s="42">
        <f t="shared" si="34"/>
        <v>551</v>
      </c>
      <c r="AK71" s="212">
        <f t="shared" si="35"/>
        <v>3.9701627801596383E-2</v>
      </c>
      <c r="AL71" s="175">
        <f t="shared" si="36"/>
        <v>50</v>
      </c>
      <c r="AM71" s="64">
        <f t="shared" si="37"/>
        <v>48.2</v>
      </c>
      <c r="AN71" s="207">
        <f t="shared" si="38"/>
        <v>3.5999999999999942E-2</v>
      </c>
      <c r="AP71" s="753"/>
      <c r="AQ71" s="94" t="s">
        <v>208</v>
      </c>
      <c r="AR71" s="67" t="s">
        <v>208</v>
      </c>
      <c r="AS71" s="95" t="s">
        <v>208</v>
      </c>
      <c r="AT71" s="49" t="s">
        <v>208</v>
      </c>
      <c r="AU71" s="50" t="s">
        <v>208</v>
      </c>
      <c r="AV71" s="303" t="s">
        <v>208</v>
      </c>
      <c r="AW71" s="49" t="s">
        <v>208</v>
      </c>
      <c r="AX71" s="51" t="s">
        <v>208</v>
      </c>
    </row>
    <row r="72" spans="1:84" x14ac:dyDescent="0.3">
      <c r="A72" s="750"/>
      <c r="B72" s="64" t="s">
        <v>47</v>
      </c>
      <c r="C72" s="94" t="s">
        <v>35</v>
      </c>
      <c r="D72" s="95" t="s">
        <v>35</v>
      </c>
      <c r="E72" s="100" t="s">
        <v>11</v>
      </c>
      <c r="F72" s="72" t="s">
        <v>11</v>
      </c>
      <c r="G72" s="101" t="s">
        <v>11</v>
      </c>
      <c r="H72" s="100" t="s">
        <v>11</v>
      </c>
      <c r="I72" s="72" t="s">
        <v>11</v>
      </c>
      <c r="J72" s="111" t="s">
        <v>11</v>
      </c>
      <c r="K72" s="5"/>
      <c r="S72" s="749"/>
      <c r="T72" s="862"/>
      <c r="U72" s="44" t="s">
        <v>94</v>
      </c>
      <c r="V72" s="143">
        <f t="shared" si="39"/>
        <v>5</v>
      </c>
      <c r="W72" s="175">
        <f t="shared" si="22"/>
        <v>57.02</v>
      </c>
      <c r="X72" s="64">
        <f t="shared" si="23"/>
        <v>57</v>
      </c>
      <c r="Y72" s="206">
        <f t="shared" si="24"/>
        <v>3.5075412136098078E-4</v>
      </c>
      <c r="Z72" s="84">
        <f>M$13</f>
        <v>69.23</v>
      </c>
      <c r="AA72" s="64">
        <f t="shared" si="25"/>
        <v>68</v>
      </c>
      <c r="AB72" s="216">
        <f t="shared" si="26"/>
        <v>1.7766864076267569E-2</v>
      </c>
      <c r="AC72" s="78">
        <f t="shared" si="27"/>
        <v>75.808500000000009</v>
      </c>
      <c r="AD72" s="64">
        <f t="shared" si="28"/>
        <v>89</v>
      </c>
      <c r="AE72" s="206">
        <f t="shared" si="29"/>
        <v>0.17401082992012754</v>
      </c>
      <c r="AF72" s="84">
        <f t="shared" si="30"/>
        <v>80.645840000000007</v>
      </c>
      <c r="AG72" s="64">
        <f t="shared" si="31"/>
        <v>87</v>
      </c>
      <c r="AH72" s="216">
        <f t="shared" si="32"/>
        <v>7.8790920895609656E-2</v>
      </c>
      <c r="AI72" s="64">
        <f t="shared" si="33"/>
        <v>573.78</v>
      </c>
      <c r="AJ72" s="64">
        <f t="shared" si="34"/>
        <v>551</v>
      </c>
      <c r="AK72" s="207">
        <f t="shared" si="35"/>
        <v>3.9701627801596383E-2</v>
      </c>
      <c r="AL72" s="175">
        <f t="shared" si="36"/>
        <v>50</v>
      </c>
      <c r="AM72" s="64">
        <f t="shared" si="37"/>
        <v>48.3</v>
      </c>
      <c r="AN72" s="207">
        <f t="shared" si="38"/>
        <v>3.4000000000000058E-2</v>
      </c>
      <c r="AP72" s="858" t="s">
        <v>51</v>
      </c>
      <c r="AQ72" s="96" t="s">
        <v>84</v>
      </c>
      <c r="AR72" s="97" t="s">
        <v>84</v>
      </c>
      <c r="AS72" s="96" t="s">
        <v>59</v>
      </c>
      <c r="AT72" s="66" t="s">
        <v>59</v>
      </c>
      <c r="AU72" s="97" t="s">
        <v>59</v>
      </c>
      <c r="AV72" s="96" t="s">
        <v>60</v>
      </c>
      <c r="AW72" s="66" t="s">
        <v>60</v>
      </c>
      <c r="AX72" s="113" t="s">
        <v>60</v>
      </c>
    </row>
    <row r="73" spans="1:84" x14ac:dyDescent="0.3">
      <c r="A73" s="748" t="s">
        <v>52</v>
      </c>
      <c r="B73" s="42" t="s">
        <v>46</v>
      </c>
      <c r="C73" s="68" t="s">
        <v>24</v>
      </c>
      <c r="D73" s="69" t="s">
        <v>25</v>
      </c>
      <c r="E73" s="69" t="s">
        <v>25</v>
      </c>
      <c r="F73" s="69" t="s">
        <v>25</v>
      </c>
      <c r="G73" s="92" t="s">
        <v>38</v>
      </c>
      <c r="H73" s="69" t="s">
        <v>38</v>
      </c>
      <c r="I73" s="89" t="s">
        <v>38</v>
      </c>
      <c r="J73" s="112" t="s">
        <v>73</v>
      </c>
      <c r="K73" s="5"/>
      <c r="S73" s="749"/>
      <c r="T73" s="863"/>
      <c r="U73" s="48" t="s">
        <v>99</v>
      </c>
      <c r="V73" s="143">
        <f t="shared" si="39"/>
        <v>6</v>
      </c>
      <c r="W73" s="213">
        <f t="shared" si="22"/>
        <v>57.02</v>
      </c>
      <c r="X73" s="50">
        <f t="shared" si="23"/>
        <v>62</v>
      </c>
      <c r="Y73" s="214">
        <f t="shared" si="24"/>
        <v>8.7337776218870511E-2</v>
      </c>
      <c r="Z73" s="85">
        <f>M$13</f>
        <v>69.23</v>
      </c>
      <c r="AA73" s="50">
        <f t="shared" si="25"/>
        <v>69</v>
      </c>
      <c r="AB73" s="218">
        <f t="shared" si="26"/>
        <v>3.3222591362126819E-3</v>
      </c>
      <c r="AC73" s="58">
        <f t="shared" si="27"/>
        <v>75.808500000000009</v>
      </c>
      <c r="AD73" s="50">
        <f t="shared" si="28"/>
        <v>73</v>
      </c>
      <c r="AE73" s="214">
        <f t="shared" si="29"/>
        <v>3.7047296807086398E-2</v>
      </c>
      <c r="AF73" s="85">
        <f t="shared" si="30"/>
        <v>80.645840000000007</v>
      </c>
      <c r="AG73" s="50">
        <f t="shared" si="31"/>
        <v>85</v>
      </c>
      <c r="AH73" s="218">
        <f t="shared" si="32"/>
        <v>5.399112961065311E-2</v>
      </c>
      <c r="AI73" s="50">
        <f t="shared" si="33"/>
        <v>573.78</v>
      </c>
      <c r="AJ73" s="50">
        <f t="shared" si="34"/>
        <v>553</v>
      </c>
      <c r="AK73" s="215">
        <f t="shared" si="35"/>
        <v>3.62159712781902E-2</v>
      </c>
      <c r="AL73" s="175">
        <f t="shared" si="36"/>
        <v>50</v>
      </c>
      <c r="AM73" s="64">
        <f t="shared" si="37"/>
        <v>48.1</v>
      </c>
      <c r="AN73" s="215">
        <f t="shared" si="38"/>
        <v>3.7999999999999971E-2</v>
      </c>
      <c r="AP73" s="753"/>
      <c r="AQ73" s="94" t="s">
        <v>209</v>
      </c>
      <c r="AR73" s="95" t="s">
        <v>209</v>
      </c>
      <c r="AS73" s="94" t="s">
        <v>208</v>
      </c>
      <c r="AT73" s="67" t="s">
        <v>208</v>
      </c>
      <c r="AU73" s="95" t="s">
        <v>208</v>
      </c>
      <c r="AV73" s="94" t="s">
        <v>208</v>
      </c>
      <c r="AW73" s="67" t="s">
        <v>208</v>
      </c>
      <c r="AX73" s="304" t="s">
        <v>208</v>
      </c>
    </row>
    <row r="74" spans="1:84" x14ac:dyDescent="0.3">
      <c r="A74" s="750"/>
      <c r="B74" s="50" t="s">
        <v>47</v>
      </c>
      <c r="C74" s="68" t="s">
        <v>35</v>
      </c>
      <c r="D74" s="69" t="s">
        <v>35</v>
      </c>
      <c r="E74" s="69" t="s">
        <v>35</v>
      </c>
      <c r="F74" s="67" t="s">
        <v>35</v>
      </c>
      <c r="G74" s="94" t="s">
        <v>35</v>
      </c>
      <c r="H74" s="67" t="s">
        <v>35</v>
      </c>
      <c r="I74" s="95" t="s">
        <v>35</v>
      </c>
      <c r="J74" s="112" t="s">
        <v>35</v>
      </c>
      <c r="K74" s="6"/>
      <c r="S74" s="749"/>
      <c r="T74" s="861" t="s">
        <v>24</v>
      </c>
      <c r="U74" s="47" t="s">
        <v>105</v>
      </c>
      <c r="V74" s="142">
        <f t="shared" si="39"/>
        <v>7</v>
      </c>
      <c r="W74" s="175">
        <f t="shared" si="22"/>
        <v>57.02</v>
      </c>
      <c r="X74" s="64">
        <f t="shared" si="23"/>
        <v>63</v>
      </c>
      <c r="Y74" s="206">
        <f t="shared" si="24"/>
        <v>0.10487548228691682</v>
      </c>
      <c r="Z74" s="84">
        <f>M$14</f>
        <v>67.431000000000012</v>
      </c>
      <c r="AA74" s="64">
        <f t="shared" si="25"/>
        <v>69</v>
      </c>
      <c r="AB74" s="216">
        <f t="shared" si="26"/>
        <v>2.3268229745962363E-2</v>
      </c>
      <c r="AC74" s="78">
        <f t="shared" si="27"/>
        <v>75.808500000000009</v>
      </c>
      <c r="AD74" s="64">
        <f t="shared" si="28"/>
        <v>73</v>
      </c>
      <c r="AE74" s="206">
        <f t="shared" si="29"/>
        <v>3.7047296807086398E-2</v>
      </c>
      <c r="AF74" s="84">
        <f t="shared" si="30"/>
        <v>80.645840000000007</v>
      </c>
      <c r="AG74" s="64">
        <f t="shared" si="31"/>
        <v>83</v>
      </c>
      <c r="AH74" s="216">
        <f t="shared" si="32"/>
        <v>2.9191338325696564E-2</v>
      </c>
      <c r="AI74" s="64">
        <f t="shared" si="33"/>
        <v>573.78</v>
      </c>
      <c r="AJ74" s="64">
        <f t="shared" si="34"/>
        <v>549</v>
      </c>
      <c r="AK74" s="207">
        <f t="shared" si="35"/>
        <v>4.3187284325002566E-2</v>
      </c>
      <c r="AL74" s="210">
        <f t="shared" si="36"/>
        <v>50</v>
      </c>
      <c r="AM74" s="42">
        <f t="shared" si="37"/>
        <v>47.6</v>
      </c>
      <c r="AN74" s="207">
        <f t="shared" si="38"/>
        <v>4.7999999999999973E-2</v>
      </c>
      <c r="AP74" s="858" t="s">
        <v>52</v>
      </c>
      <c r="AQ74" s="68" t="s">
        <v>61</v>
      </c>
      <c r="AR74" s="305" t="s">
        <v>82</v>
      </c>
      <c r="AS74" s="305" t="s">
        <v>82</v>
      </c>
      <c r="AT74" s="305" t="s">
        <v>82</v>
      </c>
      <c r="AU74" s="45" t="s">
        <v>83</v>
      </c>
      <c r="AV74" s="305" t="s">
        <v>83</v>
      </c>
      <c r="AW74" s="163" t="s">
        <v>83</v>
      </c>
      <c r="AX74" s="112" t="s">
        <v>84</v>
      </c>
    </row>
    <row r="75" spans="1:84" x14ac:dyDescent="0.3">
      <c r="A75" s="748" t="s">
        <v>53</v>
      </c>
      <c r="B75" s="64" t="s">
        <v>46</v>
      </c>
      <c r="C75" s="96" t="s">
        <v>10</v>
      </c>
      <c r="D75" s="66" t="s">
        <v>10</v>
      </c>
      <c r="E75" s="97" t="s">
        <v>10</v>
      </c>
      <c r="F75" s="66" t="s">
        <v>13</v>
      </c>
      <c r="G75" s="69" t="s">
        <v>13</v>
      </c>
      <c r="H75" s="69" t="s">
        <v>13</v>
      </c>
      <c r="I75" s="92" t="s">
        <v>24</v>
      </c>
      <c r="J75" s="113" t="s">
        <v>24</v>
      </c>
      <c r="K75" s="5"/>
      <c r="S75" s="749"/>
      <c r="T75" s="862"/>
      <c r="U75" s="44" t="s">
        <v>111</v>
      </c>
      <c r="V75" s="143">
        <f t="shared" si="39"/>
        <v>8</v>
      </c>
      <c r="W75" s="175">
        <f t="shared" si="22"/>
        <v>57.02</v>
      </c>
      <c r="X75" s="64">
        <f t="shared" si="23"/>
        <v>59</v>
      </c>
      <c r="Y75" s="206">
        <f t="shared" si="24"/>
        <v>3.4724658014731617E-2</v>
      </c>
      <c r="Z75" s="84">
        <f>M$14</f>
        <v>67.431000000000012</v>
      </c>
      <c r="AA75" s="64">
        <f t="shared" si="25"/>
        <v>69</v>
      </c>
      <c r="AB75" s="216">
        <f t="shared" si="26"/>
        <v>2.3268229745962363E-2</v>
      </c>
      <c r="AC75" s="78">
        <f t="shared" si="27"/>
        <v>75.808500000000009</v>
      </c>
      <c r="AD75" s="64">
        <f t="shared" si="28"/>
        <v>74</v>
      </c>
      <c r="AE75" s="206">
        <f t="shared" si="29"/>
        <v>2.3856163886635525E-2</v>
      </c>
      <c r="AF75" s="84">
        <f t="shared" si="30"/>
        <v>80.645840000000007</v>
      </c>
      <c r="AG75" s="64">
        <f t="shared" si="31"/>
        <v>81</v>
      </c>
      <c r="AH75" s="216">
        <f t="shared" si="32"/>
        <v>4.3915470407400198E-3</v>
      </c>
      <c r="AI75" s="64">
        <f t="shared" si="33"/>
        <v>573.78</v>
      </c>
      <c r="AJ75" s="64">
        <f t="shared" si="34"/>
        <v>548</v>
      </c>
      <c r="AK75" s="207">
        <f t="shared" si="35"/>
        <v>4.4930112586705657E-2</v>
      </c>
      <c r="AL75" s="175">
        <f t="shared" si="36"/>
        <v>50</v>
      </c>
      <c r="AM75" s="64">
        <f t="shared" si="37"/>
        <v>47.7</v>
      </c>
      <c r="AN75" s="207">
        <f t="shared" si="38"/>
        <v>4.5999999999999944E-2</v>
      </c>
      <c r="AP75" s="753"/>
      <c r="AQ75" s="68" t="s">
        <v>209</v>
      </c>
      <c r="AR75" s="305" t="s">
        <v>209</v>
      </c>
      <c r="AS75" s="305" t="s">
        <v>209</v>
      </c>
      <c r="AT75" s="50" t="s">
        <v>209</v>
      </c>
      <c r="AU75" s="49" t="s">
        <v>209</v>
      </c>
      <c r="AV75" s="50" t="s">
        <v>209</v>
      </c>
      <c r="AW75" s="303" t="s">
        <v>209</v>
      </c>
      <c r="AX75" s="112" t="s">
        <v>209</v>
      </c>
      <c r="BY75" s="21"/>
      <c r="CF75" s="21"/>
    </row>
    <row r="76" spans="1:84" ht="15" thickBot="1" x14ac:dyDescent="0.35">
      <c r="A76" s="754"/>
      <c r="B76" s="54" t="s">
        <v>47</v>
      </c>
      <c r="C76" s="114" t="s">
        <v>35</v>
      </c>
      <c r="D76" s="115" t="s">
        <v>35</v>
      </c>
      <c r="E76" s="116" t="s">
        <v>35</v>
      </c>
      <c r="F76" s="115" t="s">
        <v>35</v>
      </c>
      <c r="G76" s="115" t="s">
        <v>35</v>
      </c>
      <c r="H76" s="115" t="s">
        <v>35</v>
      </c>
      <c r="I76" s="114" t="s">
        <v>35</v>
      </c>
      <c r="J76" s="117" t="s">
        <v>35</v>
      </c>
      <c r="K76" s="5"/>
      <c r="S76" s="749"/>
      <c r="T76" s="863"/>
      <c r="U76" s="48" t="s">
        <v>76</v>
      </c>
      <c r="V76" s="144">
        <f t="shared" si="39"/>
        <v>9</v>
      </c>
      <c r="W76" s="175">
        <f t="shared" si="22"/>
        <v>57.02</v>
      </c>
      <c r="X76" s="64">
        <f t="shared" si="23"/>
        <v>58</v>
      </c>
      <c r="Y76" s="206">
        <f t="shared" si="24"/>
        <v>1.7186951946685319E-2</v>
      </c>
      <c r="Z76" s="84">
        <f>M$14</f>
        <v>67.431000000000012</v>
      </c>
      <c r="AA76" s="64">
        <f t="shared" si="25"/>
        <v>68</v>
      </c>
      <c r="AB76" s="216">
        <f t="shared" si="26"/>
        <v>8.4382554018179821E-3</v>
      </c>
      <c r="AC76" s="78">
        <f t="shared" si="27"/>
        <v>75.808500000000009</v>
      </c>
      <c r="AD76" s="64">
        <f t="shared" si="28"/>
        <v>73</v>
      </c>
      <c r="AE76" s="206">
        <f t="shared" si="29"/>
        <v>3.7047296807086398E-2</v>
      </c>
      <c r="AF76" s="84">
        <f t="shared" si="30"/>
        <v>80.645840000000007</v>
      </c>
      <c r="AG76" s="64">
        <f t="shared" si="31"/>
        <v>84</v>
      </c>
      <c r="AH76" s="216">
        <f t="shared" si="32"/>
        <v>4.1591233968174837E-2</v>
      </c>
      <c r="AI76" s="64">
        <f t="shared" si="33"/>
        <v>573.78</v>
      </c>
      <c r="AJ76" s="64">
        <f t="shared" si="34"/>
        <v>549</v>
      </c>
      <c r="AK76" s="207">
        <f t="shared" si="35"/>
        <v>4.3187284325002566E-2</v>
      </c>
      <c r="AL76" s="213">
        <f t="shared" si="36"/>
        <v>50</v>
      </c>
      <c r="AM76" s="50">
        <f t="shared" si="37"/>
        <v>48.3</v>
      </c>
      <c r="AN76" s="207">
        <f t="shared" si="38"/>
        <v>3.4000000000000058E-2</v>
      </c>
      <c r="AP76" s="858" t="s">
        <v>53</v>
      </c>
      <c r="AQ76" s="96" t="s">
        <v>59</v>
      </c>
      <c r="AR76" s="66" t="s">
        <v>59</v>
      </c>
      <c r="AS76" s="97" t="s">
        <v>59</v>
      </c>
      <c r="AT76" s="66" t="s">
        <v>60</v>
      </c>
      <c r="AU76" s="301" t="s">
        <v>60</v>
      </c>
      <c r="AV76" s="301" t="s">
        <v>60</v>
      </c>
      <c r="AW76" s="92" t="s">
        <v>61</v>
      </c>
      <c r="AX76" s="113" t="s">
        <v>61</v>
      </c>
      <c r="BY76" s="20"/>
      <c r="CF76" s="22"/>
    </row>
    <row r="77" spans="1:84" ht="15" thickBot="1" x14ac:dyDescent="0.35">
      <c r="A77" s="39"/>
      <c r="B77" s="6"/>
      <c r="C77" s="5"/>
      <c r="D77" s="5"/>
      <c r="E77" s="5"/>
      <c r="F77" s="5"/>
      <c r="G77" s="5"/>
      <c r="H77" s="5"/>
      <c r="I77" s="5"/>
      <c r="J77" s="5"/>
      <c r="K77" s="5"/>
      <c r="S77" s="749"/>
      <c r="T77" s="861" t="s">
        <v>25</v>
      </c>
      <c r="U77" s="47" t="s">
        <v>77</v>
      </c>
      <c r="V77" s="143">
        <f t="shared" si="39"/>
        <v>10</v>
      </c>
      <c r="W77" s="210">
        <f t="shared" si="22"/>
        <v>57.02</v>
      </c>
      <c r="X77" s="42">
        <f t="shared" si="23"/>
        <v>62</v>
      </c>
      <c r="Y77" s="211">
        <f t="shared" si="24"/>
        <v>8.7337776218870511E-2</v>
      </c>
      <c r="Z77" s="83">
        <f>M$15</f>
        <v>68.635000000000005</v>
      </c>
      <c r="AA77" s="42">
        <f t="shared" si="25"/>
        <v>66</v>
      </c>
      <c r="AB77" s="217">
        <f t="shared" si="26"/>
        <v>3.8391491221679973E-2</v>
      </c>
      <c r="AC77" s="57">
        <f t="shared" si="27"/>
        <v>75.808500000000009</v>
      </c>
      <c r="AD77" s="42">
        <f t="shared" si="28"/>
        <v>73</v>
      </c>
      <c r="AE77" s="211">
        <f t="shared" si="29"/>
        <v>3.7047296807086398E-2</v>
      </c>
      <c r="AF77" s="83">
        <f t="shared" si="30"/>
        <v>80.645840000000007</v>
      </c>
      <c r="AG77" s="42">
        <f t="shared" si="31"/>
        <v>83</v>
      </c>
      <c r="AH77" s="217">
        <f t="shared" si="32"/>
        <v>2.9191338325696564E-2</v>
      </c>
      <c r="AI77" s="42">
        <f t="shared" si="33"/>
        <v>573.78</v>
      </c>
      <c r="AJ77" s="42">
        <f t="shared" si="34"/>
        <v>548</v>
      </c>
      <c r="AK77" s="212">
        <f t="shared" si="35"/>
        <v>4.4930112586705657E-2</v>
      </c>
      <c r="AL77" s="175">
        <f t="shared" si="36"/>
        <v>50</v>
      </c>
      <c r="AM77" s="64">
        <f t="shared" si="37"/>
        <v>47.9</v>
      </c>
      <c r="AN77" s="212">
        <f t="shared" si="38"/>
        <v>4.200000000000003E-2</v>
      </c>
      <c r="AP77" s="859"/>
      <c r="AQ77" s="114" t="s">
        <v>209</v>
      </c>
      <c r="AR77" s="115" t="s">
        <v>209</v>
      </c>
      <c r="AS77" s="116" t="s">
        <v>209</v>
      </c>
      <c r="AT77" s="115" t="s">
        <v>209</v>
      </c>
      <c r="AU77" s="115" t="s">
        <v>209</v>
      </c>
      <c r="AV77" s="115" t="s">
        <v>209</v>
      </c>
      <c r="AW77" s="114" t="s">
        <v>209</v>
      </c>
      <c r="AX77" s="117" t="s">
        <v>209</v>
      </c>
    </row>
    <row r="78" spans="1:84" x14ac:dyDescent="0.3">
      <c r="A78" s="5"/>
      <c r="B78" s="5"/>
      <c r="C78" s="36"/>
      <c r="D78" s="36"/>
      <c r="E78" s="36"/>
      <c r="F78" s="5"/>
      <c r="G78" s="5"/>
      <c r="H78" s="5"/>
      <c r="I78" s="5"/>
      <c r="J78" s="5"/>
      <c r="K78" s="5"/>
      <c r="S78" s="749"/>
      <c r="T78" s="862"/>
      <c r="U78" s="44" t="s">
        <v>78</v>
      </c>
      <c r="V78" s="143">
        <f t="shared" si="39"/>
        <v>11</v>
      </c>
      <c r="W78" s="175">
        <f t="shared" si="22"/>
        <v>57.02</v>
      </c>
      <c r="X78" s="64">
        <f t="shared" si="23"/>
        <v>59</v>
      </c>
      <c r="Y78" s="206">
        <f t="shared" si="24"/>
        <v>3.4724658014731617E-2</v>
      </c>
      <c r="Z78" s="84">
        <f>M$15</f>
        <v>68.635000000000005</v>
      </c>
      <c r="AA78" s="64">
        <f t="shared" si="25"/>
        <v>70</v>
      </c>
      <c r="AB78" s="216">
        <f t="shared" si="26"/>
        <v>1.9887812340642453E-2</v>
      </c>
      <c r="AC78" s="78">
        <f t="shared" si="27"/>
        <v>75.808500000000009</v>
      </c>
      <c r="AD78" s="64">
        <f t="shared" si="28"/>
        <v>73</v>
      </c>
      <c r="AE78" s="206">
        <f t="shared" si="29"/>
        <v>3.7047296807086398E-2</v>
      </c>
      <c r="AF78" s="84">
        <f t="shared" si="30"/>
        <v>80.645840000000007</v>
      </c>
      <c r="AG78" s="64">
        <f t="shared" si="31"/>
        <v>82</v>
      </c>
      <c r="AH78" s="216">
        <f t="shared" si="32"/>
        <v>1.6791442683218291E-2</v>
      </c>
      <c r="AI78" s="64">
        <f t="shared" si="33"/>
        <v>573.78</v>
      </c>
      <c r="AJ78" s="64">
        <f t="shared" si="34"/>
        <v>547</v>
      </c>
      <c r="AK78" s="207">
        <f t="shared" si="35"/>
        <v>4.6672940848408749E-2</v>
      </c>
      <c r="AL78" s="175">
        <f t="shared" si="36"/>
        <v>50</v>
      </c>
      <c r="AM78" s="64">
        <f t="shared" si="37"/>
        <v>48.4</v>
      </c>
      <c r="AN78" s="207">
        <f t="shared" si="38"/>
        <v>3.2000000000000028E-2</v>
      </c>
      <c r="AQ78" s="30"/>
    </row>
    <row r="79" spans="1:84" x14ac:dyDescent="0.3">
      <c r="A79" s="5"/>
      <c r="B79" s="5"/>
      <c r="C79" s="5"/>
      <c r="D79" s="5"/>
      <c r="E79" s="5"/>
      <c r="F79" s="5"/>
      <c r="G79" s="5"/>
      <c r="H79" s="5"/>
      <c r="I79" s="5"/>
      <c r="J79" s="5"/>
      <c r="K79" s="5"/>
      <c r="S79" s="749"/>
      <c r="T79" s="863"/>
      <c r="U79" s="48" t="s">
        <v>88</v>
      </c>
      <c r="V79" s="143">
        <f t="shared" si="39"/>
        <v>12</v>
      </c>
      <c r="W79" s="213">
        <f t="shared" si="22"/>
        <v>57.02</v>
      </c>
      <c r="X79" s="50">
        <f t="shared" si="23"/>
        <v>64</v>
      </c>
      <c r="Y79" s="214">
        <f t="shared" si="24"/>
        <v>0.12241318835496311</v>
      </c>
      <c r="Z79" s="85">
        <f>M$15</f>
        <v>68.635000000000005</v>
      </c>
      <c r="AA79" s="50">
        <f t="shared" si="25"/>
        <v>71</v>
      </c>
      <c r="AB79" s="218">
        <f t="shared" si="26"/>
        <v>3.445763823122306E-2</v>
      </c>
      <c r="AC79" s="58">
        <f t="shared" si="27"/>
        <v>75.808500000000009</v>
      </c>
      <c r="AD79" s="50">
        <f t="shared" si="28"/>
        <v>74</v>
      </c>
      <c r="AE79" s="214">
        <f t="shared" si="29"/>
        <v>2.3856163886635525E-2</v>
      </c>
      <c r="AF79" s="85">
        <f t="shared" si="30"/>
        <v>80.645840000000007</v>
      </c>
      <c r="AG79" s="50">
        <f t="shared" si="31"/>
        <v>84</v>
      </c>
      <c r="AH79" s="218">
        <f t="shared" si="32"/>
        <v>4.1591233968174837E-2</v>
      </c>
      <c r="AI79" s="50">
        <f t="shared" si="33"/>
        <v>573.78</v>
      </c>
      <c r="AJ79" s="50">
        <f t="shared" si="34"/>
        <v>548</v>
      </c>
      <c r="AK79" s="215">
        <f t="shared" si="35"/>
        <v>4.4930112586705657E-2</v>
      </c>
      <c r="AL79" s="175">
        <f t="shared" si="36"/>
        <v>50</v>
      </c>
      <c r="AM79" s="64">
        <f t="shared" si="37"/>
        <v>48.3</v>
      </c>
      <c r="AN79" s="215">
        <f t="shared" si="38"/>
        <v>3.4000000000000058E-2</v>
      </c>
      <c r="AQ79" s="31"/>
    </row>
    <row r="80" spans="1:84" x14ac:dyDescent="0.3">
      <c r="A80" s="5"/>
      <c r="B80" s="5"/>
      <c r="C80" s="5"/>
      <c r="D80" s="5"/>
      <c r="E80" s="5"/>
      <c r="F80" s="5"/>
      <c r="G80" s="5"/>
      <c r="H80" s="5"/>
      <c r="I80" s="5"/>
      <c r="J80" s="5"/>
      <c r="K80" s="5"/>
      <c r="S80" s="749"/>
      <c r="T80" s="861" t="s">
        <v>38</v>
      </c>
      <c r="U80" s="47" t="s">
        <v>93</v>
      </c>
      <c r="V80" s="142">
        <f t="shared" si="39"/>
        <v>13</v>
      </c>
      <c r="W80" s="175">
        <f t="shared" si="22"/>
        <v>57.02</v>
      </c>
      <c r="X80" s="64">
        <f t="shared" si="23"/>
        <v>58</v>
      </c>
      <c r="Y80" s="206">
        <f t="shared" si="24"/>
        <v>1.7186951946685319E-2</v>
      </c>
      <c r="Z80" s="84">
        <f>M$16</f>
        <v>70.638000000000005</v>
      </c>
      <c r="AA80" s="64">
        <f t="shared" si="25"/>
        <v>75</v>
      </c>
      <c r="AB80" s="216">
        <f t="shared" si="26"/>
        <v>6.175146521702192E-2</v>
      </c>
      <c r="AC80" s="78">
        <f t="shared" si="27"/>
        <v>75.808500000000009</v>
      </c>
      <c r="AD80" s="64">
        <f t="shared" si="28"/>
        <v>73</v>
      </c>
      <c r="AE80" s="206">
        <f t="shared" si="29"/>
        <v>3.7047296807086398E-2</v>
      </c>
      <c r="AF80" s="84">
        <f t="shared" si="30"/>
        <v>80.645840000000007</v>
      </c>
      <c r="AG80" s="64">
        <f t="shared" si="31"/>
        <v>83</v>
      </c>
      <c r="AH80" s="216">
        <f t="shared" si="32"/>
        <v>2.9191338325696564E-2</v>
      </c>
      <c r="AI80" s="64">
        <f t="shared" si="33"/>
        <v>573.78</v>
      </c>
      <c r="AJ80" s="64">
        <f t="shared" si="34"/>
        <v>550</v>
      </c>
      <c r="AK80" s="207">
        <f t="shared" si="35"/>
        <v>4.1444456063299474E-2</v>
      </c>
      <c r="AL80" s="210">
        <f t="shared" si="36"/>
        <v>50</v>
      </c>
      <c r="AM80" s="42">
        <f t="shared" si="37"/>
        <v>47.7</v>
      </c>
      <c r="AN80" s="207">
        <f t="shared" si="38"/>
        <v>4.5999999999999944E-2</v>
      </c>
      <c r="AQ80" s="30"/>
    </row>
    <row r="81" spans="1:43" x14ac:dyDescent="0.3">
      <c r="A81" s="5"/>
      <c r="B81" s="5"/>
      <c r="C81" s="5"/>
      <c r="D81" s="5"/>
      <c r="E81" s="5"/>
      <c r="F81" s="5"/>
      <c r="G81" s="5"/>
      <c r="H81" s="5"/>
      <c r="I81" s="5"/>
      <c r="J81" s="5"/>
      <c r="K81" s="5"/>
      <c r="S81" s="749"/>
      <c r="T81" s="862"/>
      <c r="U81" s="44" t="s">
        <v>98</v>
      </c>
      <c r="V81" s="143">
        <f t="shared" si="39"/>
        <v>14</v>
      </c>
      <c r="W81" s="175">
        <f t="shared" si="22"/>
        <v>57.02</v>
      </c>
      <c r="X81" s="64">
        <f t="shared" si="23"/>
        <v>59</v>
      </c>
      <c r="Y81" s="206">
        <f t="shared" si="24"/>
        <v>3.4724658014731617E-2</v>
      </c>
      <c r="Z81" s="84">
        <f>M$16</f>
        <v>70.638000000000005</v>
      </c>
      <c r="AA81" s="64">
        <f t="shared" si="25"/>
        <v>74</v>
      </c>
      <c r="AB81" s="216">
        <f t="shared" si="26"/>
        <v>4.7594779014128293E-2</v>
      </c>
      <c r="AC81" s="78">
        <f t="shared" si="27"/>
        <v>75.808500000000009</v>
      </c>
      <c r="AD81" s="64">
        <f t="shared" si="28"/>
        <v>73</v>
      </c>
      <c r="AE81" s="206">
        <f t="shared" si="29"/>
        <v>3.7047296807086398E-2</v>
      </c>
      <c r="AF81" s="84">
        <f t="shared" si="30"/>
        <v>80.645840000000007</v>
      </c>
      <c r="AG81" s="64">
        <f t="shared" si="31"/>
        <v>84</v>
      </c>
      <c r="AH81" s="216">
        <f t="shared" si="32"/>
        <v>4.1591233968174837E-2</v>
      </c>
      <c r="AI81" s="64">
        <f t="shared" si="33"/>
        <v>573.78</v>
      </c>
      <c r="AJ81" s="64">
        <f t="shared" si="34"/>
        <v>548</v>
      </c>
      <c r="AK81" s="207">
        <f t="shared" si="35"/>
        <v>4.4930112586705657E-2</v>
      </c>
      <c r="AL81" s="175">
        <f t="shared" si="36"/>
        <v>50</v>
      </c>
      <c r="AM81" s="64">
        <f t="shared" si="37"/>
        <v>47.7</v>
      </c>
      <c r="AN81" s="207">
        <f t="shared" si="38"/>
        <v>4.5999999999999944E-2</v>
      </c>
      <c r="AQ81" s="31"/>
    </row>
    <row r="82" spans="1:43" x14ac:dyDescent="0.3">
      <c r="A82" s="5"/>
      <c r="B82" s="5"/>
      <c r="C82" s="5"/>
      <c r="D82" s="5"/>
      <c r="E82" s="5"/>
      <c r="F82" s="5"/>
      <c r="G82" s="5"/>
      <c r="H82" s="5"/>
      <c r="I82" s="5"/>
      <c r="J82" s="5"/>
      <c r="K82" s="5"/>
      <c r="S82" s="749"/>
      <c r="T82" s="863"/>
      <c r="U82" s="48" t="s">
        <v>104</v>
      </c>
      <c r="V82" s="144">
        <f t="shared" si="39"/>
        <v>15</v>
      </c>
      <c r="W82" s="175">
        <f t="shared" si="22"/>
        <v>57.02</v>
      </c>
      <c r="X82" s="64">
        <f t="shared" si="23"/>
        <v>60</v>
      </c>
      <c r="Y82" s="206">
        <f t="shared" si="24"/>
        <v>5.2262364082777915E-2</v>
      </c>
      <c r="Z82" s="84">
        <f>M$16</f>
        <v>70.638000000000005</v>
      </c>
      <c r="AA82" s="64">
        <f t="shared" si="25"/>
        <v>75</v>
      </c>
      <c r="AB82" s="216">
        <f t="shared" si="26"/>
        <v>6.175146521702192E-2</v>
      </c>
      <c r="AC82" s="78">
        <f t="shared" si="27"/>
        <v>75.808500000000009</v>
      </c>
      <c r="AD82" s="64">
        <f t="shared" si="28"/>
        <v>73</v>
      </c>
      <c r="AE82" s="206">
        <f t="shared" si="29"/>
        <v>3.7047296807086398E-2</v>
      </c>
      <c r="AF82" s="84">
        <f t="shared" si="30"/>
        <v>80.645840000000007</v>
      </c>
      <c r="AG82" s="64">
        <f t="shared" si="31"/>
        <v>86</v>
      </c>
      <c r="AH82" s="216">
        <f t="shared" si="32"/>
        <v>6.6391025253131383E-2</v>
      </c>
      <c r="AI82" s="64">
        <f t="shared" si="33"/>
        <v>573.78</v>
      </c>
      <c r="AJ82" s="64">
        <f t="shared" si="34"/>
        <v>549</v>
      </c>
      <c r="AK82" s="207">
        <f t="shared" si="35"/>
        <v>4.3187284325002566E-2</v>
      </c>
      <c r="AL82" s="213">
        <f t="shared" si="36"/>
        <v>50</v>
      </c>
      <c r="AM82" s="50">
        <f t="shared" si="37"/>
        <v>57</v>
      </c>
      <c r="AN82" s="207">
        <f t="shared" si="38"/>
        <v>0.14000000000000001</v>
      </c>
      <c r="AQ82" s="30"/>
    </row>
    <row r="83" spans="1:43" x14ac:dyDescent="0.3">
      <c r="A83" s="5"/>
      <c r="B83" s="5"/>
      <c r="C83" s="5"/>
      <c r="D83" s="5"/>
      <c r="E83" s="5"/>
      <c r="F83" s="5"/>
      <c r="G83" s="5"/>
      <c r="H83" s="5"/>
      <c r="I83" s="5"/>
      <c r="J83" s="5"/>
      <c r="K83" s="5"/>
      <c r="S83" s="749"/>
      <c r="T83" s="861" t="s">
        <v>73</v>
      </c>
      <c r="U83" s="47" t="s">
        <v>110</v>
      </c>
      <c r="V83" s="143">
        <f t="shared" si="39"/>
        <v>16</v>
      </c>
      <c r="W83" s="210">
        <f t="shared" si="22"/>
        <v>57.02</v>
      </c>
      <c r="X83" s="42">
        <f t="shared" si="23"/>
        <v>64</v>
      </c>
      <c r="Y83" s="211">
        <f t="shared" si="24"/>
        <v>0.12241318835496311</v>
      </c>
      <c r="Z83" s="83">
        <f>M$17</f>
        <v>68.635000000000005</v>
      </c>
      <c r="AA83" s="42">
        <f t="shared" si="25"/>
        <v>69</v>
      </c>
      <c r="AB83" s="217">
        <f t="shared" si="26"/>
        <v>5.3179864500618465E-3</v>
      </c>
      <c r="AC83" s="57">
        <f t="shared" si="27"/>
        <v>75.808500000000009</v>
      </c>
      <c r="AD83" s="42">
        <f t="shared" si="28"/>
        <v>73</v>
      </c>
      <c r="AE83" s="211">
        <f t="shared" si="29"/>
        <v>3.7047296807086398E-2</v>
      </c>
      <c r="AF83" s="83">
        <f t="shared" si="30"/>
        <v>80.645840000000007</v>
      </c>
      <c r="AG83" s="42">
        <f t="shared" si="31"/>
        <v>84</v>
      </c>
      <c r="AH83" s="217">
        <f t="shared" si="32"/>
        <v>4.1591233968174837E-2</v>
      </c>
      <c r="AI83" s="42">
        <f t="shared" si="33"/>
        <v>573.78</v>
      </c>
      <c r="AJ83" s="42">
        <f t="shared" si="34"/>
        <v>558</v>
      </c>
      <c r="AK83" s="212">
        <f t="shared" si="35"/>
        <v>2.7501829969674742E-2</v>
      </c>
      <c r="AL83" s="175">
        <f t="shared" si="36"/>
        <v>50</v>
      </c>
      <c r="AM83" s="64">
        <f t="shared" si="37"/>
        <v>48</v>
      </c>
      <c r="AN83" s="212">
        <f t="shared" si="38"/>
        <v>0.04</v>
      </c>
      <c r="AQ83" s="31"/>
    </row>
    <row r="84" spans="1:43" ht="14.4" customHeight="1" x14ac:dyDescent="0.3">
      <c r="A84" s="5"/>
      <c r="B84" s="5"/>
      <c r="C84" s="5"/>
      <c r="D84" s="5"/>
      <c r="E84" s="5"/>
      <c r="F84" s="5"/>
      <c r="G84" s="5"/>
      <c r="H84" s="5"/>
      <c r="I84" s="5"/>
      <c r="J84" s="5"/>
      <c r="K84" s="5"/>
      <c r="S84" s="749"/>
      <c r="T84" s="862"/>
      <c r="U84" s="44" t="s">
        <v>68</v>
      </c>
      <c r="V84" s="143">
        <f t="shared" si="39"/>
        <v>17</v>
      </c>
      <c r="W84" s="175">
        <f t="shared" si="22"/>
        <v>57.02</v>
      </c>
      <c r="X84" s="64">
        <f t="shared" si="23"/>
        <v>61</v>
      </c>
      <c r="Y84" s="206">
        <f t="shared" si="24"/>
        <v>6.980007015082422E-2</v>
      </c>
      <c r="Z84" s="84">
        <f>M$17</f>
        <v>68.635000000000005</v>
      </c>
      <c r="AA84" s="64">
        <f t="shared" si="25"/>
        <v>66</v>
      </c>
      <c r="AB84" s="216">
        <f t="shared" si="26"/>
        <v>3.8391491221679973E-2</v>
      </c>
      <c r="AC84" s="78">
        <f t="shared" si="27"/>
        <v>75.808500000000009</v>
      </c>
      <c r="AD84" s="64">
        <f t="shared" si="28"/>
        <v>73</v>
      </c>
      <c r="AE84" s="206">
        <f t="shared" si="29"/>
        <v>3.7047296807086398E-2</v>
      </c>
      <c r="AF84" s="84">
        <f t="shared" si="30"/>
        <v>80.645840000000007</v>
      </c>
      <c r="AG84" s="64">
        <f t="shared" si="31"/>
        <v>83</v>
      </c>
      <c r="AH84" s="216">
        <f t="shared" si="32"/>
        <v>2.9191338325696564E-2</v>
      </c>
      <c r="AI84" s="64">
        <f t="shared" si="33"/>
        <v>573.78</v>
      </c>
      <c r="AJ84" s="64">
        <f t="shared" si="34"/>
        <v>549</v>
      </c>
      <c r="AK84" s="207">
        <f t="shared" si="35"/>
        <v>4.3187284325002566E-2</v>
      </c>
      <c r="AL84" s="175">
        <f t="shared" si="36"/>
        <v>50</v>
      </c>
      <c r="AM84" s="64">
        <f t="shared" si="37"/>
        <v>47.5</v>
      </c>
      <c r="AN84" s="207">
        <f t="shared" si="38"/>
        <v>0.05</v>
      </c>
      <c r="AQ84" s="31"/>
    </row>
    <row r="85" spans="1:43" x14ac:dyDescent="0.3">
      <c r="A85" s="5"/>
      <c r="B85" s="5"/>
      <c r="C85" s="5"/>
      <c r="D85" s="5"/>
      <c r="E85" s="5"/>
      <c r="F85" s="5"/>
      <c r="G85" s="5"/>
      <c r="H85" s="5"/>
      <c r="I85" s="5"/>
      <c r="J85" s="5"/>
      <c r="K85" s="5"/>
      <c r="S85" s="750"/>
      <c r="T85" s="863"/>
      <c r="U85" s="48" t="s">
        <v>69</v>
      </c>
      <c r="V85" s="143">
        <f t="shared" si="39"/>
        <v>18</v>
      </c>
      <c r="W85" s="213">
        <f t="shared" si="22"/>
        <v>57.02</v>
      </c>
      <c r="X85" s="50">
        <f t="shared" si="23"/>
        <v>64</v>
      </c>
      <c r="Y85" s="214">
        <f t="shared" si="24"/>
        <v>0.12241318835496311</v>
      </c>
      <c r="Z85" s="85">
        <f>M$17</f>
        <v>68.635000000000005</v>
      </c>
      <c r="AA85" s="50">
        <f t="shared" si="25"/>
        <v>73</v>
      </c>
      <c r="AB85" s="218">
        <f t="shared" si="26"/>
        <v>6.3597290012384275E-2</v>
      </c>
      <c r="AC85" s="58">
        <f t="shared" si="27"/>
        <v>75.808500000000009</v>
      </c>
      <c r="AD85" s="50">
        <f t="shared" si="28"/>
        <v>88</v>
      </c>
      <c r="AE85" s="214">
        <f t="shared" si="29"/>
        <v>0.16081969699967669</v>
      </c>
      <c r="AF85" s="85">
        <f t="shared" si="30"/>
        <v>80.645840000000007</v>
      </c>
      <c r="AG85" s="50">
        <f t="shared" si="31"/>
        <v>85</v>
      </c>
      <c r="AH85" s="218">
        <f t="shared" si="32"/>
        <v>5.399112961065311E-2</v>
      </c>
      <c r="AI85" s="50">
        <f t="shared" si="33"/>
        <v>573.78</v>
      </c>
      <c r="AJ85" s="50">
        <f t="shared" si="34"/>
        <v>547</v>
      </c>
      <c r="AK85" s="215">
        <f t="shared" si="35"/>
        <v>4.6672940848408749E-2</v>
      </c>
      <c r="AL85" s="175">
        <f t="shared" si="36"/>
        <v>50</v>
      </c>
      <c r="AM85" s="64">
        <f t="shared" si="37"/>
        <v>48.2</v>
      </c>
      <c r="AN85" s="215">
        <f t="shared" si="38"/>
        <v>3.5999999999999942E-2</v>
      </c>
      <c r="AQ85" s="31"/>
    </row>
    <row r="86" spans="1:43" ht="13.2" customHeight="1" x14ac:dyDescent="0.3">
      <c r="A86" s="5"/>
      <c r="B86" s="5"/>
      <c r="C86" s="5"/>
      <c r="D86" s="5"/>
      <c r="E86" s="5"/>
      <c r="F86" s="5"/>
      <c r="G86" s="5"/>
      <c r="H86" s="5"/>
      <c r="I86" s="5"/>
      <c r="J86" s="5"/>
      <c r="K86" s="5"/>
      <c r="S86" s="749" t="s">
        <v>33</v>
      </c>
      <c r="T86" s="861" t="s">
        <v>10</v>
      </c>
      <c r="U86" s="47" t="s">
        <v>70</v>
      </c>
      <c r="V86" s="142">
        <f t="shared" si="39"/>
        <v>19</v>
      </c>
      <c r="W86" s="175">
        <f t="shared" si="22"/>
        <v>57.02</v>
      </c>
      <c r="X86" s="64">
        <f t="shared" si="23"/>
        <v>58</v>
      </c>
      <c r="Y86" s="206">
        <f t="shared" si="24"/>
        <v>1.7186951946685319E-2</v>
      </c>
      <c r="Z86" s="84">
        <f>M$12</f>
        <v>64.628</v>
      </c>
      <c r="AA86" s="64">
        <f t="shared" si="25"/>
        <v>66</v>
      </c>
      <c r="AB86" s="216">
        <f t="shared" si="26"/>
        <v>2.1229188586990157E-2</v>
      </c>
      <c r="AC86" s="78">
        <f t="shared" si="27"/>
        <v>75.808500000000009</v>
      </c>
      <c r="AD86" s="64">
        <f t="shared" si="28"/>
        <v>70</v>
      </c>
      <c r="AE86" s="206">
        <f t="shared" si="29"/>
        <v>7.6620695568439007E-2</v>
      </c>
      <c r="AF86" s="84">
        <f t="shared" si="30"/>
        <v>80.645840000000007</v>
      </c>
      <c r="AG86" s="64">
        <f t="shared" si="31"/>
        <v>81</v>
      </c>
      <c r="AH86" s="216">
        <f t="shared" si="32"/>
        <v>4.3915470407400198E-3</v>
      </c>
      <c r="AI86" s="64">
        <f t="shared" si="33"/>
        <v>573.78</v>
      </c>
      <c r="AJ86" s="64">
        <f t="shared" si="34"/>
        <v>549</v>
      </c>
      <c r="AK86" s="207">
        <f t="shared" si="35"/>
        <v>4.3187284325002566E-2</v>
      </c>
      <c r="AL86" s="210">
        <f t="shared" si="36"/>
        <v>50</v>
      </c>
      <c r="AM86" s="42">
        <f t="shared" si="37"/>
        <v>47.5</v>
      </c>
      <c r="AN86" s="207">
        <f t="shared" si="38"/>
        <v>0.05</v>
      </c>
      <c r="AQ86" s="5"/>
    </row>
    <row r="87" spans="1:43" ht="16.2" customHeight="1" x14ac:dyDescent="0.3">
      <c r="A87" s="5"/>
      <c r="B87" s="5"/>
      <c r="C87" s="5"/>
      <c r="D87" s="5"/>
      <c r="E87" s="5"/>
      <c r="F87" s="5"/>
      <c r="G87" s="5"/>
      <c r="H87" s="5"/>
      <c r="I87" s="5"/>
      <c r="J87" s="5"/>
      <c r="K87" s="5"/>
      <c r="S87" s="749"/>
      <c r="T87" s="862"/>
      <c r="U87" s="44" t="s">
        <v>87</v>
      </c>
      <c r="V87" s="143">
        <f t="shared" si="39"/>
        <v>20</v>
      </c>
      <c r="W87" s="175">
        <f t="shared" si="22"/>
        <v>57.02</v>
      </c>
      <c r="X87" s="64">
        <f t="shared" si="23"/>
        <v>60</v>
      </c>
      <c r="Y87" s="206">
        <f t="shared" si="24"/>
        <v>5.2262364082777915E-2</v>
      </c>
      <c r="Z87" s="84">
        <f>M$12</f>
        <v>64.628</v>
      </c>
      <c r="AA87" s="64">
        <f t="shared" si="25"/>
        <v>65</v>
      </c>
      <c r="AB87" s="216">
        <f t="shared" si="26"/>
        <v>5.7560190629448518E-3</v>
      </c>
      <c r="AC87" s="78">
        <f t="shared" si="27"/>
        <v>75.808500000000009</v>
      </c>
      <c r="AD87" s="64">
        <f t="shared" si="28"/>
        <v>70</v>
      </c>
      <c r="AE87" s="206">
        <f t="shared" si="29"/>
        <v>7.6620695568439007E-2</v>
      </c>
      <c r="AF87" s="84">
        <f t="shared" si="30"/>
        <v>80.645840000000007</v>
      </c>
      <c r="AG87" s="64">
        <f t="shared" si="31"/>
        <v>82</v>
      </c>
      <c r="AH87" s="216">
        <f t="shared" si="32"/>
        <v>1.6791442683218291E-2</v>
      </c>
      <c r="AI87" s="64">
        <f t="shared" si="33"/>
        <v>573.78</v>
      </c>
      <c r="AJ87" s="64">
        <f t="shared" si="34"/>
        <v>550</v>
      </c>
      <c r="AK87" s="207">
        <f t="shared" si="35"/>
        <v>4.1444456063299474E-2</v>
      </c>
      <c r="AL87" s="175">
        <f t="shared" si="36"/>
        <v>50</v>
      </c>
      <c r="AM87" s="64">
        <f t="shared" si="37"/>
        <v>47.9</v>
      </c>
      <c r="AN87" s="207">
        <f t="shared" si="38"/>
        <v>4.200000000000003E-2</v>
      </c>
      <c r="AQ87" s="5"/>
    </row>
    <row r="88" spans="1:43" x14ac:dyDescent="0.3">
      <c r="A88" s="5"/>
      <c r="B88" s="5"/>
      <c r="C88" s="5"/>
      <c r="D88" s="5"/>
      <c r="E88" s="5"/>
      <c r="F88" s="5"/>
      <c r="G88" s="5"/>
      <c r="H88" s="5"/>
      <c r="I88" s="5"/>
      <c r="J88" s="5"/>
      <c r="K88" s="5"/>
      <c r="S88" s="749"/>
      <c r="T88" s="863"/>
      <c r="U88" s="48" t="s">
        <v>92</v>
      </c>
      <c r="V88" s="144">
        <f t="shared" si="39"/>
        <v>21</v>
      </c>
      <c r="W88" s="175">
        <f t="shared" si="22"/>
        <v>57.02</v>
      </c>
      <c r="X88" s="64">
        <f t="shared" si="23"/>
        <v>64</v>
      </c>
      <c r="Y88" s="206">
        <f t="shared" si="24"/>
        <v>0.12241318835496311</v>
      </c>
      <c r="Z88" s="84">
        <f>M$12</f>
        <v>64.628</v>
      </c>
      <c r="AA88" s="64">
        <f t="shared" si="25"/>
        <v>63</v>
      </c>
      <c r="AB88" s="216">
        <f t="shared" si="26"/>
        <v>2.5190319985145759E-2</v>
      </c>
      <c r="AC88" s="78">
        <f t="shared" si="27"/>
        <v>75.808500000000009</v>
      </c>
      <c r="AD88" s="64">
        <f t="shared" si="28"/>
        <v>75</v>
      </c>
      <c r="AE88" s="206">
        <f t="shared" si="29"/>
        <v>1.0665030966184652E-2</v>
      </c>
      <c r="AF88" s="84">
        <f t="shared" si="30"/>
        <v>80.645840000000007</v>
      </c>
      <c r="AG88" s="64">
        <f t="shared" si="31"/>
        <v>82</v>
      </c>
      <c r="AH88" s="216">
        <f t="shared" si="32"/>
        <v>1.6791442683218291E-2</v>
      </c>
      <c r="AI88" s="64">
        <f t="shared" si="33"/>
        <v>573.78</v>
      </c>
      <c r="AJ88" s="64">
        <f t="shared" si="34"/>
        <v>547</v>
      </c>
      <c r="AK88" s="207">
        <f t="shared" si="35"/>
        <v>4.6672940848408749E-2</v>
      </c>
      <c r="AL88" s="213">
        <f t="shared" si="36"/>
        <v>50</v>
      </c>
      <c r="AM88" s="50">
        <f t="shared" si="37"/>
        <v>47.9</v>
      </c>
      <c r="AN88" s="207">
        <f t="shared" si="38"/>
        <v>4.200000000000003E-2</v>
      </c>
      <c r="AQ88" s="34"/>
    </row>
    <row r="89" spans="1:43" x14ac:dyDescent="0.3">
      <c r="A89" s="5"/>
      <c r="B89" s="5"/>
      <c r="C89" s="5"/>
      <c r="D89" s="5"/>
      <c r="E89" s="5"/>
      <c r="F89" s="5"/>
      <c r="G89" s="5"/>
      <c r="H89" s="5"/>
      <c r="I89" s="5"/>
      <c r="J89" s="5"/>
      <c r="K89" s="5"/>
      <c r="S89" s="749"/>
      <c r="T89" s="861" t="s">
        <v>13</v>
      </c>
      <c r="U89" s="47" t="s">
        <v>97</v>
      </c>
      <c r="V89" s="143">
        <f t="shared" si="39"/>
        <v>22</v>
      </c>
      <c r="W89" s="210">
        <f t="shared" si="22"/>
        <v>57.02</v>
      </c>
      <c r="X89" s="42">
        <f t="shared" si="23"/>
        <v>61</v>
      </c>
      <c r="Y89" s="211">
        <f t="shared" si="24"/>
        <v>6.980007015082422E-2</v>
      </c>
      <c r="Z89" s="83">
        <f>M$13</f>
        <v>69.23</v>
      </c>
      <c r="AA89" s="42">
        <f t="shared" si="25"/>
        <v>70</v>
      </c>
      <c r="AB89" s="217">
        <f t="shared" si="26"/>
        <v>1.1122345803842207E-2</v>
      </c>
      <c r="AC89" s="57">
        <f t="shared" si="27"/>
        <v>75.808500000000009</v>
      </c>
      <c r="AD89" s="42">
        <f t="shared" si="28"/>
        <v>69</v>
      </c>
      <c r="AE89" s="211">
        <f t="shared" si="29"/>
        <v>8.9811828488889883E-2</v>
      </c>
      <c r="AF89" s="83">
        <f t="shared" si="30"/>
        <v>80.645840000000007</v>
      </c>
      <c r="AG89" s="42">
        <f t="shared" si="31"/>
        <v>83</v>
      </c>
      <c r="AH89" s="217">
        <f t="shared" si="32"/>
        <v>2.9191338325696564E-2</v>
      </c>
      <c r="AI89" s="42">
        <f t="shared" si="33"/>
        <v>573.78</v>
      </c>
      <c r="AJ89" s="42">
        <f t="shared" si="34"/>
        <v>560</v>
      </c>
      <c r="AK89" s="212">
        <f t="shared" si="35"/>
        <v>2.4016173446268559E-2</v>
      </c>
      <c r="AL89" s="175">
        <f t="shared" si="36"/>
        <v>50</v>
      </c>
      <c r="AM89" s="64">
        <f t="shared" si="37"/>
        <v>47.9</v>
      </c>
      <c r="AN89" s="212">
        <f t="shared" si="38"/>
        <v>4.200000000000003E-2</v>
      </c>
      <c r="AQ89" s="29"/>
    </row>
    <row r="90" spans="1:43" x14ac:dyDescent="0.3">
      <c r="A90" s="5"/>
      <c r="B90" s="5"/>
      <c r="C90" s="5"/>
      <c r="D90" s="5"/>
      <c r="E90" s="5"/>
      <c r="F90" s="40"/>
      <c r="G90" s="5"/>
      <c r="H90" s="5"/>
      <c r="I90" s="40"/>
      <c r="J90" s="5"/>
      <c r="K90" s="5"/>
      <c r="S90" s="749"/>
      <c r="T90" s="862"/>
      <c r="U90" s="44" t="s">
        <v>103</v>
      </c>
      <c r="V90" s="143">
        <f t="shared" si="39"/>
        <v>23</v>
      </c>
      <c r="W90" s="175">
        <f t="shared" si="22"/>
        <v>57.02</v>
      </c>
      <c r="X90" s="64">
        <f t="shared" si="23"/>
        <v>64</v>
      </c>
      <c r="Y90" s="206">
        <f t="shared" si="24"/>
        <v>0.12241318835496311</v>
      </c>
      <c r="Z90" s="84">
        <f>M$13</f>
        <v>69.23</v>
      </c>
      <c r="AA90" s="64">
        <f t="shared" si="25"/>
        <v>69</v>
      </c>
      <c r="AB90" s="216">
        <f t="shared" si="26"/>
        <v>3.3222591362126819E-3</v>
      </c>
      <c r="AC90" s="78">
        <f t="shared" si="27"/>
        <v>75.808500000000009</v>
      </c>
      <c r="AD90" s="64">
        <f t="shared" si="28"/>
        <v>70</v>
      </c>
      <c r="AE90" s="206">
        <f t="shared" si="29"/>
        <v>7.6620695568439007E-2</v>
      </c>
      <c r="AF90" s="84">
        <f t="shared" si="30"/>
        <v>80.645840000000007</v>
      </c>
      <c r="AG90" s="64">
        <f t="shared" si="31"/>
        <v>77</v>
      </c>
      <c r="AH90" s="216">
        <f t="shared" si="32"/>
        <v>4.5208035529173067E-2</v>
      </c>
      <c r="AI90" s="64">
        <f t="shared" si="33"/>
        <v>573.78</v>
      </c>
      <c r="AJ90" s="64">
        <f t="shared" si="34"/>
        <v>553</v>
      </c>
      <c r="AK90" s="207">
        <f t="shared" si="35"/>
        <v>3.62159712781902E-2</v>
      </c>
      <c r="AL90" s="175">
        <f t="shared" si="36"/>
        <v>50</v>
      </c>
      <c r="AM90" s="64">
        <f t="shared" si="37"/>
        <v>48.1</v>
      </c>
      <c r="AN90" s="207">
        <f t="shared" si="38"/>
        <v>3.7999999999999971E-2</v>
      </c>
      <c r="AQ90" s="34"/>
    </row>
    <row r="91" spans="1:43" x14ac:dyDescent="0.3">
      <c r="A91" s="5"/>
      <c r="B91" s="5"/>
      <c r="C91" s="5"/>
      <c r="D91" s="5"/>
      <c r="E91" s="5"/>
      <c r="F91" s="5"/>
      <c r="G91" s="5"/>
      <c r="H91" s="5"/>
      <c r="I91" s="5"/>
      <c r="J91" s="5"/>
      <c r="K91" s="5"/>
      <c r="S91" s="749"/>
      <c r="T91" s="863"/>
      <c r="U91" s="48" t="s">
        <v>109</v>
      </c>
      <c r="V91" s="143">
        <f t="shared" si="39"/>
        <v>24</v>
      </c>
      <c r="W91" s="213">
        <f t="shared" si="22"/>
        <v>57.02</v>
      </c>
      <c r="X91" s="50">
        <f t="shared" si="23"/>
        <v>64</v>
      </c>
      <c r="Y91" s="214">
        <f t="shared" si="24"/>
        <v>0.12241318835496311</v>
      </c>
      <c r="Z91" s="85">
        <f>M$13</f>
        <v>69.23</v>
      </c>
      <c r="AA91" s="50">
        <f t="shared" si="25"/>
        <v>69</v>
      </c>
      <c r="AB91" s="218">
        <f t="shared" si="26"/>
        <v>3.3222591362126819E-3</v>
      </c>
      <c r="AC91" s="58">
        <f t="shared" si="27"/>
        <v>75.808500000000009</v>
      </c>
      <c r="AD91" s="50">
        <f t="shared" si="28"/>
        <v>70</v>
      </c>
      <c r="AE91" s="214">
        <f t="shared" si="29"/>
        <v>7.6620695568439007E-2</v>
      </c>
      <c r="AF91" s="85">
        <f t="shared" si="30"/>
        <v>80.645840000000007</v>
      </c>
      <c r="AG91" s="50">
        <f t="shared" si="31"/>
        <v>82</v>
      </c>
      <c r="AH91" s="218">
        <f t="shared" si="32"/>
        <v>1.6791442683218291E-2</v>
      </c>
      <c r="AI91" s="50">
        <f t="shared" si="33"/>
        <v>573.78</v>
      </c>
      <c r="AJ91" s="50">
        <f t="shared" si="34"/>
        <v>554</v>
      </c>
      <c r="AK91" s="215">
        <f t="shared" si="35"/>
        <v>3.4473143016487108E-2</v>
      </c>
      <c r="AL91" s="175">
        <f t="shared" si="36"/>
        <v>50</v>
      </c>
      <c r="AM91" s="64">
        <f t="shared" si="37"/>
        <v>48.1</v>
      </c>
      <c r="AN91" s="215">
        <f t="shared" si="38"/>
        <v>3.7999999999999971E-2</v>
      </c>
      <c r="AQ91" s="34"/>
    </row>
    <row r="92" spans="1:43" x14ac:dyDescent="0.3">
      <c r="A92" s="5"/>
      <c r="B92" s="5"/>
      <c r="C92" s="5"/>
      <c r="D92" s="5"/>
      <c r="E92" s="5"/>
      <c r="F92" s="5"/>
      <c r="G92" s="5"/>
      <c r="H92" s="5"/>
      <c r="I92" s="5"/>
      <c r="J92" s="5"/>
      <c r="K92" s="5"/>
      <c r="S92" s="749"/>
      <c r="T92" s="861" t="s">
        <v>24</v>
      </c>
      <c r="U92" s="47" t="s">
        <v>65</v>
      </c>
      <c r="V92" s="142">
        <f t="shared" si="39"/>
        <v>25</v>
      </c>
      <c r="W92" s="175">
        <f t="shared" si="22"/>
        <v>57.02</v>
      </c>
      <c r="X92" s="64">
        <f t="shared" si="23"/>
        <v>64</v>
      </c>
      <c r="Y92" s="206">
        <f t="shared" si="24"/>
        <v>0.12241318835496311</v>
      </c>
      <c r="Z92" s="84">
        <f>M$14</f>
        <v>67.431000000000012</v>
      </c>
      <c r="AA92" s="64">
        <f t="shared" si="25"/>
        <v>68</v>
      </c>
      <c r="AB92" s="216">
        <f t="shared" si="26"/>
        <v>8.4382554018179821E-3</v>
      </c>
      <c r="AC92" s="78">
        <f t="shared" si="27"/>
        <v>75.808500000000009</v>
      </c>
      <c r="AD92" s="64">
        <f t="shared" si="28"/>
        <v>68</v>
      </c>
      <c r="AE92" s="206">
        <f t="shared" si="29"/>
        <v>0.10300296140934075</v>
      </c>
      <c r="AF92" s="84">
        <f t="shared" si="30"/>
        <v>80.645840000000007</v>
      </c>
      <c r="AG92" s="64">
        <f t="shared" si="31"/>
        <v>85</v>
      </c>
      <c r="AH92" s="216">
        <f t="shared" si="32"/>
        <v>5.399112961065311E-2</v>
      </c>
      <c r="AI92" s="64">
        <f t="shared" si="33"/>
        <v>573.78</v>
      </c>
      <c r="AJ92" s="64">
        <f t="shared" si="34"/>
        <v>552</v>
      </c>
      <c r="AK92" s="207">
        <f t="shared" si="35"/>
        <v>3.7958799539893291E-2</v>
      </c>
      <c r="AL92" s="210">
        <f t="shared" si="36"/>
        <v>50</v>
      </c>
      <c r="AM92" s="42">
        <f t="shared" si="37"/>
        <v>49.5</v>
      </c>
      <c r="AN92" s="207">
        <f t="shared" si="38"/>
        <v>0.01</v>
      </c>
      <c r="AQ92" s="10"/>
    </row>
    <row r="93" spans="1:43" x14ac:dyDescent="0.3">
      <c r="A93" s="5"/>
      <c r="B93" s="5"/>
      <c r="C93" s="5"/>
      <c r="D93" s="5"/>
      <c r="E93" s="5"/>
      <c r="F93" s="5"/>
      <c r="G93" s="5"/>
      <c r="H93" s="5"/>
      <c r="I93" s="5"/>
      <c r="J93" s="5"/>
      <c r="K93" s="5"/>
      <c r="S93" s="749"/>
      <c r="T93" s="862"/>
      <c r="U93" s="44" t="s">
        <v>66</v>
      </c>
      <c r="V93" s="143">
        <f t="shared" si="39"/>
        <v>26</v>
      </c>
      <c r="W93" s="175">
        <f t="shared" si="22"/>
        <v>57.02</v>
      </c>
      <c r="X93" s="64">
        <f t="shared" si="23"/>
        <v>66</v>
      </c>
      <c r="Y93" s="206">
        <f t="shared" si="24"/>
        <v>0.1574886004910557</v>
      </c>
      <c r="Z93" s="84">
        <f>M$14</f>
        <v>67.431000000000012</v>
      </c>
      <c r="AA93" s="64">
        <f t="shared" si="25"/>
        <v>70</v>
      </c>
      <c r="AB93" s="216">
        <f t="shared" si="26"/>
        <v>3.8098204090106745E-2</v>
      </c>
      <c r="AC93" s="78">
        <f t="shared" si="27"/>
        <v>75.808500000000009</v>
      </c>
      <c r="AD93" s="64">
        <f t="shared" si="28"/>
        <v>70</v>
      </c>
      <c r="AE93" s="206">
        <f t="shared" si="29"/>
        <v>7.6620695568439007E-2</v>
      </c>
      <c r="AF93" s="84">
        <f t="shared" si="30"/>
        <v>80.645840000000007</v>
      </c>
      <c r="AG93" s="64">
        <f t="shared" si="31"/>
        <v>83</v>
      </c>
      <c r="AH93" s="216">
        <f t="shared" si="32"/>
        <v>2.9191338325696564E-2</v>
      </c>
      <c r="AI93" s="64">
        <f t="shared" si="33"/>
        <v>573.78</v>
      </c>
      <c r="AJ93" s="64">
        <f t="shared" si="34"/>
        <v>551</v>
      </c>
      <c r="AK93" s="207">
        <f t="shared" si="35"/>
        <v>3.9701627801596383E-2</v>
      </c>
      <c r="AL93" s="175">
        <f t="shared" si="36"/>
        <v>50</v>
      </c>
      <c r="AM93" s="64">
        <f t="shared" si="37"/>
        <v>48.2</v>
      </c>
      <c r="AN93" s="207">
        <f t="shared" si="38"/>
        <v>3.5999999999999942E-2</v>
      </c>
      <c r="AQ93" s="10"/>
    </row>
    <row r="94" spans="1:43" x14ac:dyDescent="0.3">
      <c r="A94" s="5"/>
      <c r="B94" s="5"/>
      <c r="C94" s="40"/>
      <c r="D94" s="5"/>
      <c r="E94" s="5"/>
      <c r="F94" s="5"/>
      <c r="G94" s="5"/>
      <c r="H94" s="5"/>
      <c r="I94" s="5"/>
      <c r="J94" s="5"/>
      <c r="K94" s="5"/>
      <c r="S94" s="749"/>
      <c r="T94" s="863"/>
      <c r="U94" s="48" t="s">
        <v>67</v>
      </c>
      <c r="V94" s="144">
        <f t="shared" si="39"/>
        <v>27</v>
      </c>
      <c r="W94" s="175">
        <f t="shared" si="22"/>
        <v>57.02</v>
      </c>
      <c r="X94" s="64">
        <f t="shared" si="23"/>
        <v>66</v>
      </c>
      <c r="Y94" s="206">
        <f t="shared" si="24"/>
        <v>0.1574886004910557</v>
      </c>
      <c r="Z94" s="84">
        <f>M$14</f>
        <v>67.431000000000012</v>
      </c>
      <c r="AA94" s="64">
        <f t="shared" si="25"/>
        <v>71</v>
      </c>
      <c r="AB94" s="216">
        <f t="shared" si="26"/>
        <v>5.2928178434251127E-2</v>
      </c>
      <c r="AC94" s="78">
        <f t="shared" si="27"/>
        <v>75.808500000000009</v>
      </c>
      <c r="AD94" s="64">
        <f t="shared" si="28"/>
        <v>70</v>
      </c>
      <c r="AE94" s="206">
        <f t="shared" si="29"/>
        <v>7.6620695568439007E-2</v>
      </c>
      <c r="AF94" s="84">
        <f t="shared" si="30"/>
        <v>80.645840000000007</v>
      </c>
      <c r="AG94" s="64">
        <f t="shared" si="31"/>
        <v>84</v>
      </c>
      <c r="AH94" s="216">
        <f t="shared" si="32"/>
        <v>4.1591233968174837E-2</v>
      </c>
      <c r="AI94" s="64">
        <f t="shared" si="33"/>
        <v>573.78</v>
      </c>
      <c r="AJ94" s="64">
        <f t="shared" si="34"/>
        <v>553</v>
      </c>
      <c r="AK94" s="207">
        <f t="shared" si="35"/>
        <v>3.62159712781902E-2</v>
      </c>
      <c r="AL94" s="213">
        <f t="shared" si="36"/>
        <v>50</v>
      </c>
      <c r="AM94" s="50">
        <f t="shared" si="37"/>
        <v>47.5</v>
      </c>
      <c r="AN94" s="207">
        <f t="shared" si="38"/>
        <v>0.05</v>
      </c>
      <c r="AQ94" s="10"/>
    </row>
    <row r="95" spans="1:43" x14ac:dyDescent="0.3">
      <c r="C95" s="5"/>
      <c r="D95" s="5"/>
      <c r="E95" s="5"/>
      <c r="S95" s="749"/>
      <c r="T95" s="861" t="s">
        <v>25</v>
      </c>
      <c r="U95" s="47" t="s">
        <v>86</v>
      </c>
      <c r="V95" s="143">
        <f t="shared" si="39"/>
        <v>28</v>
      </c>
      <c r="W95" s="210">
        <f t="shared" si="22"/>
        <v>57.02</v>
      </c>
      <c r="X95" s="42">
        <f t="shared" si="23"/>
        <v>67</v>
      </c>
      <c r="Y95" s="211">
        <f t="shared" si="24"/>
        <v>0.17502630655910201</v>
      </c>
      <c r="Z95" s="83">
        <f>M$15</f>
        <v>68.635000000000005</v>
      </c>
      <c r="AA95" s="42">
        <f t="shared" si="25"/>
        <v>71</v>
      </c>
      <c r="AB95" s="217">
        <f t="shared" si="26"/>
        <v>3.445763823122306E-2</v>
      </c>
      <c r="AC95" s="57">
        <f t="shared" si="27"/>
        <v>75.808500000000009</v>
      </c>
      <c r="AD95" s="42">
        <f t="shared" si="28"/>
        <v>70</v>
      </c>
      <c r="AE95" s="211">
        <f t="shared" si="29"/>
        <v>7.6620695568439007E-2</v>
      </c>
      <c r="AF95" s="83">
        <f t="shared" si="30"/>
        <v>80.645840000000007</v>
      </c>
      <c r="AG95" s="42">
        <f t="shared" si="31"/>
        <v>86</v>
      </c>
      <c r="AH95" s="217">
        <f t="shared" si="32"/>
        <v>6.6391025253131383E-2</v>
      </c>
      <c r="AI95" s="42">
        <f t="shared" si="33"/>
        <v>573.78</v>
      </c>
      <c r="AJ95" s="42">
        <f t="shared" si="34"/>
        <v>552</v>
      </c>
      <c r="AK95" s="212">
        <f t="shared" si="35"/>
        <v>3.7958799539893291E-2</v>
      </c>
      <c r="AL95" s="175">
        <f t="shared" si="36"/>
        <v>50</v>
      </c>
      <c r="AM95" s="64">
        <f t="shared" si="37"/>
        <v>47.7</v>
      </c>
      <c r="AN95" s="212">
        <f t="shared" si="38"/>
        <v>4.5999999999999944E-2</v>
      </c>
      <c r="AQ95" s="10"/>
    </row>
    <row r="96" spans="1:43" x14ac:dyDescent="0.3">
      <c r="C96" s="5"/>
      <c r="D96" s="5"/>
      <c r="E96" s="5"/>
      <c r="S96" s="749"/>
      <c r="T96" s="862"/>
      <c r="U96" s="44" t="s">
        <v>91</v>
      </c>
      <c r="V96" s="143">
        <f t="shared" si="39"/>
        <v>29</v>
      </c>
      <c r="W96" s="175">
        <f t="shared" si="22"/>
        <v>57.02</v>
      </c>
      <c r="X96" s="64">
        <f t="shared" si="23"/>
        <v>70</v>
      </c>
      <c r="Y96" s="206">
        <f t="shared" si="24"/>
        <v>0.22763942476324089</v>
      </c>
      <c r="Z96" s="84">
        <f>M$15</f>
        <v>68.635000000000005</v>
      </c>
      <c r="AA96" s="64">
        <f t="shared" si="25"/>
        <v>72</v>
      </c>
      <c r="AB96" s="216">
        <f t="shared" si="26"/>
        <v>4.9027464121803664E-2</v>
      </c>
      <c r="AC96" s="78">
        <f t="shared" si="27"/>
        <v>75.808500000000009</v>
      </c>
      <c r="AD96" s="64">
        <f t="shared" si="28"/>
        <v>72</v>
      </c>
      <c r="AE96" s="206">
        <f t="shared" si="29"/>
        <v>5.0238429727537268E-2</v>
      </c>
      <c r="AF96" s="84">
        <f t="shared" si="30"/>
        <v>80.645840000000007</v>
      </c>
      <c r="AG96" s="64">
        <f t="shared" si="31"/>
        <v>85</v>
      </c>
      <c r="AH96" s="216">
        <f t="shared" si="32"/>
        <v>5.399112961065311E-2</v>
      </c>
      <c r="AI96" s="64">
        <f t="shared" si="33"/>
        <v>573.78</v>
      </c>
      <c r="AJ96" s="64">
        <f t="shared" si="34"/>
        <v>550</v>
      </c>
      <c r="AK96" s="207">
        <f t="shared" si="35"/>
        <v>4.1444456063299474E-2</v>
      </c>
      <c r="AL96" s="175">
        <f t="shared" si="36"/>
        <v>50</v>
      </c>
      <c r="AM96" s="64">
        <f t="shared" si="37"/>
        <v>48.8</v>
      </c>
      <c r="AN96" s="207">
        <f t="shared" si="38"/>
        <v>2.4000000000000056E-2</v>
      </c>
    </row>
    <row r="97" spans="3:76" x14ac:dyDescent="0.3">
      <c r="C97" s="5"/>
      <c r="D97" s="5"/>
      <c r="E97" s="5"/>
      <c r="S97" s="749"/>
      <c r="T97" s="863"/>
      <c r="U97" s="48" t="s">
        <v>96</v>
      </c>
      <c r="V97" s="143">
        <f t="shared" si="39"/>
        <v>30</v>
      </c>
      <c r="W97" s="213">
        <f t="shared" si="22"/>
        <v>57.02</v>
      </c>
      <c r="X97" s="50">
        <f t="shared" si="23"/>
        <v>69</v>
      </c>
      <c r="Y97" s="214">
        <f t="shared" si="24"/>
        <v>0.21010171869519459</v>
      </c>
      <c r="Z97" s="85">
        <f>M$15</f>
        <v>68.635000000000005</v>
      </c>
      <c r="AA97" s="50">
        <f t="shared" si="25"/>
        <v>66</v>
      </c>
      <c r="AB97" s="218">
        <f t="shared" si="26"/>
        <v>3.8391491221679973E-2</v>
      </c>
      <c r="AC97" s="58">
        <f t="shared" si="27"/>
        <v>75.808500000000009</v>
      </c>
      <c r="AD97" s="50">
        <f t="shared" si="28"/>
        <v>74</v>
      </c>
      <c r="AE97" s="214">
        <f t="shared" si="29"/>
        <v>2.3856163886635525E-2</v>
      </c>
      <c r="AF97" s="85">
        <f t="shared" si="30"/>
        <v>80.645840000000007</v>
      </c>
      <c r="AG97" s="50">
        <f t="shared" si="31"/>
        <v>84</v>
      </c>
      <c r="AH97" s="218">
        <f t="shared" si="32"/>
        <v>4.1591233968174837E-2</v>
      </c>
      <c r="AI97" s="50">
        <f t="shared" si="33"/>
        <v>573.78</v>
      </c>
      <c r="AJ97" s="50">
        <f t="shared" si="34"/>
        <v>552</v>
      </c>
      <c r="AK97" s="215">
        <f t="shared" si="35"/>
        <v>3.7958799539893291E-2</v>
      </c>
      <c r="AL97" s="175">
        <f t="shared" si="36"/>
        <v>50</v>
      </c>
      <c r="AM97" s="64">
        <f t="shared" si="37"/>
        <v>47.8</v>
      </c>
      <c r="AN97" s="215">
        <f t="shared" si="38"/>
        <v>4.400000000000006E-2</v>
      </c>
    </row>
    <row r="98" spans="3:76" x14ac:dyDescent="0.3">
      <c r="C98" s="5"/>
      <c r="D98" s="5"/>
      <c r="E98" s="5"/>
      <c r="S98" s="749"/>
      <c r="T98" s="861" t="s">
        <v>38</v>
      </c>
      <c r="U98" s="47" t="s">
        <v>102</v>
      </c>
      <c r="V98" s="142">
        <f t="shared" si="39"/>
        <v>31</v>
      </c>
      <c r="W98" s="175">
        <f t="shared" si="22"/>
        <v>57.02</v>
      </c>
      <c r="X98" s="64">
        <f t="shared" si="23"/>
        <v>68</v>
      </c>
      <c r="Y98" s="206">
        <f t="shared" si="24"/>
        <v>0.19256401262714831</v>
      </c>
      <c r="Z98" s="84">
        <f>M$16</f>
        <v>70.638000000000005</v>
      </c>
      <c r="AA98" s="64">
        <f t="shared" si="25"/>
        <v>76</v>
      </c>
      <c r="AB98" s="216">
        <f t="shared" si="26"/>
        <v>7.590815141991554E-2</v>
      </c>
      <c r="AC98" s="78">
        <f t="shared" si="27"/>
        <v>75.808500000000009</v>
      </c>
      <c r="AD98" s="64">
        <f t="shared" si="28"/>
        <v>79</v>
      </c>
      <c r="AE98" s="206">
        <f t="shared" si="29"/>
        <v>4.2099500715618833E-2</v>
      </c>
      <c r="AF98" s="84">
        <f t="shared" si="30"/>
        <v>80.645840000000007</v>
      </c>
      <c r="AG98" s="64">
        <f t="shared" si="31"/>
        <v>86</v>
      </c>
      <c r="AH98" s="216">
        <f t="shared" si="32"/>
        <v>6.6391025253131383E-2</v>
      </c>
      <c r="AI98" s="64">
        <f t="shared" si="33"/>
        <v>573.78</v>
      </c>
      <c r="AJ98" s="64">
        <f t="shared" si="34"/>
        <v>551</v>
      </c>
      <c r="AK98" s="207">
        <f t="shared" si="35"/>
        <v>3.9701627801596383E-2</v>
      </c>
      <c r="AL98" s="210">
        <f t="shared" si="36"/>
        <v>50</v>
      </c>
      <c r="AM98" s="42">
        <f t="shared" si="37"/>
        <v>48</v>
      </c>
      <c r="AN98" s="207">
        <f t="shared" si="38"/>
        <v>0.04</v>
      </c>
    </row>
    <row r="99" spans="3:76" x14ac:dyDescent="0.3">
      <c r="S99" s="749"/>
      <c r="T99" s="862"/>
      <c r="U99" s="44" t="s">
        <v>108</v>
      </c>
      <c r="V99" s="143">
        <f t="shared" si="39"/>
        <v>32</v>
      </c>
      <c r="W99" s="175">
        <f t="shared" si="22"/>
        <v>57.02</v>
      </c>
      <c r="X99" s="64">
        <f t="shared" si="23"/>
        <v>69</v>
      </c>
      <c r="Y99" s="206">
        <f t="shared" si="24"/>
        <v>0.21010171869519459</v>
      </c>
      <c r="Z99" s="84">
        <f>M$16</f>
        <v>70.638000000000005</v>
      </c>
      <c r="AA99" s="64">
        <f t="shared" si="25"/>
        <v>74</v>
      </c>
      <c r="AB99" s="216">
        <f t="shared" si="26"/>
        <v>4.7594779014128293E-2</v>
      </c>
      <c r="AC99" s="78">
        <f t="shared" si="27"/>
        <v>75.808500000000009</v>
      </c>
      <c r="AD99" s="64">
        <f t="shared" si="28"/>
        <v>80</v>
      </c>
      <c r="AE99" s="206">
        <f t="shared" si="29"/>
        <v>5.5290633636069703E-2</v>
      </c>
      <c r="AF99" s="84">
        <f t="shared" si="30"/>
        <v>80.645840000000007</v>
      </c>
      <c r="AG99" s="64">
        <f t="shared" si="31"/>
        <v>85</v>
      </c>
      <c r="AH99" s="216">
        <f t="shared" si="32"/>
        <v>5.399112961065311E-2</v>
      </c>
      <c r="AI99" s="64">
        <f t="shared" si="33"/>
        <v>573.78</v>
      </c>
      <c r="AJ99" s="64">
        <f t="shared" si="34"/>
        <v>552</v>
      </c>
      <c r="AK99" s="207">
        <f t="shared" si="35"/>
        <v>3.7958799539893291E-2</v>
      </c>
      <c r="AL99" s="175">
        <f t="shared" si="36"/>
        <v>50</v>
      </c>
      <c r="AM99" s="64">
        <f t="shared" si="37"/>
        <v>48.7</v>
      </c>
      <c r="AN99" s="207">
        <f t="shared" si="38"/>
        <v>2.5999999999999943E-2</v>
      </c>
    </row>
    <row r="100" spans="3:76" x14ac:dyDescent="0.3">
      <c r="S100" s="749"/>
      <c r="T100" s="863"/>
      <c r="U100" s="48" t="s">
        <v>62</v>
      </c>
      <c r="V100" s="144">
        <f t="shared" si="39"/>
        <v>33</v>
      </c>
      <c r="W100" s="175">
        <f t="shared" si="22"/>
        <v>57.02</v>
      </c>
      <c r="X100" s="64">
        <f t="shared" si="23"/>
        <v>69</v>
      </c>
      <c r="Y100" s="206">
        <f t="shared" si="24"/>
        <v>0.21010171869519459</v>
      </c>
      <c r="Z100" s="84">
        <f>M$16</f>
        <v>70.638000000000005</v>
      </c>
      <c r="AA100" s="64">
        <f t="shared" si="25"/>
        <v>78</v>
      </c>
      <c r="AB100" s="216">
        <f t="shared" si="26"/>
        <v>0.10422152382570279</v>
      </c>
      <c r="AC100" s="78">
        <f t="shared" si="27"/>
        <v>75.808500000000009</v>
      </c>
      <c r="AD100" s="64">
        <f t="shared" si="28"/>
        <v>80</v>
      </c>
      <c r="AE100" s="206">
        <f t="shared" si="29"/>
        <v>5.5290633636069703E-2</v>
      </c>
      <c r="AF100" s="84">
        <f t="shared" si="30"/>
        <v>80.645840000000007</v>
      </c>
      <c r="AG100" s="64">
        <f t="shared" si="31"/>
        <v>84</v>
      </c>
      <c r="AH100" s="216">
        <f t="shared" si="32"/>
        <v>4.1591233968174837E-2</v>
      </c>
      <c r="AI100" s="64">
        <f t="shared" si="33"/>
        <v>573.78</v>
      </c>
      <c r="AJ100" s="64">
        <f t="shared" si="34"/>
        <v>552</v>
      </c>
      <c r="AK100" s="207">
        <f t="shared" si="35"/>
        <v>3.7958799539893291E-2</v>
      </c>
      <c r="AL100" s="213">
        <f t="shared" si="36"/>
        <v>50</v>
      </c>
      <c r="AM100" s="50">
        <f t="shared" si="37"/>
        <v>66.099999999999994</v>
      </c>
      <c r="AN100" s="207">
        <f t="shared" si="38"/>
        <v>0.3219999999999999</v>
      </c>
    </row>
    <row r="101" spans="3:76" x14ac:dyDescent="0.3">
      <c r="S101" s="749"/>
      <c r="T101" s="861" t="s">
        <v>73</v>
      </c>
      <c r="U101" s="47" t="s">
        <v>63</v>
      </c>
      <c r="V101" s="143">
        <f t="shared" si="39"/>
        <v>34</v>
      </c>
      <c r="W101" s="210">
        <f t="shared" si="22"/>
        <v>57.02</v>
      </c>
      <c r="X101" s="42">
        <f t="shared" si="23"/>
        <v>69</v>
      </c>
      <c r="Y101" s="211">
        <f t="shared" si="24"/>
        <v>0.21010171869519459</v>
      </c>
      <c r="Z101" s="83">
        <f>M$17</f>
        <v>68.635000000000005</v>
      </c>
      <c r="AA101" s="42">
        <f t="shared" si="25"/>
        <v>66</v>
      </c>
      <c r="AB101" s="217">
        <f t="shared" si="26"/>
        <v>3.8391491221679973E-2</v>
      </c>
      <c r="AC101" s="57">
        <f t="shared" si="27"/>
        <v>75.808500000000009</v>
      </c>
      <c r="AD101" s="42">
        <f t="shared" si="28"/>
        <v>80</v>
      </c>
      <c r="AE101" s="211">
        <f t="shared" si="29"/>
        <v>5.5290633636069703E-2</v>
      </c>
      <c r="AF101" s="83">
        <f t="shared" si="30"/>
        <v>80.645840000000007</v>
      </c>
      <c r="AG101" s="42">
        <f t="shared" si="31"/>
        <v>85</v>
      </c>
      <c r="AH101" s="217">
        <f t="shared" si="32"/>
        <v>5.399112961065311E-2</v>
      </c>
      <c r="AI101" s="42">
        <f t="shared" si="33"/>
        <v>573.78</v>
      </c>
      <c r="AJ101" s="42">
        <f t="shared" si="34"/>
        <v>552</v>
      </c>
      <c r="AK101" s="212">
        <f t="shared" si="35"/>
        <v>3.7958799539893291E-2</v>
      </c>
      <c r="AL101" s="175">
        <f t="shared" si="36"/>
        <v>50</v>
      </c>
      <c r="AM101" s="64">
        <f t="shared" si="37"/>
        <v>47.8</v>
      </c>
      <c r="AN101" s="212">
        <f t="shared" si="38"/>
        <v>4.400000000000006E-2</v>
      </c>
    </row>
    <row r="102" spans="3:76" x14ac:dyDescent="0.3">
      <c r="S102" s="749"/>
      <c r="T102" s="862"/>
      <c r="U102" s="44" t="s">
        <v>64</v>
      </c>
      <c r="V102" s="143">
        <f t="shared" si="39"/>
        <v>35</v>
      </c>
      <c r="W102" s="175">
        <f t="shared" si="22"/>
        <v>57.02</v>
      </c>
      <c r="X102" s="64">
        <f t="shared" si="23"/>
        <v>69</v>
      </c>
      <c r="Y102" s="206">
        <f t="shared" si="24"/>
        <v>0.21010171869519459</v>
      </c>
      <c r="Z102" s="84">
        <f>M$17</f>
        <v>68.635000000000005</v>
      </c>
      <c r="AA102" s="64">
        <f t="shared" si="25"/>
        <v>67</v>
      </c>
      <c r="AB102" s="216">
        <f t="shared" si="26"/>
        <v>2.3821665331099365E-2</v>
      </c>
      <c r="AC102" s="78">
        <f t="shared" si="27"/>
        <v>75.808500000000009</v>
      </c>
      <c r="AD102" s="64">
        <f t="shared" si="28"/>
        <v>79</v>
      </c>
      <c r="AE102" s="206">
        <f t="shared" si="29"/>
        <v>4.2099500715618833E-2</v>
      </c>
      <c r="AF102" s="84">
        <f t="shared" si="30"/>
        <v>80.645840000000007</v>
      </c>
      <c r="AG102" s="64">
        <f t="shared" si="31"/>
        <v>86</v>
      </c>
      <c r="AH102" s="216">
        <f t="shared" si="32"/>
        <v>6.6391025253131383E-2</v>
      </c>
      <c r="AI102" s="64">
        <f t="shared" si="33"/>
        <v>573.78</v>
      </c>
      <c r="AJ102" s="64">
        <f t="shared" si="34"/>
        <v>550</v>
      </c>
      <c r="AK102" s="207">
        <f t="shared" si="35"/>
        <v>4.1444456063299474E-2</v>
      </c>
      <c r="AL102" s="175">
        <f t="shared" si="36"/>
        <v>50</v>
      </c>
      <c r="AM102" s="64">
        <f t="shared" si="37"/>
        <v>47.9</v>
      </c>
      <c r="AN102" s="207">
        <f t="shared" si="38"/>
        <v>4.200000000000003E-2</v>
      </c>
    </row>
    <row r="103" spans="3:76" x14ac:dyDescent="0.3">
      <c r="S103" s="749"/>
      <c r="T103" s="863"/>
      <c r="U103" s="48" t="s">
        <v>85</v>
      </c>
      <c r="V103" s="143">
        <f t="shared" si="39"/>
        <v>36</v>
      </c>
      <c r="W103" s="213">
        <f t="shared" si="22"/>
        <v>57.02</v>
      </c>
      <c r="X103" s="50">
        <f t="shared" si="23"/>
        <v>68</v>
      </c>
      <c r="Y103" s="214">
        <f t="shared" si="24"/>
        <v>0.19256401262714831</v>
      </c>
      <c r="Z103" s="85">
        <f>M$17</f>
        <v>68.635000000000005</v>
      </c>
      <c r="AA103" s="50">
        <f t="shared" si="25"/>
        <v>66</v>
      </c>
      <c r="AB103" s="218">
        <f t="shared" si="26"/>
        <v>3.8391491221679973E-2</v>
      </c>
      <c r="AC103" s="58">
        <f t="shared" si="27"/>
        <v>75.808500000000009</v>
      </c>
      <c r="AD103" s="50">
        <f t="shared" si="28"/>
        <v>80</v>
      </c>
      <c r="AE103" s="214">
        <f t="shared" si="29"/>
        <v>5.5290633636069703E-2</v>
      </c>
      <c r="AF103" s="85">
        <f t="shared" si="30"/>
        <v>80.645840000000007</v>
      </c>
      <c r="AG103" s="50">
        <f t="shared" si="31"/>
        <v>86</v>
      </c>
      <c r="AH103" s="218">
        <f t="shared" si="32"/>
        <v>6.6391025253131383E-2</v>
      </c>
      <c r="AI103" s="50">
        <f t="shared" si="33"/>
        <v>573.78</v>
      </c>
      <c r="AJ103" s="50">
        <f t="shared" si="34"/>
        <v>551</v>
      </c>
      <c r="AK103" s="215">
        <f t="shared" si="35"/>
        <v>3.9701627801596383E-2</v>
      </c>
      <c r="AL103" s="175">
        <f t="shared" si="36"/>
        <v>50</v>
      </c>
      <c r="AM103" s="64">
        <f t="shared" si="37"/>
        <v>47.9</v>
      </c>
      <c r="AN103" s="215">
        <f t="shared" si="38"/>
        <v>4.200000000000003E-2</v>
      </c>
      <c r="BW103" s="9"/>
      <c r="BX103" s="9"/>
    </row>
    <row r="104" spans="3:76" x14ac:dyDescent="0.3">
      <c r="S104" s="748" t="s">
        <v>72</v>
      </c>
      <c r="T104" s="861" t="s">
        <v>10</v>
      </c>
      <c r="U104" s="47" t="s">
        <v>90</v>
      </c>
      <c r="V104" s="142">
        <f t="shared" si="39"/>
        <v>37</v>
      </c>
      <c r="W104" s="175">
        <f t="shared" si="22"/>
        <v>57.02</v>
      </c>
      <c r="X104" s="64">
        <f t="shared" si="23"/>
        <v>71</v>
      </c>
      <c r="Y104" s="206">
        <f t="shared" si="24"/>
        <v>0.2451771308312872</v>
      </c>
      <c r="Z104" s="84">
        <f>M$12</f>
        <v>64.628</v>
      </c>
      <c r="AA104" s="64">
        <f t="shared" si="25"/>
        <v>65</v>
      </c>
      <c r="AB104" s="216">
        <f t="shared" si="26"/>
        <v>5.7560190629448518E-3</v>
      </c>
      <c r="AC104" s="78">
        <f t="shared" si="27"/>
        <v>75.808500000000009</v>
      </c>
      <c r="AD104" s="64">
        <f t="shared" si="28"/>
        <v>68</v>
      </c>
      <c r="AE104" s="206">
        <f t="shared" si="29"/>
        <v>0.10300296140934075</v>
      </c>
      <c r="AF104" s="84">
        <f t="shared" si="30"/>
        <v>80.645840000000007</v>
      </c>
      <c r="AG104" s="64">
        <f t="shared" si="31"/>
        <v>85</v>
      </c>
      <c r="AH104" s="216">
        <f t="shared" si="32"/>
        <v>5.399112961065311E-2</v>
      </c>
      <c r="AI104" s="64">
        <f t="shared" si="33"/>
        <v>573.78</v>
      </c>
      <c r="AJ104" s="64">
        <f t="shared" si="34"/>
        <v>551</v>
      </c>
      <c r="AK104" s="207">
        <f t="shared" si="35"/>
        <v>3.9701627801596383E-2</v>
      </c>
      <c r="AL104" s="210">
        <f t="shared" si="36"/>
        <v>50</v>
      </c>
      <c r="AM104" s="42">
        <f t="shared" si="37"/>
        <v>48.9</v>
      </c>
      <c r="AN104" s="207">
        <f t="shared" si="38"/>
        <v>2.200000000000003E-2</v>
      </c>
      <c r="BW104" s="9"/>
      <c r="BX104" s="9"/>
    </row>
    <row r="105" spans="3:76" x14ac:dyDescent="0.3">
      <c r="S105" s="749"/>
      <c r="T105" s="862"/>
      <c r="U105" s="44" t="s">
        <v>95</v>
      </c>
      <c r="V105" s="143">
        <f t="shared" si="39"/>
        <v>38</v>
      </c>
      <c r="W105" s="175">
        <f t="shared" si="22"/>
        <v>57.02</v>
      </c>
      <c r="X105" s="64">
        <f t="shared" si="23"/>
        <v>69</v>
      </c>
      <c r="Y105" s="206">
        <f t="shared" si="24"/>
        <v>0.21010171869519459</v>
      </c>
      <c r="Z105" s="84">
        <f>M$12</f>
        <v>64.628</v>
      </c>
      <c r="AA105" s="64">
        <f t="shared" si="25"/>
        <v>68</v>
      </c>
      <c r="AB105" s="216">
        <f t="shared" si="26"/>
        <v>5.2175527635080765E-2</v>
      </c>
      <c r="AC105" s="78">
        <f t="shared" si="27"/>
        <v>75.808500000000009</v>
      </c>
      <c r="AD105" s="64">
        <f t="shared" si="28"/>
        <v>70</v>
      </c>
      <c r="AE105" s="206">
        <f t="shared" si="29"/>
        <v>7.6620695568439007E-2</v>
      </c>
      <c r="AF105" s="84">
        <f t="shared" si="30"/>
        <v>80.645840000000007</v>
      </c>
      <c r="AG105" s="64">
        <f t="shared" si="31"/>
        <v>86</v>
      </c>
      <c r="AH105" s="216">
        <f t="shared" si="32"/>
        <v>6.6391025253131383E-2</v>
      </c>
      <c r="AI105" s="64">
        <f t="shared" si="33"/>
        <v>573.78</v>
      </c>
      <c r="AJ105" s="64">
        <f t="shared" si="34"/>
        <v>554</v>
      </c>
      <c r="AK105" s="207">
        <f t="shared" si="35"/>
        <v>3.4473143016487108E-2</v>
      </c>
      <c r="AL105" s="175">
        <f t="shared" si="36"/>
        <v>50</v>
      </c>
      <c r="AM105" s="64">
        <f t="shared" si="37"/>
        <v>48</v>
      </c>
      <c r="AN105" s="207">
        <f t="shared" si="38"/>
        <v>0.04</v>
      </c>
      <c r="BW105" s="9"/>
      <c r="BX105" s="9"/>
    </row>
    <row r="106" spans="3:76" x14ac:dyDescent="0.3">
      <c r="S106" s="749"/>
      <c r="T106" s="863"/>
      <c r="U106" s="48" t="s">
        <v>101</v>
      </c>
      <c r="V106" s="144">
        <f t="shared" si="39"/>
        <v>39</v>
      </c>
      <c r="W106" s="175">
        <f t="shared" si="22"/>
        <v>57.02</v>
      </c>
      <c r="X106" s="64">
        <f t="shared" si="23"/>
        <v>70</v>
      </c>
      <c r="Y106" s="206">
        <f t="shared" si="24"/>
        <v>0.22763942476324089</v>
      </c>
      <c r="Z106" s="84">
        <f>M$12</f>
        <v>64.628</v>
      </c>
      <c r="AA106" s="64">
        <f t="shared" si="25"/>
        <v>63</v>
      </c>
      <c r="AB106" s="216">
        <f t="shared" si="26"/>
        <v>2.5190319985145759E-2</v>
      </c>
      <c r="AC106" s="78">
        <f t="shared" si="27"/>
        <v>75.808500000000009</v>
      </c>
      <c r="AD106" s="64">
        <f t="shared" si="28"/>
        <v>68</v>
      </c>
      <c r="AE106" s="206">
        <f t="shared" si="29"/>
        <v>0.10300296140934075</v>
      </c>
      <c r="AF106" s="84">
        <f t="shared" si="30"/>
        <v>80.645840000000007</v>
      </c>
      <c r="AG106" s="64">
        <f t="shared" si="31"/>
        <v>85</v>
      </c>
      <c r="AH106" s="216">
        <f t="shared" si="32"/>
        <v>5.399112961065311E-2</v>
      </c>
      <c r="AI106" s="64">
        <f t="shared" si="33"/>
        <v>573.78</v>
      </c>
      <c r="AJ106" s="64">
        <f t="shared" si="34"/>
        <v>553</v>
      </c>
      <c r="AK106" s="207">
        <f t="shared" si="35"/>
        <v>3.62159712781902E-2</v>
      </c>
      <c r="AL106" s="213">
        <f t="shared" si="36"/>
        <v>50</v>
      </c>
      <c r="AM106" s="50">
        <f t="shared" si="37"/>
        <v>47.7</v>
      </c>
      <c r="AN106" s="207">
        <f t="shared" si="38"/>
        <v>4.5999999999999944E-2</v>
      </c>
      <c r="BW106" s="9"/>
      <c r="BX106" s="9"/>
    </row>
    <row r="107" spans="3:76" x14ac:dyDescent="0.3">
      <c r="S107" s="749"/>
      <c r="T107" s="861" t="s">
        <v>13</v>
      </c>
      <c r="U107" s="47" t="s">
        <v>107</v>
      </c>
      <c r="V107" s="143">
        <f t="shared" si="39"/>
        <v>40</v>
      </c>
      <c r="W107" s="210">
        <f t="shared" si="22"/>
        <v>57.02</v>
      </c>
      <c r="X107" s="42">
        <f t="shared" si="23"/>
        <v>70</v>
      </c>
      <c r="Y107" s="211">
        <f t="shared" si="24"/>
        <v>0.22763942476324089</v>
      </c>
      <c r="Z107" s="83">
        <f>M$13</f>
        <v>69.23</v>
      </c>
      <c r="AA107" s="42">
        <f t="shared" si="25"/>
        <v>70</v>
      </c>
      <c r="AB107" s="217">
        <f t="shared" si="26"/>
        <v>1.1122345803842207E-2</v>
      </c>
      <c r="AC107" s="57">
        <f t="shared" si="27"/>
        <v>75.808500000000009</v>
      </c>
      <c r="AD107" s="42">
        <f t="shared" si="28"/>
        <v>70</v>
      </c>
      <c r="AE107" s="211">
        <f t="shared" si="29"/>
        <v>7.6620695568439007E-2</v>
      </c>
      <c r="AF107" s="83">
        <f t="shared" si="30"/>
        <v>80.645840000000007</v>
      </c>
      <c r="AG107" s="42">
        <f t="shared" si="31"/>
        <v>84</v>
      </c>
      <c r="AH107" s="217">
        <f t="shared" si="32"/>
        <v>4.1591233968174837E-2</v>
      </c>
      <c r="AI107" s="42">
        <f t="shared" si="33"/>
        <v>573.78</v>
      </c>
      <c r="AJ107" s="42">
        <f t="shared" si="34"/>
        <v>554</v>
      </c>
      <c r="AK107" s="212">
        <f t="shared" si="35"/>
        <v>3.4473143016487108E-2</v>
      </c>
      <c r="AL107" s="175">
        <f t="shared" si="36"/>
        <v>50</v>
      </c>
      <c r="AM107" s="64">
        <f t="shared" si="37"/>
        <v>47.5</v>
      </c>
      <c r="AN107" s="212">
        <f t="shared" si="38"/>
        <v>0.05</v>
      </c>
      <c r="BW107" s="9"/>
      <c r="BX107" s="9"/>
    </row>
    <row r="108" spans="3:76" x14ac:dyDescent="0.3">
      <c r="S108" s="749"/>
      <c r="T108" s="862"/>
      <c r="U108" s="44" t="s">
        <v>59</v>
      </c>
      <c r="V108" s="143">
        <f t="shared" si="39"/>
        <v>41</v>
      </c>
      <c r="W108" s="175">
        <f t="shared" si="22"/>
        <v>57.02</v>
      </c>
      <c r="X108" s="64">
        <f t="shared" si="23"/>
        <v>71</v>
      </c>
      <c r="Y108" s="206">
        <f t="shared" si="24"/>
        <v>0.2451771308312872</v>
      </c>
      <c r="Z108" s="84">
        <f>M$13</f>
        <v>69.23</v>
      </c>
      <c r="AA108" s="64">
        <f t="shared" si="25"/>
        <v>68</v>
      </c>
      <c r="AB108" s="216">
        <f t="shared" si="26"/>
        <v>1.7766864076267569E-2</v>
      </c>
      <c r="AC108" s="78">
        <f t="shared" si="27"/>
        <v>75.808500000000009</v>
      </c>
      <c r="AD108" s="64">
        <f t="shared" si="28"/>
        <v>69</v>
      </c>
      <c r="AE108" s="206">
        <f t="shared" si="29"/>
        <v>8.9811828488889883E-2</v>
      </c>
      <c r="AF108" s="84">
        <f t="shared" si="30"/>
        <v>80.645840000000007</v>
      </c>
      <c r="AG108" s="64">
        <f t="shared" si="31"/>
        <v>86</v>
      </c>
      <c r="AH108" s="216">
        <f t="shared" si="32"/>
        <v>6.6391025253131383E-2</v>
      </c>
      <c r="AI108" s="64">
        <f t="shared" si="33"/>
        <v>573.78</v>
      </c>
      <c r="AJ108" s="64">
        <f t="shared" si="34"/>
        <v>553</v>
      </c>
      <c r="AK108" s="207">
        <f t="shared" si="35"/>
        <v>3.62159712781902E-2</v>
      </c>
      <c r="AL108" s="175">
        <f t="shared" si="36"/>
        <v>50</v>
      </c>
      <c r="AM108" s="64">
        <f t="shared" si="37"/>
        <v>48.1</v>
      </c>
      <c r="AN108" s="207">
        <f t="shared" si="38"/>
        <v>3.7999999999999971E-2</v>
      </c>
      <c r="BW108" s="9"/>
      <c r="BX108" s="9"/>
    </row>
    <row r="109" spans="3:76" x14ac:dyDescent="0.3">
      <c r="S109" s="749"/>
      <c r="T109" s="863"/>
      <c r="U109" s="48" t="s">
        <v>60</v>
      </c>
      <c r="V109" s="143">
        <f t="shared" si="39"/>
        <v>42</v>
      </c>
      <c r="W109" s="213">
        <f t="shared" si="22"/>
        <v>57.02</v>
      </c>
      <c r="X109" s="50">
        <f t="shared" si="23"/>
        <v>68</v>
      </c>
      <c r="Y109" s="214">
        <f t="shared" si="24"/>
        <v>0.19256401262714831</v>
      </c>
      <c r="Z109" s="85">
        <f>M$13</f>
        <v>69.23</v>
      </c>
      <c r="AA109" s="50">
        <f t="shared" si="25"/>
        <v>67</v>
      </c>
      <c r="AB109" s="218">
        <f t="shared" si="26"/>
        <v>3.2211469016322457E-2</v>
      </c>
      <c r="AC109" s="58">
        <f t="shared" si="27"/>
        <v>75.808500000000009</v>
      </c>
      <c r="AD109" s="50">
        <f t="shared" si="28"/>
        <v>68</v>
      </c>
      <c r="AE109" s="214">
        <f t="shared" si="29"/>
        <v>0.10300296140934075</v>
      </c>
      <c r="AF109" s="85">
        <f t="shared" si="30"/>
        <v>80.645840000000007</v>
      </c>
      <c r="AG109" s="50">
        <f t="shared" si="31"/>
        <v>87</v>
      </c>
      <c r="AH109" s="218">
        <f t="shared" si="32"/>
        <v>7.8790920895609656E-2</v>
      </c>
      <c r="AI109" s="50">
        <f t="shared" si="33"/>
        <v>573.78</v>
      </c>
      <c r="AJ109" s="50">
        <f t="shared" si="34"/>
        <v>553</v>
      </c>
      <c r="AK109" s="215">
        <f t="shared" si="35"/>
        <v>3.62159712781902E-2</v>
      </c>
      <c r="AL109" s="175">
        <f t="shared" si="36"/>
        <v>50</v>
      </c>
      <c r="AM109" s="64">
        <f t="shared" si="37"/>
        <v>47.7</v>
      </c>
      <c r="AN109" s="215">
        <f t="shared" si="38"/>
        <v>4.5999999999999944E-2</v>
      </c>
      <c r="BW109" s="9"/>
      <c r="BX109" s="9"/>
    </row>
    <row r="110" spans="3:76" x14ac:dyDescent="0.3">
      <c r="S110" s="749"/>
      <c r="T110" s="861" t="s">
        <v>24</v>
      </c>
      <c r="U110" s="47" t="s">
        <v>61</v>
      </c>
      <c r="V110" s="142">
        <f t="shared" si="39"/>
        <v>43</v>
      </c>
      <c r="W110" s="175">
        <f t="shared" si="22"/>
        <v>57.02</v>
      </c>
      <c r="X110" s="64">
        <f t="shared" si="23"/>
        <v>68</v>
      </c>
      <c r="Y110" s="206">
        <f t="shared" si="24"/>
        <v>0.19256401262714831</v>
      </c>
      <c r="Z110" s="84">
        <f>M$14</f>
        <v>67.431000000000012</v>
      </c>
      <c r="AA110" s="64">
        <f t="shared" si="25"/>
        <v>72</v>
      </c>
      <c r="AB110" s="216">
        <f t="shared" si="26"/>
        <v>6.7758152778395503E-2</v>
      </c>
      <c r="AC110" s="78">
        <f t="shared" si="27"/>
        <v>75.808500000000009</v>
      </c>
      <c r="AD110" s="64">
        <f t="shared" si="28"/>
        <v>68</v>
      </c>
      <c r="AE110" s="206">
        <f t="shared" si="29"/>
        <v>0.10300296140934075</v>
      </c>
      <c r="AF110" s="84">
        <f t="shared" si="30"/>
        <v>80.645840000000007</v>
      </c>
      <c r="AG110" s="64">
        <f t="shared" si="31"/>
        <v>77</v>
      </c>
      <c r="AH110" s="216">
        <f t="shared" si="32"/>
        <v>4.5208035529173067E-2</v>
      </c>
      <c r="AI110" s="64">
        <f t="shared" si="33"/>
        <v>573.78</v>
      </c>
      <c r="AJ110" s="64">
        <f t="shared" si="34"/>
        <v>554</v>
      </c>
      <c r="AK110" s="207">
        <f t="shared" si="35"/>
        <v>3.4473143016487108E-2</v>
      </c>
      <c r="AL110" s="210">
        <f t="shared" si="36"/>
        <v>50</v>
      </c>
      <c r="AM110" s="42">
        <f t="shared" si="37"/>
        <v>47.9</v>
      </c>
      <c r="AN110" s="207">
        <f t="shared" si="38"/>
        <v>4.200000000000003E-2</v>
      </c>
      <c r="BW110" s="9"/>
      <c r="BX110" s="9"/>
    </row>
    <row r="111" spans="3:76" x14ac:dyDescent="0.3">
      <c r="S111" s="749"/>
      <c r="T111" s="862"/>
      <c r="U111" s="44" t="s">
        <v>82</v>
      </c>
      <c r="V111" s="143">
        <f t="shared" si="39"/>
        <v>44</v>
      </c>
      <c r="W111" s="175">
        <f t="shared" si="22"/>
        <v>57.02</v>
      </c>
      <c r="X111" s="64">
        <f t="shared" si="23"/>
        <v>68</v>
      </c>
      <c r="Y111" s="206">
        <f t="shared" si="24"/>
        <v>0.19256401262714831</v>
      </c>
      <c r="Z111" s="84">
        <f>M$14</f>
        <v>67.431000000000012</v>
      </c>
      <c r="AA111" s="64">
        <f t="shared" si="25"/>
        <v>70</v>
      </c>
      <c r="AB111" s="216">
        <f t="shared" si="26"/>
        <v>3.8098204090106745E-2</v>
      </c>
      <c r="AC111" s="78">
        <f t="shared" si="27"/>
        <v>75.808500000000009</v>
      </c>
      <c r="AD111" s="64">
        <f t="shared" si="28"/>
        <v>68</v>
      </c>
      <c r="AE111" s="206">
        <f t="shared" si="29"/>
        <v>0.10300296140934075</v>
      </c>
      <c r="AF111" s="84">
        <f t="shared" si="30"/>
        <v>80.645840000000007</v>
      </c>
      <c r="AG111" s="64">
        <f t="shared" si="31"/>
        <v>83</v>
      </c>
      <c r="AH111" s="216">
        <f t="shared" si="32"/>
        <v>2.9191338325696564E-2</v>
      </c>
      <c r="AI111" s="64">
        <f t="shared" si="33"/>
        <v>573.78</v>
      </c>
      <c r="AJ111" s="64">
        <f t="shared" si="34"/>
        <v>553</v>
      </c>
      <c r="AK111" s="207">
        <f t="shared" si="35"/>
        <v>3.62159712781902E-2</v>
      </c>
      <c r="AL111" s="175">
        <f t="shared" si="36"/>
        <v>50</v>
      </c>
      <c r="AM111" s="64">
        <f t="shared" si="37"/>
        <v>51.1</v>
      </c>
      <c r="AN111" s="207">
        <f t="shared" si="38"/>
        <v>2.200000000000003E-2</v>
      </c>
      <c r="BW111" s="9"/>
      <c r="BX111" s="9"/>
    </row>
    <row r="112" spans="3:76" x14ac:dyDescent="0.3">
      <c r="S112" s="749"/>
      <c r="T112" s="863"/>
      <c r="U112" s="48" t="s">
        <v>83</v>
      </c>
      <c r="V112" s="144">
        <f t="shared" si="39"/>
        <v>45</v>
      </c>
      <c r="W112" s="175">
        <f t="shared" si="22"/>
        <v>57.02</v>
      </c>
      <c r="X112" s="64">
        <f t="shared" si="23"/>
        <v>70</v>
      </c>
      <c r="Y112" s="206">
        <f t="shared" si="24"/>
        <v>0.22763942476324089</v>
      </c>
      <c r="Z112" s="84">
        <f>M$14</f>
        <v>67.431000000000012</v>
      </c>
      <c r="AA112" s="64">
        <f t="shared" si="25"/>
        <v>71</v>
      </c>
      <c r="AB112" s="216">
        <f t="shared" si="26"/>
        <v>5.2928178434251127E-2</v>
      </c>
      <c r="AC112" s="78">
        <f t="shared" si="27"/>
        <v>75.808500000000009</v>
      </c>
      <c r="AD112" s="64">
        <f t="shared" si="28"/>
        <v>69</v>
      </c>
      <c r="AE112" s="206">
        <f t="shared" si="29"/>
        <v>8.9811828488889883E-2</v>
      </c>
      <c r="AF112" s="84">
        <f t="shared" si="30"/>
        <v>80.645840000000007</v>
      </c>
      <c r="AG112" s="64">
        <f t="shared" si="31"/>
        <v>82</v>
      </c>
      <c r="AH112" s="216">
        <f t="shared" si="32"/>
        <v>1.6791442683218291E-2</v>
      </c>
      <c r="AI112" s="64">
        <f t="shared" si="33"/>
        <v>573.78</v>
      </c>
      <c r="AJ112" s="64">
        <f t="shared" si="34"/>
        <v>553</v>
      </c>
      <c r="AK112" s="207">
        <f t="shared" si="35"/>
        <v>3.62159712781902E-2</v>
      </c>
      <c r="AL112" s="213">
        <f t="shared" si="36"/>
        <v>50</v>
      </c>
      <c r="AM112" s="50">
        <f t="shared" si="37"/>
        <v>47.7</v>
      </c>
      <c r="AN112" s="207">
        <f t="shared" si="38"/>
        <v>4.5999999999999944E-2</v>
      </c>
      <c r="BW112" s="9"/>
      <c r="BX112" s="9"/>
    </row>
    <row r="113" spans="18:76" x14ac:dyDescent="0.3">
      <c r="S113" s="749"/>
      <c r="T113" s="861" t="s">
        <v>25</v>
      </c>
      <c r="U113" s="47" t="s">
        <v>84</v>
      </c>
      <c r="V113" s="143">
        <f t="shared" si="39"/>
        <v>46</v>
      </c>
      <c r="W113" s="210">
        <f t="shared" si="22"/>
        <v>57.02</v>
      </c>
      <c r="X113" s="42">
        <f t="shared" si="23"/>
        <v>68</v>
      </c>
      <c r="Y113" s="211">
        <f t="shared" si="24"/>
        <v>0.19256401262714831</v>
      </c>
      <c r="Z113" s="83">
        <f>M$15</f>
        <v>68.635000000000005</v>
      </c>
      <c r="AA113" s="42">
        <f t="shared" si="25"/>
        <v>70</v>
      </c>
      <c r="AB113" s="217">
        <f t="shared" si="26"/>
        <v>1.9887812340642453E-2</v>
      </c>
      <c r="AC113" s="57">
        <f t="shared" si="27"/>
        <v>75.808500000000009</v>
      </c>
      <c r="AD113" s="42">
        <f t="shared" si="28"/>
        <v>68</v>
      </c>
      <c r="AE113" s="211">
        <f t="shared" si="29"/>
        <v>0.10300296140934075</v>
      </c>
      <c r="AF113" s="83">
        <f t="shared" si="30"/>
        <v>80.645840000000007</v>
      </c>
      <c r="AG113" s="42">
        <f t="shared" si="31"/>
        <v>83</v>
      </c>
      <c r="AH113" s="217">
        <f t="shared" si="32"/>
        <v>2.9191338325696564E-2</v>
      </c>
      <c r="AI113" s="42">
        <f t="shared" si="33"/>
        <v>573.78</v>
      </c>
      <c r="AJ113" s="42">
        <f t="shared" si="34"/>
        <v>554</v>
      </c>
      <c r="AK113" s="212">
        <f t="shared" si="35"/>
        <v>3.4473143016487108E-2</v>
      </c>
      <c r="AL113" s="175">
        <f t="shared" si="36"/>
        <v>50</v>
      </c>
      <c r="AM113" s="64">
        <f t="shared" si="37"/>
        <v>48</v>
      </c>
      <c r="AN113" s="212">
        <f t="shared" si="38"/>
        <v>0.04</v>
      </c>
      <c r="BW113" s="9"/>
      <c r="BX113" s="9"/>
    </row>
    <row r="114" spans="18:76" x14ac:dyDescent="0.3">
      <c r="S114" s="749"/>
      <c r="T114" s="862"/>
      <c r="U114" s="44" t="s">
        <v>100</v>
      </c>
      <c r="V114" s="143">
        <f t="shared" si="39"/>
        <v>47</v>
      </c>
      <c r="W114" s="175">
        <f t="shared" si="22"/>
        <v>57.02</v>
      </c>
      <c r="X114" s="64">
        <f t="shared" si="23"/>
        <v>66</v>
      </c>
      <c r="Y114" s="206">
        <f t="shared" si="24"/>
        <v>0.1574886004910557</v>
      </c>
      <c r="Z114" s="84">
        <f>M$15</f>
        <v>68.635000000000005</v>
      </c>
      <c r="AA114" s="64">
        <f t="shared" si="25"/>
        <v>72</v>
      </c>
      <c r="AB114" s="216">
        <f t="shared" si="26"/>
        <v>4.9027464121803664E-2</v>
      </c>
      <c r="AC114" s="78">
        <f t="shared" si="27"/>
        <v>75.808500000000009</v>
      </c>
      <c r="AD114" s="64">
        <f t="shared" si="28"/>
        <v>72</v>
      </c>
      <c r="AE114" s="206">
        <f t="shared" si="29"/>
        <v>5.0238429727537268E-2</v>
      </c>
      <c r="AF114" s="84">
        <f t="shared" si="30"/>
        <v>80.645840000000007</v>
      </c>
      <c r="AG114" s="64">
        <f t="shared" si="31"/>
        <v>84</v>
      </c>
      <c r="AH114" s="216">
        <f t="shared" si="32"/>
        <v>4.1591233968174837E-2</v>
      </c>
      <c r="AI114" s="64">
        <f t="shared" si="33"/>
        <v>573.78</v>
      </c>
      <c r="AJ114" s="64">
        <f t="shared" si="34"/>
        <v>555</v>
      </c>
      <c r="AK114" s="207">
        <f t="shared" si="35"/>
        <v>3.2730314754784016E-2</v>
      </c>
      <c r="AL114" s="175">
        <f t="shared" si="36"/>
        <v>50</v>
      </c>
      <c r="AM114" s="64">
        <f t="shared" si="37"/>
        <v>48.4</v>
      </c>
      <c r="AN114" s="207">
        <f t="shared" si="38"/>
        <v>3.2000000000000028E-2</v>
      </c>
      <c r="BW114" s="9"/>
      <c r="BX114" s="9"/>
    </row>
    <row r="115" spans="18:76" ht="15" thickBot="1" x14ac:dyDescent="0.35">
      <c r="S115" s="754"/>
      <c r="T115" s="870"/>
      <c r="U115" s="52" t="s">
        <v>106</v>
      </c>
      <c r="V115" s="145">
        <f t="shared" si="39"/>
        <v>48</v>
      </c>
      <c r="W115" s="178">
        <f t="shared" si="22"/>
        <v>57.02</v>
      </c>
      <c r="X115" s="54">
        <f t="shared" si="23"/>
        <v>68</v>
      </c>
      <c r="Y115" s="208">
        <f t="shared" si="24"/>
        <v>0.19256401262714831</v>
      </c>
      <c r="Z115" s="86">
        <f>M$15</f>
        <v>68.635000000000005</v>
      </c>
      <c r="AA115" s="54">
        <f t="shared" si="25"/>
        <v>67</v>
      </c>
      <c r="AB115" s="219">
        <f t="shared" si="26"/>
        <v>2.3821665331099365E-2</v>
      </c>
      <c r="AC115" s="59">
        <f t="shared" si="27"/>
        <v>75.808500000000009</v>
      </c>
      <c r="AD115" s="54">
        <f t="shared" si="28"/>
        <v>68</v>
      </c>
      <c r="AE115" s="208">
        <f t="shared" si="29"/>
        <v>0.10300296140934075</v>
      </c>
      <c r="AF115" s="86">
        <f t="shared" si="30"/>
        <v>80.645840000000007</v>
      </c>
      <c r="AG115" s="54">
        <f t="shared" si="31"/>
        <v>83</v>
      </c>
      <c r="AH115" s="219">
        <f t="shared" si="32"/>
        <v>2.9191338325696564E-2</v>
      </c>
      <c r="AI115" s="54">
        <f t="shared" si="33"/>
        <v>573.78</v>
      </c>
      <c r="AJ115" s="54">
        <f t="shared" si="34"/>
        <v>554</v>
      </c>
      <c r="AK115" s="209">
        <f t="shared" si="35"/>
        <v>3.4473143016487108E-2</v>
      </c>
      <c r="AL115" s="178">
        <f t="shared" si="36"/>
        <v>50</v>
      </c>
      <c r="AM115" s="54">
        <f t="shared" si="37"/>
        <v>47.9</v>
      </c>
      <c r="AN115" s="209">
        <f t="shared" si="38"/>
        <v>4.200000000000003E-2</v>
      </c>
      <c r="BW115" s="9"/>
      <c r="BX115" s="9"/>
    </row>
    <row r="116" spans="18:76" x14ac:dyDescent="0.3">
      <c r="AF116" s="26"/>
      <c r="AG116" s="31"/>
      <c r="AH116" s="30"/>
      <c r="AI116" s="32"/>
      <c r="AJ116" s="31"/>
      <c r="AK116" s="30"/>
      <c r="AL116" s="32"/>
      <c r="AM116" s="31"/>
      <c r="BM116" s="9"/>
      <c r="BN116" s="9"/>
      <c r="BO116" s="9"/>
      <c r="BP116" s="9"/>
      <c r="BQ116" s="9"/>
      <c r="BR116" s="9"/>
      <c r="BS116" s="9"/>
      <c r="BT116" s="9"/>
      <c r="BU116" s="9"/>
      <c r="BV116" s="9"/>
      <c r="BW116" s="9"/>
      <c r="BX116" s="9"/>
    </row>
    <row r="117" spans="18:76" x14ac:dyDescent="0.3">
      <c r="AF117" s="26"/>
      <c r="AG117" s="31"/>
      <c r="AH117" s="30"/>
      <c r="AI117" s="30"/>
      <c r="AJ117" s="31"/>
      <c r="AK117" s="30"/>
      <c r="AL117" s="30"/>
      <c r="AM117" s="31"/>
    </row>
    <row r="118" spans="18:76" ht="15" thickBot="1" x14ac:dyDescent="0.35">
      <c r="AF118" s="26"/>
      <c r="AG118" s="31"/>
      <c r="AH118" s="30"/>
      <c r="AI118" s="32"/>
      <c r="AJ118" s="30"/>
      <c r="AK118" s="30"/>
      <c r="AL118" s="30"/>
      <c r="AM118" s="30"/>
      <c r="AO118" s="4"/>
    </row>
    <row r="119" spans="18:76" ht="15" thickBot="1" x14ac:dyDescent="0.35">
      <c r="S119" s="4"/>
      <c r="T119" s="745" t="s">
        <v>167</v>
      </c>
      <c r="U119" s="746"/>
      <c r="V119" s="747"/>
      <c r="Y119" s="873" t="s">
        <v>210</v>
      </c>
      <c r="Z119" s="743"/>
      <c r="AA119" s="743"/>
      <c r="AB119" s="743"/>
      <c r="AC119" s="743"/>
      <c r="AD119" s="743"/>
      <c r="AE119" s="743"/>
      <c r="AF119" s="744"/>
      <c r="AG119" s="30"/>
      <c r="AH119" s="855" t="s">
        <v>210</v>
      </c>
      <c r="AI119" s="856"/>
      <c r="AJ119" s="856"/>
      <c r="AK119" s="856"/>
      <c r="AL119" s="856"/>
      <c r="AM119" s="856"/>
      <c r="AN119" s="857"/>
      <c r="AO119" s="631"/>
    </row>
    <row r="120" spans="18:76" ht="15" thickBot="1" x14ac:dyDescent="0.35">
      <c r="R120" s="9"/>
      <c r="S120" s="6"/>
      <c r="T120" s="228" t="s">
        <v>115</v>
      </c>
      <c r="U120" s="229" t="s">
        <v>165</v>
      </c>
      <c r="V120" s="230" t="s">
        <v>164</v>
      </c>
      <c r="Y120" s="312" t="s">
        <v>199</v>
      </c>
      <c r="Z120" s="311" t="s">
        <v>200</v>
      </c>
      <c r="AA120" s="311" t="s">
        <v>201</v>
      </c>
      <c r="AB120" s="311" t="s">
        <v>202</v>
      </c>
      <c r="AC120" s="311" t="s">
        <v>203</v>
      </c>
      <c r="AD120" s="311" t="s">
        <v>204</v>
      </c>
      <c r="AE120" s="311" t="s">
        <v>205</v>
      </c>
      <c r="AF120" s="137" t="s">
        <v>206</v>
      </c>
      <c r="AG120" s="30"/>
      <c r="AH120" s="432" t="s">
        <v>199</v>
      </c>
      <c r="AI120" s="716" t="s">
        <v>200</v>
      </c>
      <c r="AJ120" s="716" t="s">
        <v>479</v>
      </c>
      <c r="AK120" s="716" t="s">
        <v>477</v>
      </c>
      <c r="AL120" s="716" t="s">
        <v>472</v>
      </c>
      <c r="AM120" s="716" t="s">
        <v>478</v>
      </c>
      <c r="AN120" s="433" t="s">
        <v>474</v>
      </c>
      <c r="AO120" s="4"/>
      <c r="AP120" s="22"/>
      <c r="AR120"/>
      <c r="AS120" s="22"/>
      <c r="AU120"/>
      <c r="AV120" s="22"/>
      <c r="AX120"/>
      <c r="AY120" s="22"/>
      <c r="BA120"/>
    </row>
    <row r="121" spans="18:76" x14ac:dyDescent="0.3">
      <c r="S121" s="758" t="s">
        <v>163</v>
      </c>
      <c r="T121" s="124" t="s">
        <v>19</v>
      </c>
      <c r="U121" s="64">
        <v>0.1</v>
      </c>
      <c r="V121" s="207">
        <f>AVERAGE(Y68:Y115)</f>
        <v>0.13124050040921306</v>
      </c>
      <c r="Y121" s="124" t="s">
        <v>59</v>
      </c>
      <c r="Z121" s="64">
        <v>582.95000000000005</v>
      </c>
      <c r="AA121" s="78">
        <v>1</v>
      </c>
      <c r="AB121" s="64">
        <v>1</v>
      </c>
      <c r="AC121" s="64">
        <v>4652.6000000000004</v>
      </c>
      <c r="AD121" s="78">
        <v>37.40339704433498</v>
      </c>
      <c r="AE121" s="310">
        <v>2.5319297658046658</v>
      </c>
      <c r="AF121" s="313">
        <v>6.7692508324939578</v>
      </c>
      <c r="AG121" s="30"/>
      <c r="AH121" s="123" t="s">
        <v>59</v>
      </c>
      <c r="AI121" s="694">
        <v>582.95000000000005</v>
      </c>
      <c r="AJ121" s="42">
        <v>4652.6000000000004</v>
      </c>
      <c r="AK121" s="57">
        <v>37.40339704433498</v>
      </c>
      <c r="AL121" s="737">
        <v>2.5319297658046658</v>
      </c>
      <c r="AM121" s="737">
        <v>6.7692508324939578</v>
      </c>
      <c r="AN121" s="807">
        <f>AVERAGE(AM121:AM123)</f>
        <v>9.8814838429035348</v>
      </c>
      <c r="AO121"/>
      <c r="AP121" s="22"/>
      <c r="AR121"/>
      <c r="AS121" s="22"/>
      <c r="AU121"/>
      <c r="AV121" s="22"/>
      <c r="AX121"/>
      <c r="AY121" s="22"/>
      <c r="BA121"/>
    </row>
    <row r="122" spans="18:76" x14ac:dyDescent="0.3">
      <c r="S122" s="759"/>
      <c r="T122" s="124" t="s">
        <v>46</v>
      </c>
      <c r="U122" s="64">
        <v>0.1</v>
      </c>
      <c r="V122" s="207">
        <f>AVERAGE(AB68:AB115)</f>
        <v>3.4527464946710572E-2</v>
      </c>
      <c r="Y122" s="124" t="s">
        <v>60</v>
      </c>
      <c r="Z122" s="64">
        <v>1115.3599999999999</v>
      </c>
      <c r="AA122" s="78">
        <v>1</v>
      </c>
      <c r="AB122" s="64">
        <v>1</v>
      </c>
      <c r="AC122" s="64">
        <v>4652.6000000000004</v>
      </c>
      <c r="AD122" s="78">
        <v>36.364413793103445</v>
      </c>
      <c r="AE122" s="310">
        <v>3.6945011113718502</v>
      </c>
      <c r="AF122" s="313">
        <v>10.159660849730285</v>
      </c>
      <c r="AG122" s="30"/>
      <c r="AH122" s="124" t="s">
        <v>60</v>
      </c>
      <c r="AI122" s="173">
        <v>1115.3599999999999</v>
      </c>
      <c r="AJ122" s="64">
        <v>4652.6000000000004</v>
      </c>
      <c r="AK122" s="78">
        <v>36.364413793103445</v>
      </c>
      <c r="AL122" s="310">
        <v>3.6945011113718502</v>
      </c>
      <c r="AM122" s="310">
        <v>10.159660849730285</v>
      </c>
      <c r="AN122" s="852"/>
      <c r="AO122"/>
      <c r="AP122" s="22"/>
      <c r="AR122"/>
      <c r="AS122" s="22"/>
      <c r="AU122"/>
      <c r="AV122" s="22"/>
      <c r="AX122"/>
      <c r="AY122" s="22"/>
      <c r="BA122"/>
    </row>
    <row r="123" spans="18:76" x14ac:dyDescent="0.3">
      <c r="S123" s="759"/>
      <c r="T123" s="124" t="s">
        <v>47</v>
      </c>
      <c r="U123" s="64">
        <v>0.1</v>
      </c>
      <c r="V123" s="207">
        <f>AVERAGE(AE68:AE115)</f>
        <v>6.5411805184554986E-2</v>
      </c>
      <c r="Y123" s="124" t="s">
        <v>107</v>
      </c>
      <c r="Z123" s="64">
        <v>1510.75</v>
      </c>
      <c r="AA123" s="78">
        <v>1</v>
      </c>
      <c r="AB123" s="64">
        <v>1</v>
      </c>
      <c r="AC123" s="64">
        <v>4652.6000000000004</v>
      </c>
      <c r="AD123" s="78">
        <v>35.844922167487688</v>
      </c>
      <c r="AE123" s="310">
        <v>4.5578753611489189</v>
      </c>
      <c r="AF123" s="313">
        <v>12.71553984648636</v>
      </c>
      <c r="AG123" s="30"/>
      <c r="AH123" s="738" t="s">
        <v>107</v>
      </c>
      <c r="AI123" s="695">
        <v>1510.75</v>
      </c>
      <c r="AJ123" s="50">
        <v>4652.6000000000004</v>
      </c>
      <c r="AK123" s="58">
        <v>35.844922167487688</v>
      </c>
      <c r="AL123" s="739">
        <v>4.5578753611489189</v>
      </c>
      <c r="AM123" s="739">
        <v>12.71553984648636</v>
      </c>
      <c r="AN123" s="853"/>
      <c r="AO123"/>
      <c r="AP123" s="22"/>
      <c r="AR123"/>
      <c r="AS123" s="22"/>
      <c r="AU123"/>
      <c r="AV123" s="22"/>
      <c r="AX123"/>
      <c r="AY123" s="22"/>
      <c r="BA123"/>
    </row>
    <row r="124" spans="18:76" x14ac:dyDescent="0.3">
      <c r="S124" s="759"/>
      <c r="T124" s="124" t="s">
        <v>5</v>
      </c>
      <c r="U124" s="64">
        <v>0.1</v>
      </c>
      <c r="V124" s="207">
        <f>AVERAGE(AH68:AH115)</f>
        <v>4.4066914466181113E-2</v>
      </c>
      <c r="Y124" s="124" t="s">
        <v>61</v>
      </c>
      <c r="Z124" s="64">
        <v>419.76</v>
      </c>
      <c r="AA124" s="78">
        <v>1</v>
      </c>
      <c r="AB124" s="64">
        <v>1</v>
      </c>
      <c r="AC124" s="78">
        <v>4652.21024291498</v>
      </c>
      <c r="AD124" s="78">
        <v>37.489864305734756</v>
      </c>
      <c r="AE124" s="310">
        <v>2.1754055621736907</v>
      </c>
      <c r="AF124" s="313">
        <v>5.8026498693966273</v>
      </c>
      <c r="AG124" s="30"/>
      <c r="AH124" s="124" t="s">
        <v>61</v>
      </c>
      <c r="AI124" s="173">
        <v>419.76</v>
      </c>
      <c r="AJ124" s="78">
        <v>4652.21024291498</v>
      </c>
      <c r="AK124" s="78">
        <v>37.489864305734756</v>
      </c>
      <c r="AL124" s="310">
        <v>2.1754055621736907</v>
      </c>
      <c r="AM124" s="310">
        <v>5.8026498693966273</v>
      </c>
      <c r="AN124" s="808">
        <f>AVERAGE(AM124:AM126)</f>
        <v>6.285625425383162</v>
      </c>
      <c r="AO124"/>
      <c r="AP124" s="22"/>
      <c r="AR124"/>
      <c r="AS124" s="22"/>
      <c r="AU124"/>
      <c r="AV124" s="22"/>
      <c r="AX124"/>
      <c r="AY124" s="22"/>
      <c r="BA124"/>
    </row>
    <row r="125" spans="18:76" x14ac:dyDescent="0.3">
      <c r="S125" s="760"/>
      <c r="T125" s="124" t="s">
        <v>160</v>
      </c>
      <c r="U125" s="64">
        <v>1.25</v>
      </c>
      <c r="V125" s="207">
        <f>AVERAGE(AK68:AK115)</f>
        <v>3.8539742293794324E-2</v>
      </c>
      <c r="Y125" s="124" t="s">
        <v>82</v>
      </c>
      <c r="Z125" s="64">
        <v>629.05999999999995</v>
      </c>
      <c r="AA125" s="78">
        <v>1</v>
      </c>
      <c r="AB125" s="64">
        <v>1</v>
      </c>
      <c r="AC125" s="78">
        <v>4652.21024291498</v>
      </c>
      <c r="AD125" s="78">
        <v>36.44847918613101</v>
      </c>
      <c r="AE125" s="310">
        <v>2.6323950979328807</v>
      </c>
      <c r="AF125" s="313">
        <v>7.2222357604827909</v>
      </c>
      <c r="AG125" s="31"/>
      <c r="AH125" s="124" t="s">
        <v>82</v>
      </c>
      <c r="AI125" s="173">
        <v>629.05999999999995</v>
      </c>
      <c r="AJ125" s="78">
        <v>4652.21024291498</v>
      </c>
      <c r="AK125" s="78">
        <v>36.44847918613101</v>
      </c>
      <c r="AL125" s="310">
        <v>2.6323950979328807</v>
      </c>
      <c r="AM125" s="310">
        <v>7.2222357604827909</v>
      </c>
      <c r="AN125" s="852"/>
      <c r="AO125"/>
      <c r="AP125" s="22"/>
      <c r="AR125"/>
      <c r="AS125" s="22"/>
      <c r="AU125"/>
      <c r="AV125" s="22"/>
      <c r="AX125"/>
      <c r="AY125" s="22"/>
      <c r="BA125"/>
    </row>
    <row r="126" spans="18:76" ht="15" thickBot="1" x14ac:dyDescent="0.35">
      <c r="S126" s="125" t="s">
        <v>166</v>
      </c>
      <c r="T126" s="164" t="s">
        <v>8</v>
      </c>
      <c r="U126" s="165" t="s">
        <v>9</v>
      </c>
      <c r="V126" s="227">
        <f>AVERAGE(AN68:AN115)</f>
        <v>4.6625E-2</v>
      </c>
      <c r="Y126" s="124" t="s">
        <v>83</v>
      </c>
      <c r="Z126" s="64">
        <v>410.89</v>
      </c>
      <c r="AA126" s="78">
        <v>1</v>
      </c>
      <c r="AB126" s="64">
        <v>1</v>
      </c>
      <c r="AC126" s="78">
        <v>4652.21024291498</v>
      </c>
      <c r="AD126" s="78">
        <v>36.969171745932883</v>
      </c>
      <c r="AE126" s="310">
        <v>2.156038638226323</v>
      </c>
      <c r="AF126" s="313">
        <v>5.8319906462700697</v>
      </c>
      <c r="AG126" s="30"/>
      <c r="AH126" s="124" t="s">
        <v>83</v>
      </c>
      <c r="AI126" s="173">
        <v>410.89</v>
      </c>
      <c r="AJ126" s="78">
        <v>4652.21024291498</v>
      </c>
      <c r="AK126" s="78">
        <v>36.969171745932883</v>
      </c>
      <c r="AL126" s="310">
        <v>2.156038638226323</v>
      </c>
      <c r="AM126" s="310">
        <v>5.8319906462700697</v>
      </c>
      <c r="AN126" s="852"/>
      <c r="AO126"/>
      <c r="AP126" s="22"/>
      <c r="AR126"/>
      <c r="AS126" s="22"/>
      <c r="AU126"/>
      <c r="AV126" s="22"/>
      <c r="AX126"/>
      <c r="AY126" s="22"/>
      <c r="BA126"/>
    </row>
    <row r="127" spans="18:76" x14ac:dyDescent="0.3">
      <c r="Y127" s="124" t="s">
        <v>63</v>
      </c>
      <c r="Z127" s="64">
        <v>427.14</v>
      </c>
      <c r="AA127" s="78">
        <v>1</v>
      </c>
      <c r="AB127" s="64">
        <v>1</v>
      </c>
      <c r="AC127" s="78">
        <v>4652.1396823015311</v>
      </c>
      <c r="AD127" s="78">
        <v>38.11113771575468</v>
      </c>
      <c r="AE127" s="310">
        <v>2.1914859532185997</v>
      </c>
      <c r="AF127" s="313">
        <v>5.7502506736047039</v>
      </c>
      <c r="AG127" s="31"/>
      <c r="AH127" s="123" t="s">
        <v>63</v>
      </c>
      <c r="AI127" s="694">
        <v>427.14</v>
      </c>
      <c r="AJ127" s="57">
        <v>4652.1396823015311</v>
      </c>
      <c r="AK127" s="57">
        <v>38.11113771575468</v>
      </c>
      <c r="AL127" s="737">
        <v>2.1914859532185997</v>
      </c>
      <c r="AM127" s="737">
        <v>5.7502506736047039</v>
      </c>
      <c r="AN127" s="807">
        <f>AVERAGE(AM127:AM129)</f>
        <v>4.9315271640049403</v>
      </c>
      <c r="AO127"/>
      <c r="AP127" s="22"/>
      <c r="AR127"/>
      <c r="AS127" s="22"/>
      <c r="AU127"/>
      <c r="AV127" s="22"/>
      <c r="AX127"/>
      <c r="AY127" s="22"/>
      <c r="BA127"/>
    </row>
    <row r="128" spans="18:76" x14ac:dyDescent="0.3">
      <c r="Y128" s="124" t="s">
        <v>64</v>
      </c>
      <c r="Z128" s="64">
        <v>158</v>
      </c>
      <c r="AA128" s="78">
        <v>1</v>
      </c>
      <c r="AB128" s="64">
        <v>1</v>
      </c>
      <c r="AC128" s="78">
        <v>4652.1396823015311</v>
      </c>
      <c r="AD128" s="78">
        <v>38.692987146529568</v>
      </c>
      <c r="AE128" s="310">
        <v>1.6038495548074514</v>
      </c>
      <c r="AF128" s="313">
        <v>4.1450652252143403</v>
      </c>
      <c r="AG128" s="31"/>
      <c r="AH128" s="124" t="s">
        <v>64</v>
      </c>
      <c r="AI128" s="173">
        <v>158</v>
      </c>
      <c r="AJ128" s="78">
        <v>4652.1396823015311</v>
      </c>
      <c r="AK128" s="78">
        <v>38.692987146529568</v>
      </c>
      <c r="AL128" s="310">
        <v>1.6038495548074514</v>
      </c>
      <c r="AM128" s="310">
        <v>4.1450652252143403</v>
      </c>
      <c r="AN128" s="852"/>
      <c r="AO128"/>
      <c r="AP128" s="22"/>
      <c r="AR128"/>
      <c r="AS128" s="22"/>
      <c r="AU128"/>
      <c r="AV128" s="22"/>
      <c r="AX128"/>
      <c r="AY128" s="22"/>
      <c r="BA128"/>
    </row>
    <row r="129" spans="25:53" x14ac:dyDescent="0.3">
      <c r="Y129" s="124" t="s">
        <v>85</v>
      </c>
      <c r="Z129" s="64">
        <v>278.60000000000002</v>
      </c>
      <c r="AA129" s="78">
        <v>1</v>
      </c>
      <c r="AB129" s="64">
        <v>1</v>
      </c>
      <c r="AC129" s="78">
        <v>4652.1396823015311</v>
      </c>
      <c r="AD129" s="78">
        <v>38.11113771575468</v>
      </c>
      <c r="AE129" s="310">
        <v>1.8671658572834284</v>
      </c>
      <c r="AF129" s="313">
        <v>4.8992655931957776</v>
      </c>
      <c r="AG129" s="31"/>
      <c r="AH129" s="738" t="s">
        <v>85</v>
      </c>
      <c r="AI129" s="695">
        <v>278.60000000000002</v>
      </c>
      <c r="AJ129" s="58">
        <v>4652.1396823015311</v>
      </c>
      <c r="AK129" s="58">
        <v>38.11113771575468</v>
      </c>
      <c r="AL129" s="739">
        <v>1.8671658572834284</v>
      </c>
      <c r="AM129" s="739">
        <v>4.8992655931957776</v>
      </c>
      <c r="AN129" s="853"/>
      <c r="AO129"/>
      <c r="AP129" s="22"/>
      <c r="AR129"/>
      <c r="AS129" s="22"/>
      <c r="AU129"/>
      <c r="AV129" s="22"/>
      <c r="AX129"/>
      <c r="AY129" s="22"/>
      <c r="BA129"/>
    </row>
    <row r="130" spans="25:53" x14ac:dyDescent="0.3">
      <c r="Y130" s="124" t="s">
        <v>90</v>
      </c>
      <c r="Z130" s="64">
        <v>490.7</v>
      </c>
      <c r="AA130" s="78">
        <v>1</v>
      </c>
      <c r="AB130" s="64">
        <v>1</v>
      </c>
      <c r="AC130" s="78">
        <v>4649.8853092279769</v>
      </c>
      <c r="AD130" s="78">
        <v>32.720811719400494</v>
      </c>
      <c r="AE130" s="310">
        <v>2.3291327235085855</v>
      </c>
      <c r="AF130" s="313">
        <v>7.1181997056864565</v>
      </c>
      <c r="AG130" s="31"/>
      <c r="AH130" s="124" t="s">
        <v>90</v>
      </c>
      <c r="AI130" s="173">
        <v>490.7</v>
      </c>
      <c r="AJ130" s="78">
        <v>4649.8853092279769</v>
      </c>
      <c r="AK130" s="78">
        <v>32.720811719400494</v>
      </c>
      <c r="AL130" s="310">
        <v>2.3291327235085855</v>
      </c>
      <c r="AM130" s="310">
        <v>7.1181997056864565</v>
      </c>
      <c r="AN130" s="808">
        <f>AVERAGE(AM130:AM132)</f>
        <v>7.5632558813717727</v>
      </c>
      <c r="AP130" s="22"/>
      <c r="AQ130" s="22"/>
      <c r="AS130" s="22"/>
      <c r="AT130" s="22"/>
      <c r="AV130" s="22"/>
      <c r="AW130" s="22"/>
      <c r="AY130" s="22"/>
      <c r="BA130"/>
    </row>
    <row r="131" spans="25:53" x14ac:dyDescent="0.3">
      <c r="Y131" s="124" t="s">
        <v>95</v>
      </c>
      <c r="Z131" s="64">
        <v>570.20000000000005</v>
      </c>
      <c r="AA131" s="78">
        <v>1</v>
      </c>
      <c r="AB131" s="64">
        <v>1</v>
      </c>
      <c r="AC131" s="78">
        <v>4649.8853092279769</v>
      </c>
      <c r="AD131" s="78">
        <v>34.070123542880928</v>
      </c>
      <c r="AE131" s="310">
        <v>2.5026277636754908</v>
      </c>
      <c r="AF131" s="313">
        <v>7.3455200728158889</v>
      </c>
      <c r="AG131" s="31"/>
      <c r="AH131" s="124" t="s">
        <v>95</v>
      </c>
      <c r="AI131" s="173">
        <v>570.20000000000005</v>
      </c>
      <c r="AJ131" s="78">
        <v>4649.8853092279769</v>
      </c>
      <c r="AK131" s="78">
        <v>34.070123542880928</v>
      </c>
      <c r="AL131" s="310">
        <v>2.5026277636754908</v>
      </c>
      <c r="AM131" s="310">
        <v>7.3455200728158889</v>
      </c>
      <c r="AN131" s="852"/>
      <c r="AP131" s="22"/>
      <c r="AQ131" s="22"/>
      <c r="AS131" s="22"/>
      <c r="AT131" s="22"/>
      <c r="AV131" s="22"/>
      <c r="AW131" s="22"/>
      <c r="AY131" s="22"/>
      <c r="BA131"/>
    </row>
    <row r="132" spans="25:53" x14ac:dyDescent="0.3">
      <c r="Y132" s="124" t="s">
        <v>101</v>
      </c>
      <c r="Z132" s="64">
        <v>618.66</v>
      </c>
      <c r="AA132" s="78">
        <v>1</v>
      </c>
      <c r="AB132" s="64">
        <v>1</v>
      </c>
      <c r="AC132" s="78">
        <v>4649.8853092279769</v>
      </c>
      <c r="AD132" s="78">
        <v>31.708827851790176</v>
      </c>
      <c r="AE132" s="310">
        <v>2.6083833567130776</v>
      </c>
      <c r="AF132" s="313">
        <v>8.2260478656129727</v>
      </c>
      <c r="AG132" s="30"/>
      <c r="AH132" s="124" t="s">
        <v>101</v>
      </c>
      <c r="AI132" s="173">
        <v>618.66</v>
      </c>
      <c r="AJ132" s="78">
        <v>4649.8853092279769</v>
      </c>
      <c r="AK132" s="78">
        <v>31.708827851790176</v>
      </c>
      <c r="AL132" s="310">
        <v>2.6083833567130776</v>
      </c>
      <c r="AM132" s="310">
        <v>8.2260478656129727</v>
      </c>
      <c r="AN132" s="852"/>
      <c r="AO132" s="11"/>
      <c r="AP132" s="11"/>
      <c r="AQ132" s="11"/>
      <c r="AR132" s="11"/>
      <c r="AS132" s="22"/>
      <c r="AT132" s="791"/>
      <c r="AU132" s="791"/>
      <c r="AV132" s="791"/>
      <c r="AW132" s="791"/>
      <c r="AX132" s="791"/>
      <c r="AY132" s="22"/>
      <c r="BA132"/>
    </row>
    <row r="133" spans="25:53" x14ac:dyDescent="0.3">
      <c r="Y133" s="124" t="s">
        <v>65</v>
      </c>
      <c r="Z133" s="64">
        <v>1349.7</v>
      </c>
      <c r="AA133" s="78">
        <v>1</v>
      </c>
      <c r="AB133" s="64">
        <v>1</v>
      </c>
      <c r="AC133" s="78">
        <v>4650.580261115032</v>
      </c>
      <c r="AD133" s="78">
        <v>38.683224558859074</v>
      </c>
      <c r="AE133" s="310">
        <v>4.2043803630628682</v>
      </c>
      <c r="AF133" s="313">
        <v>10.868743262769179</v>
      </c>
      <c r="AG133" s="30"/>
      <c r="AH133" s="123" t="s">
        <v>65</v>
      </c>
      <c r="AI133" s="694">
        <v>1349.7</v>
      </c>
      <c r="AJ133" s="57">
        <v>4650.580261115032</v>
      </c>
      <c r="AK133" s="57">
        <v>38.683224558859074</v>
      </c>
      <c r="AL133" s="737">
        <v>4.2043803630628682</v>
      </c>
      <c r="AM133" s="737">
        <v>10.868743262769179</v>
      </c>
      <c r="AN133" s="807">
        <f>AVERAGE(AM133:AM135)</f>
        <v>8.9519658558373649</v>
      </c>
      <c r="AP133" s="22"/>
      <c r="AQ133" s="22"/>
      <c r="AS133" s="22"/>
      <c r="AT133" s="22"/>
      <c r="AV133" s="22"/>
      <c r="AW133" s="22"/>
      <c r="AY133" s="22"/>
      <c r="BA133"/>
    </row>
    <row r="134" spans="25:53" x14ac:dyDescent="0.3">
      <c r="Y134" s="124" t="s">
        <v>66</v>
      </c>
      <c r="Z134" s="64">
        <v>1411.37</v>
      </c>
      <c r="AA134" s="78">
        <v>1</v>
      </c>
      <c r="AB134" s="64">
        <v>1</v>
      </c>
      <c r="AC134" s="78">
        <v>4650.580261115032</v>
      </c>
      <c r="AD134" s="78">
        <v>39.921087744742564</v>
      </c>
      <c r="AE134" s="310">
        <v>4.3389846173938222</v>
      </c>
      <c r="AF134" s="313">
        <v>10.868903786233249</v>
      </c>
      <c r="AG134" s="30"/>
      <c r="AH134" s="124" t="s">
        <v>66</v>
      </c>
      <c r="AI134" s="173">
        <v>1411.37</v>
      </c>
      <c r="AJ134" s="78">
        <v>4650.580261115032</v>
      </c>
      <c r="AK134" s="78">
        <v>39.921087744742564</v>
      </c>
      <c r="AL134" s="310">
        <v>4.3389846173938222</v>
      </c>
      <c r="AM134" s="310">
        <v>10.868903786233249</v>
      </c>
      <c r="AN134" s="852"/>
      <c r="AO134" s="295"/>
      <c r="AP134" s="295"/>
      <c r="AQ134" s="295"/>
      <c r="AR134" s="295"/>
      <c r="AS134" s="22"/>
      <c r="AT134" s="22"/>
      <c r="AV134" s="22"/>
      <c r="AW134" s="22"/>
      <c r="AY134" s="22"/>
      <c r="BA134"/>
    </row>
    <row r="135" spans="25:53" x14ac:dyDescent="0.3">
      <c r="Y135" s="124" t="s">
        <v>67</v>
      </c>
      <c r="Z135" s="64">
        <v>374.08</v>
      </c>
      <c r="AA135" s="78">
        <v>1</v>
      </c>
      <c r="AB135" s="64">
        <v>1</v>
      </c>
      <c r="AC135" s="78">
        <v>4650.580261115032</v>
      </c>
      <c r="AD135" s="78">
        <v>40.540019337684306</v>
      </c>
      <c r="AE135" s="310">
        <v>2.0749397499549471</v>
      </c>
      <c r="AF135" s="313">
        <v>5.1182505185096687</v>
      </c>
      <c r="AG135" s="30"/>
      <c r="AH135" s="738" t="s">
        <v>67</v>
      </c>
      <c r="AI135" s="695">
        <v>374.08</v>
      </c>
      <c r="AJ135" s="58">
        <v>4650.580261115032</v>
      </c>
      <c r="AK135" s="58">
        <v>40.540019337684306</v>
      </c>
      <c r="AL135" s="739">
        <v>2.0749397499549471</v>
      </c>
      <c r="AM135" s="739">
        <v>5.1182505185096687</v>
      </c>
      <c r="AN135" s="853"/>
      <c r="AP135" s="22"/>
      <c r="AQ135" s="22"/>
      <c r="AS135" s="22"/>
      <c r="AT135" s="22"/>
      <c r="AV135" s="22"/>
      <c r="AW135" s="22"/>
      <c r="AY135" s="22"/>
      <c r="BA135"/>
    </row>
    <row r="136" spans="25:53" x14ac:dyDescent="0.3">
      <c r="Y136" s="124" t="s">
        <v>97</v>
      </c>
      <c r="Z136" s="310">
        <v>2860.81</v>
      </c>
      <c r="AA136" s="78">
        <v>1</v>
      </c>
      <c r="AB136" s="64">
        <v>1</v>
      </c>
      <c r="AC136" s="78">
        <v>4650.9370749801792</v>
      </c>
      <c r="AD136" s="78">
        <v>40.815538353272345</v>
      </c>
      <c r="AE136" s="310">
        <v>7.5031858463394059</v>
      </c>
      <c r="AF136" s="313">
        <v>18.383160308696127</v>
      </c>
      <c r="AG136" s="30"/>
      <c r="AH136" s="123" t="s">
        <v>97</v>
      </c>
      <c r="AI136" s="694">
        <v>2860.81</v>
      </c>
      <c r="AJ136" s="57">
        <v>4650.9370749801792</v>
      </c>
      <c r="AK136" s="57">
        <v>40.815538353272345</v>
      </c>
      <c r="AL136" s="737">
        <v>7.5031858463394059</v>
      </c>
      <c r="AM136" s="737">
        <v>18.383160308696127</v>
      </c>
      <c r="AN136" s="807">
        <f>AVERAGE(AM136:AM138)</f>
        <v>22.997776277972193</v>
      </c>
      <c r="AP136" s="22"/>
      <c r="AQ136" s="22"/>
      <c r="AS136" s="1"/>
      <c r="AT136" s="1"/>
      <c r="AU136" s="1"/>
      <c r="AV136" s="1"/>
      <c r="AW136" s="1"/>
      <c r="AX136" s="1"/>
      <c r="AY136" s="22"/>
      <c r="BA136"/>
    </row>
    <row r="137" spans="25:53" x14ac:dyDescent="0.3">
      <c r="Y137" s="124" t="s">
        <v>103</v>
      </c>
      <c r="Z137" s="310">
        <v>4633.9799999999996</v>
      </c>
      <c r="AA137" s="78">
        <v>1</v>
      </c>
      <c r="AB137" s="64">
        <v>1</v>
      </c>
      <c r="AC137" s="78">
        <v>4650.9370749801792</v>
      </c>
      <c r="AD137" s="78">
        <v>40.248655876143559</v>
      </c>
      <c r="AE137" s="310">
        <v>11.37369886705682</v>
      </c>
      <c r="AF137" s="313">
        <v>28.258580614609574</v>
      </c>
      <c r="AG137" s="30"/>
      <c r="AH137" s="124" t="s">
        <v>103</v>
      </c>
      <c r="AI137" s="173">
        <v>4633.9799999999996</v>
      </c>
      <c r="AJ137" s="78">
        <v>4650.9370749801792</v>
      </c>
      <c r="AK137" s="78">
        <v>40.248655876143559</v>
      </c>
      <c r="AL137" s="310">
        <v>11.37369886705682</v>
      </c>
      <c r="AM137" s="310">
        <v>28.258580614609574</v>
      </c>
      <c r="AN137" s="852"/>
      <c r="AO137"/>
      <c r="AP137" s="22"/>
      <c r="AR137"/>
      <c r="AS137" s="1"/>
      <c r="AT137" s="1"/>
      <c r="AU137" s="1"/>
      <c r="AV137" s="1"/>
      <c r="AW137" s="1"/>
      <c r="AX137" s="1"/>
      <c r="AY137" s="22"/>
      <c r="BA137"/>
    </row>
    <row r="138" spans="25:53" x14ac:dyDescent="0.3">
      <c r="Y138" s="124" t="s">
        <v>109</v>
      </c>
      <c r="Z138" s="310">
        <v>3544.8</v>
      </c>
      <c r="AA138" s="78">
        <v>1</v>
      </c>
      <c r="AB138" s="64">
        <v>1</v>
      </c>
      <c r="AC138" s="78">
        <v>4650.9370749801792</v>
      </c>
      <c r="AD138" s="78">
        <v>40.248655876143559</v>
      </c>
      <c r="AE138" s="310">
        <v>8.9962137009954759</v>
      </c>
      <c r="AF138" s="313">
        <v>22.351587910610871</v>
      </c>
      <c r="AG138" s="31"/>
      <c r="AH138" s="738" t="s">
        <v>109</v>
      </c>
      <c r="AI138" s="695">
        <v>3544.8</v>
      </c>
      <c r="AJ138" s="58">
        <v>4650.9370749801792</v>
      </c>
      <c r="AK138" s="58">
        <v>40.248655876143559</v>
      </c>
      <c r="AL138" s="739">
        <v>8.9962137009954759</v>
      </c>
      <c r="AM138" s="739">
        <v>22.351587910610871</v>
      </c>
      <c r="AN138" s="853"/>
      <c r="AO138"/>
      <c r="AP138" s="22"/>
      <c r="AR138"/>
      <c r="AS138" s="1"/>
      <c r="AT138" s="1"/>
      <c r="AU138" s="1"/>
      <c r="AV138" s="1"/>
      <c r="AW138" s="1"/>
      <c r="AX138" s="1"/>
      <c r="AY138" s="22"/>
      <c r="BA138"/>
    </row>
    <row r="139" spans="25:53" x14ac:dyDescent="0.3">
      <c r="Y139" s="124" t="s">
        <v>92</v>
      </c>
      <c r="Z139" s="310">
        <v>4010.92</v>
      </c>
      <c r="AA139" s="78">
        <v>1</v>
      </c>
      <c r="AB139" s="64">
        <v>1</v>
      </c>
      <c r="AC139" s="78">
        <v>4648.255327428029</v>
      </c>
      <c r="AD139" s="78">
        <v>36.490699833472107</v>
      </c>
      <c r="AE139" s="310">
        <v>10.007896387113536</v>
      </c>
      <c r="AF139" s="313">
        <v>27.425882300929498</v>
      </c>
      <c r="AG139" s="30"/>
      <c r="AH139" s="123" t="s">
        <v>92</v>
      </c>
      <c r="AI139" s="694">
        <v>4010.92</v>
      </c>
      <c r="AJ139" s="57">
        <v>4648.255327428029</v>
      </c>
      <c r="AK139" s="57">
        <v>36.490699833472107</v>
      </c>
      <c r="AL139" s="737">
        <v>10.007896387113536</v>
      </c>
      <c r="AM139" s="737">
        <v>27.425882300929498</v>
      </c>
      <c r="AN139" s="807">
        <f>AVERAGE(AM139:AM141)</f>
        <v>29.160113830799308</v>
      </c>
      <c r="AO139"/>
      <c r="AP139" s="22"/>
      <c r="AR139"/>
      <c r="AS139" s="1"/>
      <c r="AT139" s="1"/>
      <c r="AU139" s="1"/>
      <c r="AV139" s="1"/>
      <c r="AW139" s="1"/>
      <c r="AX139" s="1"/>
      <c r="AY139" s="22"/>
      <c r="BA139"/>
    </row>
    <row r="140" spans="25:53" x14ac:dyDescent="0.3">
      <c r="Y140" s="124" t="s">
        <v>87</v>
      </c>
      <c r="Z140" s="310">
        <v>4018.05</v>
      </c>
      <c r="AA140" s="78">
        <v>1</v>
      </c>
      <c r="AB140" s="64">
        <v>1</v>
      </c>
      <c r="AC140" s="78">
        <v>4648.255327428029</v>
      </c>
      <c r="AD140" s="78">
        <v>36.118345753538712</v>
      </c>
      <c r="AE140" s="310">
        <v>10.023450928102205</v>
      </c>
      <c r="AF140" s="313">
        <v>27.751688841176104</v>
      </c>
      <c r="AG140" s="31"/>
      <c r="AH140" s="124" t="s">
        <v>87</v>
      </c>
      <c r="AI140" s="173">
        <v>4018.05</v>
      </c>
      <c r="AJ140" s="78">
        <v>4648.255327428029</v>
      </c>
      <c r="AK140" s="78">
        <v>36.118345753538712</v>
      </c>
      <c r="AL140" s="310">
        <v>10.023450928102205</v>
      </c>
      <c r="AM140" s="310">
        <v>27.751688841176104</v>
      </c>
      <c r="AN140" s="852"/>
      <c r="AO140"/>
      <c r="AP140" s="22"/>
      <c r="AR140"/>
      <c r="AS140" s="1"/>
      <c r="AT140" s="1"/>
      <c r="AU140" s="1"/>
      <c r="AV140" s="1"/>
      <c r="AW140" s="1"/>
      <c r="AX140" s="1"/>
      <c r="AY140" s="22"/>
      <c r="BA140"/>
    </row>
    <row r="141" spans="25:53" x14ac:dyDescent="0.3">
      <c r="Y141" s="124" t="s">
        <v>70</v>
      </c>
      <c r="Z141" s="310">
        <v>4606.13</v>
      </c>
      <c r="AA141" s="78">
        <v>1</v>
      </c>
      <c r="AB141" s="64">
        <v>1</v>
      </c>
      <c r="AC141" s="78">
        <v>4648.255327428029</v>
      </c>
      <c r="AD141" s="78">
        <v>35.001283513738549</v>
      </c>
      <c r="AE141" s="310">
        <v>11.30638423309769</v>
      </c>
      <c r="AF141" s="313">
        <v>32.30277035029232</v>
      </c>
      <c r="AG141" s="31"/>
      <c r="AH141" s="738" t="s">
        <v>70</v>
      </c>
      <c r="AI141" s="695">
        <v>4606.13</v>
      </c>
      <c r="AJ141" s="58">
        <v>4648.255327428029</v>
      </c>
      <c r="AK141" s="58">
        <v>35.001283513738549</v>
      </c>
      <c r="AL141" s="739">
        <v>11.30638423309769</v>
      </c>
      <c r="AM141" s="739">
        <v>32.30277035029232</v>
      </c>
      <c r="AN141" s="853"/>
      <c r="AO141"/>
      <c r="AP141" s="22"/>
      <c r="AR141"/>
      <c r="AS141" s="22"/>
      <c r="AT141" s="22"/>
      <c r="AV141" s="22"/>
      <c r="AW141" s="22"/>
      <c r="AY141" s="22"/>
      <c r="BA141"/>
    </row>
    <row r="142" spans="25:53" x14ac:dyDescent="0.3">
      <c r="Y142" s="124" t="s">
        <v>68</v>
      </c>
      <c r="Z142" s="310">
        <v>382.09</v>
      </c>
      <c r="AA142" s="78">
        <v>1</v>
      </c>
      <c r="AB142" s="64">
        <v>1</v>
      </c>
      <c r="AC142" s="78">
        <v>4660.6767504578875</v>
      </c>
      <c r="AD142" s="78">
        <v>36.437371281674622</v>
      </c>
      <c r="AE142" s="310">
        <v>2.0969654919012335</v>
      </c>
      <c r="AF142" s="313">
        <v>5.7549856593410631</v>
      </c>
      <c r="AG142" s="31"/>
      <c r="AH142" s="124" t="s">
        <v>68</v>
      </c>
      <c r="AI142" s="173">
        <v>382.09</v>
      </c>
      <c r="AJ142" s="78">
        <v>4660.6767504578875</v>
      </c>
      <c r="AK142" s="78">
        <v>36.437371281674622</v>
      </c>
      <c r="AL142" s="310">
        <v>2.0969654919012335</v>
      </c>
      <c r="AM142" s="310">
        <v>5.7549856593410631</v>
      </c>
      <c r="AN142" s="808">
        <f>AVERAGE(AM142:AM144)</f>
        <v>5.8639514456676087</v>
      </c>
      <c r="AO142"/>
      <c r="AP142" s="22"/>
      <c r="AR142"/>
      <c r="AS142" s="22"/>
      <c r="AT142" s="22"/>
      <c r="AV142" s="22"/>
      <c r="AW142" s="22"/>
      <c r="AY142" s="22"/>
      <c r="BA142"/>
    </row>
    <row r="143" spans="25:53" x14ac:dyDescent="0.3">
      <c r="Y143" s="124" t="s">
        <v>69</v>
      </c>
      <c r="Z143" s="310">
        <v>446.3</v>
      </c>
      <c r="AA143" s="78">
        <v>1</v>
      </c>
      <c r="AB143" s="64">
        <v>1</v>
      </c>
      <c r="AC143" s="78">
        <v>4660.6767504578875</v>
      </c>
      <c r="AD143" s="78">
        <v>34.841573999265513</v>
      </c>
      <c r="AE143" s="310">
        <v>2.2374179507865302</v>
      </c>
      <c r="AF143" s="313">
        <v>6.4216902222433943</v>
      </c>
      <c r="AG143" s="5"/>
      <c r="AH143" s="124" t="s">
        <v>69</v>
      </c>
      <c r="AI143" s="173">
        <v>446.3</v>
      </c>
      <c r="AJ143" s="78">
        <v>4660.6767504578875</v>
      </c>
      <c r="AK143" s="78">
        <v>34.841573999265513</v>
      </c>
      <c r="AL143" s="310">
        <v>2.2374179507865302</v>
      </c>
      <c r="AM143" s="310">
        <v>6.4216902222433943</v>
      </c>
      <c r="AN143" s="852"/>
      <c r="AO143"/>
      <c r="AP143" s="22"/>
      <c r="AR143"/>
      <c r="AS143" s="22"/>
      <c r="AT143" s="22"/>
      <c r="AV143" s="22"/>
      <c r="AW143" s="22"/>
      <c r="AY143" s="22"/>
      <c r="BA143"/>
    </row>
    <row r="144" spans="25:53" x14ac:dyDescent="0.3">
      <c r="Y144" s="124" t="s">
        <v>110</v>
      </c>
      <c r="Z144" s="310">
        <v>378.16</v>
      </c>
      <c r="AA144" s="78">
        <v>1</v>
      </c>
      <c r="AB144" s="64">
        <v>1</v>
      </c>
      <c r="AC144" s="78">
        <v>4660.6767504578875</v>
      </c>
      <c r="AD144" s="78">
        <v>38.565100991553436</v>
      </c>
      <c r="AE144" s="310">
        <v>2.0883690402049369</v>
      </c>
      <c r="AF144" s="313">
        <v>5.4151784554183671</v>
      </c>
      <c r="AG144" s="5"/>
      <c r="AH144" s="124" t="s">
        <v>110</v>
      </c>
      <c r="AI144" s="173">
        <v>378.16</v>
      </c>
      <c r="AJ144" s="78">
        <v>4660.6767504578875</v>
      </c>
      <c r="AK144" s="78">
        <v>38.565100991553436</v>
      </c>
      <c r="AL144" s="310">
        <v>2.0883690402049369</v>
      </c>
      <c r="AM144" s="310">
        <v>5.4151784554183671</v>
      </c>
      <c r="AN144" s="852"/>
      <c r="AO144"/>
      <c r="AP144" s="22"/>
      <c r="AR144"/>
      <c r="AS144" s="22"/>
      <c r="AT144" s="22"/>
      <c r="AV144" s="22"/>
      <c r="AW144" s="22"/>
      <c r="AY144" s="22"/>
      <c r="BA144"/>
    </row>
    <row r="145" spans="24:53" x14ac:dyDescent="0.3">
      <c r="Y145" s="124" t="s">
        <v>76</v>
      </c>
      <c r="Z145" s="310">
        <v>971.57</v>
      </c>
      <c r="AA145" s="78">
        <v>1</v>
      </c>
      <c r="AB145" s="64">
        <v>1</v>
      </c>
      <c r="AC145" s="78">
        <v>4659.1173292713884</v>
      </c>
      <c r="AD145" s="78">
        <v>35.262368060591413</v>
      </c>
      <c r="AE145" s="310">
        <v>3.3852564425485561</v>
      </c>
      <c r="AF145" s="313">
        <v>9.6001959843753593</v>
      </c>
      <c r="AG145" s="34"/>
      <c r="AH145" s="123" t="s">
        <v>76</v>
      </c>
      <c r="AI145" s="694">
        <v>971.57</v>
      </c>
      <c r="AJ145" s="57">
        <v>4659.1173292713884</v>
      </c>
      <c r="AK145" s="57">
        <v>35.262368060591413</v>
      </c>
      <c r="AL145" s="737">
        <v>3.3852564425485561</v>
      </c>
      <c r="AM145" s="737">
        <v>9.6001959843753593</v>
      </c>
      <c r="AN145" s="807">
        <f>AVERAGE(AM145:AM147)</f>
        <v>11.067487327882516</v>
      </c>
      <c r="AO145"/>
      <c r="AP145" s="22"/>
      <c r="AR145"/>
      <c r="AS145" s="22"/>
      <c r="AT145" s="22"/>
      <c r="AV145" s="22"/>
      <c r="AW145" s="22"/>
      <c r="AY145" s="22"/>
      <c r="BA145"/>
    </row>
    <row r="146" spans="24:53" x14ac:dyDescent="0.3">
      <c r="Y146" s="124" t="s">
        <v>105</v>
      </c>
      <c r="Z146" s="310">
        <v>1398.56</v>
      </c>
      <c r="AA146" s="78">
        <v>1</v>
      </c>
      <c r="AB146" s="64">
        <v>1</v>
      </c>
      <c r="AC146" s="78">
        <v>4659.1173292713884</v>
      </c>
      <c r="AD146" s="78">
        <v>35.826565949560873</v>
      </c>
      <c r="AE146" s="310">
        <v>4.3189385697488145</v>
      </c>
      <c r="AF146" s="313">
        <v>12.055128520632751</v>
      </c>
      <c r="AG146" s="28"/>
      <c r="AH146" s="124" t="s">
        <v>105</v>
      </c>
      <c r="AI146" s="173">
        <v>1398.56</v>
      </c>
      <c r="AJ146" s="78">
        <v>4659.1173292713884</v>
      </c>
      <c r="AK146" s="78">
        <v>35.826565949560873</v>
      </c>
      <c r="AL146" s="310">
        <v>4.3189385697488145</v>
      </c>
      <c r="AM146" s="310">
        <v>12.055128520632751</v>
      </c>
      <c r="AN146" s="852"/>
      <c r="AO146"/>
      <c r="AP146" s="22"/>
      <c r="AR146"/>
      <c r="AS146" s="22"/>
      <c r="AT146" s="22"/>
      <c r="AV146" s="22"/>
      <c r="AW146" s="22"/>
      <c r="AY146" s="22"/>
      <c r="BA146"/>
    </row>
    <row r="147" spans="24:53" x14ac:dyDescent="0.3">
      <c r="Y147" s="124" t="s">
        <v>111</v>
      </c>
      <c r="Z147" s="310">
        <v>1315.33</v>
      </c>
      <c r="AA147" s="78">
        <v>1</v>
      </c>
      <c r="AB147" s="64">
        <v>1</v>
      </c>
      <c r="AC147" s="78">
        <v>4659.1173292713884</v>
      </c>
      <c r="AD147" s="78">
        <v>35.826565949560873</v>
      </c>
      <c r="AE147" s="310">
        <v>4.1369428240712169</v>
      </c>
      <c r="AF147" s="313">
        <v>11.547137478639433</v>
      </c>
      <c r="AG147" s="34"/>
      <c r="AH147" s="738" t="s">
        <v>111</v>
      </c>
      <c r="AI147" s="695">
        <v>1315.33</v>
      </c>
      <c r="AJ147" s="58">
        <v>4659.1173292713884</v>
      </c>
      <c r="AK147" s="58">
        <v>35.826565949560873</v>
      </c>
      <c r="AL147" s="739">
        <v>4.1369428240712169</v>
      </c>
      <c r="AM147" s="739">
        <v>11.547137478639433</v>
      </c>
      <c r="AN147" s="853"/>
      <c r="AO147"/>
      <c r="AP147" s="22"/>
      <c r="AR147"/>
      <c r="AS147" s="22"/>
      <c r="AT147" s="22"/>
      <c r="AV147" s="22"/>
      <c r="AW147" s="22"/>
      <c r="AY147" s="22"/>
      <c r="BA147"/>
    </row>
    <row r="148" spans="24:53" x14ac:dyDescent="0.3">
      <c r="Y148" s="124" t="s">
        <v>89</v>
      </c>
      <c r="Z148" s="310">
        <v>2695.39</v>
      </c>
      <c r="AA148" s="78">
        <v>1</v>
      </c>
      <c r="AB148" s="64">
        <v>1</v>
      </c>
      <c r="AC148" s="78">
        <v>4659.4741431365364</v>
      </c>
      <c r="AD148" s="78">
        <v>36.784095707248419</v>
      </c>
      <c r="AE148" s="310">
        <v>7.1552133183353002</v>
      </c>
      <c r="AF148" s="313">
        <v>19.451921219651851</v>
      </c>
      <c r="AG148" s="34"/>
      <c r="AH148" s="124" t="s">
        <v>89</v>
      </c>
      <c r="AI148" s="173">
        <v>2695.39</v>
      </c>
      <c r="AJ148" s="78">
        <v>4659.4741431365364</v>
      </c>
      <c r="AK148" s="78">
        <v>36.784095707248419</v>
      </c>
      <c r="AL148" s="310">
        <v>7.1552133183353002</v>
      </c>
      <c r="AM148" s="310">
        <v>19.451921219651851</v>
      </c>
      <c r="AN148" s="808">
        <f>AVERAGE(AM148:AM150)</f>
        <v>23.484734097197162</v>
      </c>
      <c r="AP148" s="22"/>
      <c r="AQ148" s="22"/>
      <c r="AS148" s="22"/>
      <c r="AT148" s="22"/>
      <c r="AV148" s="22"/>
      <c r="AW148" s="22"/>
      <c r="AY148" s="22"/>
      <c r="BA148"/>
    </row>
    <row r="149" spans="24:53" x14ac:dyDescent="0.3">
      <c r="Y149" s="124" t="s">
        <v>94</v>
      </c>
      <c r="Z149" s="310">
        <v>3309.74</v>
      </c>
      <c r="AA149" s="78">
        <v>1</v>
      </c>
      <c r="AB149" s="64">
        <v>1</v>
      </c>
      <c r="AC149" s="78">
        <v>4659.4741431365364</v>
      </c>
      <c r="AD149" s="78">
        <v>36.266009852216754</v>
      </c>
      <c r="AE149" s="310">
        <v>8.4986910204219051</v>
      </c>
      <c r="AF149" s="313">
        <v>23.434315092986232</v>
      </c>
      <c r="AG149" s="10"/>
      <c r="AH149" s="124" t="s">
        <v>94</v>
      </c>
      <c r="AI149" s="173">
        <v>3309.74</v>
      </c>
      <c r="AJ149" s="78">
        <v>4659.4741431365364</v>
      </c>
      <c r="AK149" s="78">
        <v>36.266009852216754</v>
      </c>
      <c r="AL149" s="310">
        <v>8.4986910204219051</v>
      </c>
      <c r="AM149" s="310">
        <v>23.434315092986232</v>
      </c>
      <c r="AN149" s="852"/>
      <c r="AP149" s="124" t="s">
        <v>1</v>
      </c>
      <c r="AQ149" s="46" t="s">
        <v>10</v>
      </c>
      <c r="AS149" s="22"/>
      <c r="AT149" s="22"/>
      <c r="AV149" s="22"/>
      <c r="AW149" s="22"/>
      <c r="AY149" s="22"/>
      <c r="BA149"/>
    </row>
    <row r="150" spans="24:53" x14ac:dyDescent="0.3">
      <c r="Y150" s="124" t="s">
        <v>99</v>
      </c>
      <c r="Z150" s="310">
        <v>4060.57</v>
      </c>
      <c r="AA150" s="78">
        <v>1</v>
      </c>
      <c r="AB150" s="64">
        <v>1</v>
      </c>
      <c r="AC150" s="78">
        <v>4659.4741431365364</v>
      </c>
      <c r="AD150" s="78">
        <v>36.784095707248419</v>
      </c>
      <c r="AE150" s="310">
        <v>10.140626990239902</v>
      </c>
      <c r="AF150" s="313">
        <v>27.567965978953403</v>
      </c>
      <c r="AG150" s="10"/>
      <c r="AH150" s="124" t="s">
        <v>99</v>
      </c>
      <c r="AI150" s="173">
        <v>4060.57</v>
      </c>
      <c r="AJ150" s="78">
        <v>4659.4741431365364</v>
      </c>
      <c r="AK150" s="78">
        <v>36.784095707248419</v>
      </c>
      <c r="AL150" s="310">
        <v>10.140626990239902</v>
      </c>
      <c r="AM150" s="310">
        <v>27.567965978953403</v>
      </c>
      <c r="AN150" s="852"/>
      <c r="AO150"/>
      <c r="AP150" s="124" t="s">
        <v>2</v>
      </c>
      <c r="AQ150" s="46" t="s">
        <v>13</v>
      </c>
      <c r="AR150"/>
      <c r="AS150" s="22"/>
      <c r="AU150"/>
      <c r="AV150" s="22"/>
      <c r="AX150"/>
      <c r="AY150" s="22"/>
      <c r="BA150"/>
    </row>
    <row r="151" spans="24:53" x14ac:dyDescent="0.3">
      <c r="Y151" s="124" t="s">
        <v>79</v>
      </c>
      <c r="Z151" s="310">
        <v>1253.04</v>
      </c>
      <c r="AA151" s="78">
        <v>1</v>
      </c>
      <c r="AB151" s="64">
        <v>1</v>
      </c>
      <c r="AC151" s="78">
        <v>4656.7923955843862</v>
      </c>
      <c r="AD151" s="78">
        <v>33.629215237302255</v>
      </c>
      <c r="AE151" s="310">
        <v>3.9987393508636364</v>
      </c>
      <c r="AF151" s="313">
        <v>11.89067102115469</v>
      </c>
      <c r="AG151" s="10"/>
      <c r="AH151" s="123" t="s">
        <v>79</v>
      </c>
      <c r="AI151" s="694">
        <v>1253.04</v>
      </c>
      <c r="AJ151" s="57">
        <v>4656.7923955843862</v>
      </c>
      <c r="AK151" s="57">
        <v>33.629215237302255</v>
      </c>
      <c r="AL151" s="737">
        <v>3.9987393508636364</v>
      </c>
      <c r="AM151" s="737">
        <v>11.89067102115469</v>
      </c>
      <c r="AN151" s="807">
        <f>AVERAGE(AM151:AM153)</f>
        <v>29.728397275480727</v>
      </c>
      <c r="AO151"/>
      <c r="AP151" s="124" t="s">
        <v>4</v>
      </c>
      <c r="AQ151" s="46" t="s">
        <v>24</v>
      </c>
      <c r="AR151"/>
      <c r="AS151" s="22"/>
      <c r="AU151"/>
      <c r="AV151" s="22"/>
      <c r="AX151"/>
      <c r="AY151" s="22"/>
      <c r="BA151"/>
    </row>
    <row r="152" spans="24:53" x14ac:dyDescent="0.3">
      <c r="Y152" s="124" t="s">
        <v>80</v>
      </c>
      <c r="Z152" s="310">
        <v>5086.87</v>
      </c>
      <c r="AA152" s="78">
        <v>1</v>
      </c>
      <c r="AB152" s="64">
        <v>1</v>
      </c>
      <c r="AC152" s="78">
        <v>4656.7923955843862</v>
      </c>
      <c r="AD152" s="78">
        <v>30.938878018318071</v>
      </c>
      <c r="AE152" s="310">
        <v>12.37784029889165</v>
      </c>
      <c r="AF152" s="313">
        <v>40.007398754289234</v>
      </c>
      <c r="AG152" s="10"/>
      <c r="AH152" s="124" t="s">
        <v>80</v>
      </c>
      <c r="AI152" s="173">
        <v>5086.87</v>
      </c>
      <c r="AJ152" s="78">
        <v>4656.7923955843862</v>
      </c>
      <c r="AK152" s="78">
        <v>30.938878018318071</v>
      </c>
      <c r="AL152" s="310">
        <v>12.37784029889165</v>
      </c>
      <c r="AM152" s="310">
        <v>40.007398754289234</v>
      </c>
      <c r="AN152" s="852"/>
      <c r="AO152"/>
      <c r="AP152" s="124" t="s">
        <v>12</v>
      </c>
      <c r="AQ152" s="46" t="s">
        <v>25</v>
      </c>
      <c r="AR152"/>
      <c r="AS152" s="22"/>
      <c r="AU152"/>
      <c r="AV152" s="22"/>
      <c r="AX152"/>
      <c r="AY152" s="22"/>
      <c r="BA152"/>
    </row>
    <row r="153" spans="24:53" ht="15" thickBot="1" x14ac:dyDescent="0.35">
      <c r="Y153" s="125" t="s">
        <v>81</v>
      </c>
      <c r="Z153" s="314">
        <v>5562.39</v>
      </c>
      <c r="AA153" s="59">
        <v>1</v>
      </c>
      <c r="AB153" s="54">
        <v>1</v>
      </c>
      <c r="AC153" s="59">
        <v>4656.7923955843862</v>
      </c>
      <c r="AD153" s="59">
        <v>35.983260303913404</v>
      </c>
      <c r="AE153" s="314">
        <v>13.417122187448596</v>
      </c>
      <c r="AF153" s="315">
        <v>37.287122050998256</v>
      </c>
      <c r="AH153" s="125" t="s">
        <v>81</v>
      </c>
      <c r="AI153" s="696">
        <v>5562.39</v>
      </c>
      <c r="AJ153" s="59">
        <v>4656.7923955843862</v>
      </c>
      <c r="AK153" s="59">
        <v>35.983260303913404</v>
      </c>
      <c r="AL153" s="314">
        <v>13.417122187448596</v>
      </c>
      <c r="AM153" s="314">
        <v>37.287122050998256</v>
      </c>
      <c r="AN153" s="854"/>
      <c r="AO153"/>
      <c r="AP153" s="124" t="s">
        <v>36</v>
      </c>
      <c r="AQ153" s="46" t="s">
        <v>38</v>
      </c>
      <c r="AR153"/>
      <c r="AS153" s="22"/>
      <c r="AU153"/>
      <c r="AV153" s="22"/>
      <c r="AX153"/>
      <c r="AY153" s="22"/>
      <c r="BA153"/>
    </row>
    <row r="154" spans="24:53" x14ac:dyDescent="0.3">
      <c r="AP154" s="124" t="s">
        <v>37</v>
      </c>
      <c r="AQ154" s="46" t="s">
        <v>73</v>
      </c>
    </row>
    <row r="157" spans="24:53" x14ac:dyDescent="0.3">
      <c r="X157" s="22"/>
      <c r="Y157" s="22"/>
      <c r="Z157" s="22"/>
      <c r="AA157" s="22"/>
      <c r="AB157" s="22"/>
      <c r="AC157" s="22"/>
      <c r="AD157" s="22"/>
      <c r="AE157" s="22"/>
      <c r="AF157" s="22"/>
    </row>
    <row r="158" spans="24:53" x14ac:dyDescent="0.3">
      <c r="X158" s="22"/>
      <c r="Y158" s="22" t="s">
        <v>47</v>
      </c>
      <c r="Z158" s="22"/>
      <c r="AA158" s="22">
        <v>3</v>
      </c>
      <c r="AB158" s="22">
        <v>4</v>
      </c>
      <c r="AC158" s="22">
        <v>5</v>
      </c>
      <c r="AD158" s="22">
        <v>6</v>
      </c>
      <c r="AE158" s="22">
        <v>7</v>
      </c>
      <c r="AF158" s="22"/>
    </row>
    <row r="159" spans="24:53" x14ac:dyDescent="0.3">
      <c r="X159" s="22"/>
      <c r="Y159" s="791" t="s">
        <v>35</v>
      </c>
      <c r="Z159" s="22" t="s">
        <v>10</v>
      </c>
      <c r="AA159" s="22"/>
      <c r="AB159" s="22"/>
      <c r="AC159" s="22">
        <v>9.3771020818700332</v>
      </c>
      <c r="AD159" s="22" t="s">
        <v>9</v>
      </c>
      <c r="AE159" s="22">
        <v>29.73</v>
      </c>
      <c r="AF159" s="22"/>
    </row>
    <row r="160" spans="24:53" x14ac:dyDescent="0.3">
      <c r="X160" s="22"/>
      <c r="Y160" s="791"/>
      <c r="Z160" s="22" t="s">
        <v>73</v>
      </c>
      <c r="AA160" s="22"/>
      <c r="AB160" s="22"/>
      <c r="AC160" s="22">
        <v>0.92136908320943922</v>
      </c>
      <c r="AD160" s="22" t="s">
        <v>9</v>
      </c>
      <c r="AE160" s="22">
        <v>5.86</v>
      </c>
      <c r="AF160" s="22"/>
    </row>
    <row r="161" spans="24:32" x14ac:dyDescent="0.3">
      <c r="X161" s="22"/>
      <c r="Y161" s="791"/>
      <c r="Z161" s="22" t="s">
        <v>25</v>
      </c>
      <c r="AA161" s="22"/>
      <c r="AB161" s="22"/>
      <c r="AC161" s="22">
        <v>0</v>
      </c>
      <c r="AD161" s="22" t="s">
        <v>9</v>
      </c>
      <c r="AE161" s="22">
        <v>0</v>
      </c>
      <c r="AF161" s="22"/>
    </row>
    <row r="162" spans="24:32" x14ac:dyDescent="0.3">
      <c r="X162" s="22"/>
      <c r="Y162" s="791"/>
      <c r="Z162" s="22" t="s">
        <v>227</v>
      </c>
      <c r="AA162" s="22"/>
      <c r="AB162" s="22"/>
      <c r="AC162" s="22">
        <v>0</v>
      </c>
      <c r="AD162" s="22" t="s">
        <v>9</v>
      </c>
      <c r="AE162" s="22">
        <v>0</v>
      </c>
      <c r="AF162" s="22"/>
    </row>
    <row r="163" spans="24:32" x14ac:dyDescent="0.3">
      <c r="X163" s="22"/>
      <c r="Y163" s="791"/>
      <c r="Z163" s="22" t="s">
        <v>13</v>
      </c>
      <c r="AA163" s="22"/>
      <c r="AB163" s="22"/>
      <c r="AC163" s="22">
        <v>8.0505739235692015</v>
      </c>
      <c r="AD163" s="22" t="s">
        <v>9</v>
      </c>
      <c r="AE163" s="22">
        <v>23.48</v>
      </c>
      <c r="AF163" s="22"/>
    </row>
    <row r="164" spans="24:32" x14ac:dyDescent="0.3">
      <c r="X164" s="22"/>
      <c r="Y164" s="791"/>
      <c r="Z164" s="22" t="s">
        <v>24</v>
      </c>
      <c r="AA164" s="22"/>
      <c r="AB164" s="22"/>
      <c r="AC164" s="22">
        <v>2.2768522464763392</v>
      </c>
      <c r="AD164" s="22" t="s">
        <v>9</v>
      </c>
      <c r="AE164" s="22">
        <v>11.07</v>
      </c>
      <c r="AF164" s="22"/>
    </row>
    <row r="165" spans="24:32" x14ac:dyDescent="0.3">
      <c r="X165" s="22"/>
      <c r="Y165" s="791" t="s">
        <v>480</v>
      </c>
      <c r="Z165" s="22" t="s">
        <v>10</v>
      </c>
      <c r="AA165" s="22"/>
      <c r="AB165" s="22"/>
      <c r="AC165" s="22">
        <v>8.8604126217914523</v>
      </c>
      <c r="AD165" s="22">
        <v>34</v>
      </c>
      <c r="AE165" s="22">
        <v>29.16</v>
      </c>
      <c r="AF165" s="22"/>
    </row>
    <row r="166" spans="24:32" x14ac:dyDescent="0.3">
      <c r="X166" s="22"/>
      <c r="Y166" s="791"/>
      <c r="Z166" s="22" t="s">
        <v>73</v>
      </c>
      <c r="AA166" s="22"/>
      <c r="AB166" s="22"/>
      <c r="AC166" s="22">
        <v>0.97033573995376832</v>
      </c>
      <c r="AD166" s="22" t="s">
        <v>9</v>
      </c>
      <c r="AE166" s="22">
        <v>4.9315271640049403</v>
      </c>
      <c r="AF166" s="22"/>
    </row>
    <row r="167" spans="24:32" x14ac:dyDescent="0.3">
      <c r="X167" s="22"/>
      <c r="Y167" s="791"/>
      <c r="Z167" s="22" t="s">
        <v>25</v>
      </c>
      <c r="AA167" s="22"/>
      <c r="AB167" s="22"/>
      <c r="AC167" s="22">
        <v>0</v>
      </c>
      <c r="AD167" s="22">
        <v>8.7992971219264504</v>
      </c>
      <c r="AE167" s="22">
        <v>0</v>
      </c>
      <c r="AF167" s="22"/>
    </row>
    <row r="168" spans="24:32" x14ac:dyDescent="0.3">
      <c r="X168" s="22"/>
      <c r="Y168" s="791"/>
      <c r="Z168" s="22" t="s">
        <v>227</v>
      </c>
      <c r="AA168" s="22"/>
      <c r="AB168" s="22"/>
      <c r="AC168" s="912">
        <v>0</v>
      </c>
      <c r="AD168" s="22" t="s">
        <v>9</v>
      </c>
      <c r="AE168" s="22">
        <v>0</v>
      </c>
      <c r="AF168" s="22"/>
    </row>
    <row r="169" spans="24:32" x14ac:dyDescent="0.3">
      <c r="X169" s="22"/>
      <c r="Y169" s="791"/>
      <c r="Z169" s="22" t="s">
        <v>13</v>
      </c>
      <c r="AA169" s="22"/>
      <c r="AB169" s="22"/>
      <c r="AC169" s="22">
        <v>11.641245215952884</v>
      </c>
      <c r="AD169" s="22">
        <v>35</v>
      </c>
      <c r="AE169" s="22">
        <v>22.997776277972193</v>
      </c>
      <c r="AF169" s="22"/>
    </row>
    <row r="170" spans="24:32" x14ac:dyDescent="0.3">
      <c r="X170" s="22"/>
      <c r="Y170" s="791"/>
      <c r="Z170" s="22" t="s">
        <v>24</v>
      </c>
      <c r="AA170" s="22"/>
      <c r="AB170" s="22"/>
      <c r="AC170" s="22">
        <v>4.0440209613168498</v>
      </c>
      <c r="AD170" s="22">
        <v>28.134445471353555</v>
      </c>
      <c r="AE170" s="22">
        <v>8.9519658558373649</v>
      </c>
      <c r="AF170" s="22"/>
    </row>
    <row r="171" spans="24:32" x14ac:dyDescent="0.3">
      <c r="X171" s="22"/>
      <c r="Y171" s="791" t="s">
        <v>340</v>
      </c>
      <c r="Z171" s="22" t="s">
        <v>10</v>
      </c>
      <c r="AA171" s="22"/>
      <c r="AB171" s="22"/>
      <c r="AC171" s="22">
        <v>10.837065633388614</v>
      </c>
      <c r="AD171" s="22" t="s">
        <v>9</v>
      </c>
      <c r="AE171" s="22" t="s">
        <v>9</v>
      </c>
      <c r="AF171" s="22"/>
    </row>
    <row r="172" spans="24:32" x14ac:dyDescent="0.3">
      <c r="X172" s="22"/>
      <c r="Y172" s="791"/>
      <c r="Z172" s="22" t="s">
        <v>73</v>
      </c>
      <c r="AA172" s="22"/>
      <c r="AB172" s="22"/>
      <c r="AC172" s="22">
        <v>0.51100757607290348</v>
      </c>
      <c r="AD172" s="22" t="s">
        <v>9</v>
      </c>
      <c r="AE172" s="22" t="s">
        <v>9</v>
      </c>
      <c r="AF172" s="22"/>
    </row>
    <row r="173" spans="24:32" x14ac:dyDescent="0.3">
      <c r="X173" s="22"/>
      <c r="Y173" s="791"/>
      <c r="Z173" s="22" t="s">
        <v>25</v>
      </c>
      <c r="AA173" s="22"/>
      <c r="AB173" s="22"/>
      <c r="AC173" s="22" t="s">
        <v>9</v>
      </c>
      <c r="AD173" s="22" t="s">
        <v>9</v>
      </c>
      <c r="AE173" s="22" t="s">
        <v>9</v>
      </c>
      <c r="AF173" s="22"/>
    </row>
    <row r="174" spans="24:32" x14ac:dyDescent="0.3">
      <c r="X174" s="22"/>
      <c r="Y174" s="791"/>
      <c r="Z174" s="22" t="s">
        <v>227</v>
      </c>
      <c r="AA174" s="22"/>
      <c r="AB174" s="22"/>
      <c r="AC174" s="22">
        <v>0</v>
      </c>
      <c r="AD174" s="22" t="s">
        <v>9</v>
      </c>
      <c r="AE174" s="22" t="s">
        <v>9</v>
      </c>
      <c r="AF174" s="22"/>
    </row>
    <row r="175" spans="24:32" x14ac:dyDescent="0.3">
      <c r="X175" s="22"/>
      <c r="Y175" s="791"/>
      <c r="Z175" s="22" t="s">
        <v>13</v>
      </c>
      <c r="AA175" s="22"/>
      <c r="AB175" s="22"/>
      <c r="AC175" s="22">
        <v>0.80629410789650391</v>
      </c>
      <c r="AD175" s="22" t="s">
        <v>9</v>
      </c>
      <c r="AE175" s="22" t="s">
        <v>9</v>
      </c>
      <c r="AF175" s="22"/>
    </row>
    <row r="176" spans="24:32" x14ac:dyDescent="0.3">
      <c r="X176" s="22"/>
      <c r="Y176" s="791"/>
      <c r="Z176" s="22" t="s">
        <v>24</v>
      </c>
      <c r="AA176" s="22"/>
      <c r="AB176" s="22"/>
      <c r="AC176" s="22" t="s">
        <v>9</v>
      </c>
      <c r="AD176" s="22" t="s">
        <v>9</v>
      </c>
      <c r="AE176" s="22" t="s">
        <v>9</v>
      </c>
      <c r="AF176" s="22"/>
    </row>
    <row r="177" spans="24:32" x14ac:dyDescent="0.3">
      <c r="X177" s="22"/>
      <c r="Y177" s="791" t="s">
        <v>481</v>
      </c>
      <c r="Z177" s="22" t="s">
        <v>10</v>
      </c>
      <c r="AA177" s="22"/>
      <c r="AB177" s="22"/>
      <c r="AC177" s="22" t="s">
        <v>9</v>
      </c>
      <c r="AD177" s="22" t="s">
        <v>9</v>
      </c>
      <c r="AE177" s="22">
        <v>7.5632558813717727</v>
      </c>
      <c r="AF177" s="22"/>
    </row>
    <row r="178" spans="24:32" x14ac:dyDescent="0.3">
      <c r="X178" s="22"/>
      <c r="Y178" s="791"/>
      <c r="Z178" s="22" t="s">
        <v>73</v>
      </c>
      <c r="AA178" s="22"/>
      <c r="AB178" s="22"/>
      <c r="AC178" s="22" t="s">
        <v>9</v>
      </c>
      <c r="AD178" s="22" t="s">
        <v>9</v>
      </c>
      <c r="AE178" s="22" t="s">
        <v>9</v>
      </c>
      <c r="AF178" s="22"/>
    </row>
    <row r="179" spans="24:32" x14ac:dyDescent="0.3">
      <c r="X179" s="22"/>
      <c r="Y179" s="791"/>
      <c r="Z179" s="22" t="s">
        <v>25</v>
      </c>
      <c r="AA179" s="22"/>
      <c r="AB179" s="22"/>
      <c r="AC179" s="22" t="s">
        <v>9</v>
      </c>
      <c r="AD179" s="22" t="s">
        <v>9</v>
      </c>
      <c r="AE179" s="22">
        <v>0</v>
      </c>
      <c r="AF179" s="22"/>
    </row>
    <row r="180" spans="24:32" x14ac:dyDescent="0.3">
      <c r="X180" s="22"/>
      <c r="Y180" s="791"/>
      <c r="Z180" s="22" t="s">
        <v>227</v>
      </c>
      <c r="AA180" s="22"/>
      <c r="AB180" s="22"/>
      <c r="AC180" s="22" t="s">
        <v>9</v>
      </c>
      <c r="AD180" s="22" t="s">
        <v>9</v>
      </c>
      <c r="AE180" s="22" t="s">
        <v>9</v>
      </c>
      <c r="AF180" s="22"/>
    </row>
    <row r="181" spans="24:32" x14ac:dyDescent="0.3">
      <c r="X181" s="22"/>
      <c r="Y181" s="791"/>
      <c r="Z181" s="22" t="s">
        <v>13</v>
      </c>
      <c r="AA181" s="22"/>
      <c r="AB181" s="22"/>
      <c r="AC181" s="22" t="s">
        <v>9</v>
      </c>
      <c r="AD181" s="22" t="s">
        <v>9</v>
      </c>
      <c r="AE181" s="22">
        <v>9.8814838429035348</v>
      </c>
      <c r="AF181" s="22"/>
    </row>
    <row r="182" spans="24:32" x14ac:dyDescent="0.3">
      <c r="X182" s="22"/>
      <c r="Y182" s="791"/>
      <c r="Z182" s="22" t="s">
        <v>24</v>
      </c>
      <c r="AA182" s="22"/>
      <c r="AB182" s="22"/>
      <c r="AC182" s="22" t="s">
        <v>9</v>
      </c>
      <c r="AD182" s="22" t="s">
        <v>9</v>
      </c>
      <c r="AE182" s="22">
        <v>6.285625425383162</v>
      </c>
      <c r="AF182" s="22"/>
    </row>
  </sheetData>
  <mergeCells count="141">
    <mergeCell ref="Y159:Y164"/>
    <mergeCell ref="Y165:Y170"/>
    <mergeCell ref="Y171:Y176"/>
    <mergeCell ref="Y177:Y182"/>
    <mergeCell ref="BJ8:BN8"/>
    <mergeCell ref="BO8:BS8"/>
    <mergeCell ref="S63:T64"/>
    <mergeCell ref="AO4:AQ5"/>
    <mergeCell ref="AU8:AY8"/>
    <mergeCell ref="AZ8:BD8"/>
    <mergeCell ref="BE8:BI8"/>
    <mergeCell ref="AO9:AO26"/>
    <mergeCell ref="AO27:AO44"/>
    <mergeCell ref="AO45:AO58"/>
    <mergeCell ref="AP8:AT8"/>
    <mergeCell ref="AK9:AL9"/>
    <mergeCell ref="AB26:AB28"/>
    <mergeCell ref="AB29:AB31"/>
    <mergeCell ref="AB20:AB22"/>
    <mergeCell ref="AB23:AB25"/>
    <mergeCell ref="AA9:AD9"/>
    <mergeCell ref="S121:S125"/>
    <mergeCell ref="T119:V119"/>
    <mergeCell ref="Z66:AB66"/>
    <mergeCell ref="AC66:AE66"/>
    <mergeCell ref="AF66:AH66"/>
    <mergeCell ref="AI66:AK66"/>
    <mergeCell ref="W65:AK65"/>
    <mergeCell ref="S104:S115"/>
    <mergeCell ref="T104:T106"/>
    <mergeCell ref="T107:T109"/>
    <mergeCell ref="T110:T112"/>
    <mergeCell ref="T113:T115"/>
    <mergeCell ref="S86:S103"/>
    <mergeCell ref="T86:T88"/>
    <mergeCell ref="T89:T91"/>
    <mergeCell ref="T92:T94"/>
    <mergeCell ref="T95:T97"/>
    <mergeCell ref="T98:T100"/>
    <mergeCell ref="T101:T103"/>
    <mergeCell ref="Y119:AF119"/>
    <mergeCell ref="S1:T2"/>
    <mergeCell ref="S68:S85"/>
    <mergeCell ref="T68:T70"/>
    <mergeCell ref="T71:T73"/>
    <mergeCell ref="T74:T76"/>
    <mergeCell ref="T77:T79"/>
    <mergeCell ref="T80:T82"/>
    <mergeCell ref="T83:T85"/>
    <mergeCell ref="AE9:AJ9"/>
    <mergeCell ref="AB17:AB19"/>
    <mergeCell ref="AB11:AB13"/>
    <mergeCell ref="AB14:AB16"/>
    <mergeCell ref="AB47:AB49"/>
    <mergeCell ref="AB50:AB52"/>
    <mergeCell ref="AB53:AB55"/>
    <mergeCell ref="AA11:AA28"/>
    <mergeCell ref="AA29:AA46"/>
    <mergeCell ref="AA47:AA58"/>
    <mergeCell ref="AB32:AB34"/>
    <mergeCell ref="AB35:AB37"/>
    <mergeCell ref="AB38:AB40"/>
    <mergeCell ref="AB41:AB43"/>
    <mergeCell ref="AB44:AB46"/>
    <mergeCell ref="AB56:AB58"/>
    <mergeCell ref="C9:E9"/>
    <mergeCell ref="F9:H9"/>
    <mergeCell ref="O9:O10"/>
    <mergeCell ref="S9:Y9"/>
    <mergeCell ref="T53:T55"/>
    <mergeCell ref="S47:S58"/>
    <mergeCell ref="T47:T49"/>
    <mergeCell ref="T50:T52"/>
    <mergeCell ref="I9:J9"/>
    <mergeCell ref="K9:L9"/>
    <mergeCell ref="M9:N9"/>
    <mergeCell ref="C53:D53"/>
    <mergeCell ref="M37:O37"/>
    <mergeCell ref="F24:G24"/>
    <mergeCell ref="H24:I24"/>
    <mergeCell ref="C24:E24"/>
    <mergeCell ref="C38:D38"/>
    <mergeCell ref="E38:F38"/>
    <mergeCell ref="G38:H38"/>
    <mergeCell ref="I38:J38"/>
    <mergeCell ref="C37:F37"/>
    <mergeCell ref="G37:J37"/>
    <mergeCell ref="A67:A68"/>
    <mergeCell ref="A69:A70"/>
    <mergeCell ref="A71:A72"/>
    <mergeCell ref="A73:A74"/>
    <mergeCell ref="A75:A76"/>
    <mergeCell ref="W66:Y66"/>
    <mergeCell ref="A63:J63"/>
    <mergeCell ref="T20:T22"/>
    <mergeCell ref="S11:S28"/>
    <mergeCell ref="S29:S46"/>
    <mergeCell ref="T38:T40"/>
    <mergeCell ref="T41:T43"/>
    <mergeCell ref="T44:T46"/>
    <mergeCell ref="T11:T13"/>
    <mergeCell ref="T14:T16"/>
    <mergeCell ref="T23:T25"/>
    <mergeCell ref="T26:T28"/>
    <mergeCell ref="T29:T31"/>
    <mergeCell ref="T32:T34"/>
    <mergeCell ref="T56:T58"/>
    <mergeCell ref="T35:T37"/>
    <mergeCell ref="M50:N50"/>
    <mergeCell ref="CM59:CQ59"/>
    <mergeCell ref="CG10:CK10"/>
    <mergeCell ref="CM10:CQ10"/>
    <mergeCell ref="CA10:CE10"/>
    <mergeCell ref="BI59:BM59"/>
    <mergeCell ref="BO59:BS59"/>
    <mergeCell ref="BU59:BY59"/>
    <mergeCell ref="CA59:CE59"/>
    <mergeCell ref="A65:A66"/>
    <mergeCell ref="T17:T19"/>
    <mergeCell ref="AL66:AN66"/>
    <mergeCell ref="AL65:AN65"/>
    <mergeCell ref="AP66:AP67"/>
    <mergeCell ref="AP68:AP69"/>
    <mergeCell ref="AP70:AP71"/>
    <mergeCell ref="AP72:AP73"/>
    <mergeCell ref="AP74:AP75"/>
    <mergeCell ref="AP76:AP77"/>
    <mergeCell ref="CG59:CK59"/>
    <mergeCell ref="AN121:AN123"/>
    <mergeCell ref="AN124:AN126"/>
    <mergeCell ref="AN133:AN135"/>
    <mergeCell ref="AN136:AN138"/>
    <mergeCell ref="AN139:AN141"/>
    <mergeCell ref="AN142:AN144"/>
    <mergeCell ref="AN145:AN147"/>
    <mergeCell ref="AN148:AN150"/>
    <mergeCell ref="AN151:AN153"/>
    <mergeCell ref="AH119:AN119"/>
    <mergeCell ref="AT132:AX132"/>
    <mergeCell ref="AN127:AN129"/>
    <mergeCell ref="AN130:AN132"/>
  </mergeCells>
  <phoneticPr fontId="4" type="noConversion"/>
  <pageMargins left="0.7" right="0.7" top="0.75" bottom="0.75" header="0.3" footer="0.3"/>
  <pageSetup orientation="portrait" r:id="rId1"/>
  <ignoredErrors>
    <ignoredError sqref="AN121:AN153" formulaRange="1"/>
  </ignoredErrors>
  <drawing r:id="rId2"/>
  <legacyDrawing r:id="rId3"/>
  <oleObjects>
    <mc:AlternateContent xmlns:mc="http://schemas.openxmlformats.org/markup-compatibility/2006">
      <mc:Choice Requires="x14">
        <oleObject progId="ChemDraw.Document.6.0" shapeId="1025" r:id="rId4">
          <objectPr defaultSize="0" autoPict="0" r:id="rId5">
            <anchor moveWithCells="1">
              <from>
                <xdr:col>41</xdr:col>
                <xdr:colOff>525780</xdr:colOff>
                <xdr:row>8</xdr:row>
                <xdr:rowOff>60960</xdr:rowOff>
              </from>
              <to>
                <xdr:col>45</xdr:col>
                <xdr:colOff>182880</xdr:colOff>
                <xdr:row>22</xdr:row>
                <xdr:rowOff>121920</xdr:rowOff>
              </to>
            </anchor>
          </objectPr>
        </oleObject>
      </mc:Choice>
      <mc:Fallback>
        <oleObject progId="ChemDraw.Document.6.0" shapeId="1025" r:id="rId4"/>
      </mc:Fallback>
    </mc:AlternateContent>
    <mc:AlternateContent xmlns:mc="http://schemas.openxmlformats.org/markup-compatibility/2006">
      <mc:Choice Requires="x14">
        <oleObject progId="ChemDraw.Document.6.0" shapeId="1027" r:id="rId6">
          <objectPr defaultSize="0" autoPict="0" r:id="rId7">
            <anchor moveWithCells="1">
              <from>
                <xdr:col>61</xdr:col>
                <xdr:colOff>556260</xdr:colOff>
                <xdr:row>9</xdr:row>
                <xdr:rowOff>121920</xdr:rowOff>
              </from>
              <to>
                <xdr:col>65</xdr:col>
                <xdr:colOff>457200</xdr:colOff>
                <xdr:row>21</xdr:row>
                <xdr:rowOff>114300</xdr:rowOff>
              </to>
            </anchor>
          </objectPr>
        </oleObject>
      </mc:Choice>
      <mc:Fallback>
        <oleObject progId="ChemDraw.Document.6.0" shapeId="1027" r:id="rId6"/>
      </mc:Fallback>
    </mc:AlternateContent>
    <mc:AlternateContent xmlns:mc="http://schemas.openxmlformats.org/markup-compatibility/2006">
      <mc:Choice Requires="x14">
        <oleObject progId="ChemDraw.Document.6.0" shapeId="1028" r:id="rId8">
          <objectPr defaultSize="0" autoPict="0" r:id="rId9">
            <anchor moveWithCells="1">
              <from>
                <xdr:col>46</xdr:col>
                <xdr:colOff>426720</xdr:colOff>
                <xdr:row>9</xdr:row>
                <xdr:rowOff>106680</xdr:rowOff>
              </from>
              <to>
                <xdr:col>50</xdr:col>
                <xdr:colOff>419100</xdr:colOff>
                <xdr:row>20</xdr:row>
                <xdr:rowOff>114300</xdr:rowOff>
              </to>
            </anchor>
          </objectPr>
        </oleObject>
      </mc:Choice>
      <mc:Fallback>
        <oleObject progId="ChemDraw.Document.6.0" shapeId="1028" r:id="rId8"/>
      </mc:Fallback>
    </mc:AlternateContent>
    <mc:AlternateContent xmlns:mc="http://schemas.openxmlformats.org/markup-compatibility/2006">
      <mc:Choice Requires="x14">
        <oleObject progId="ChemDraw.Document.6.0" shapeId="1029" r:id="rId10">
          <objectPr defaultSize="0" autoPict="0" r:id="rId11">
            <anchor moveWithCells="1" sizeWithCells="1">
              <from>
                <xdr:col>51</xdr:col>
                <xdr:colOff>381000</xdr:colOff>
                <xdr:row>9</xdr:row>
                <xdr:rowOff>60960</xdr:rowOff>
              </from>
              <to>
                <xdr:col>55</xdr:col>
                <xdr:colOff>632460</xdr:colOff>
                <xdr:row>20</xdr:row>
                <xdr:rowOff>175260</xdr:rowOff>
              </to>
            </anchor>
          </objectPr>
        </oleObject>
      </mc:Choice>
      <mc:Fallback>
        <oleObject progId="ChemDraw.Document.6.0" shapeId="1029" r:id="rId10"/>
      </mc:Fallback>
    </mc:AlternateContent>
    <mc:AlternateContent xmlns:mc="http://schemas.openxmlformats.org/markup-compatibility/2006">
      <mc:Choice Requires="x14">
        <oleObject progId="ChemDraw.Document.6.0" shapeId="1030" r:id="rId12">
          <objectPr defaultSize="0" autoPict="0" r:id="rId13">
            <anchor moveWithCells="1" sizeWithCells="1">
              <from>
                <xdr:col>56</xdr:col>
                <xdr:colOff>495300</xdr:colOff>
                <xdr:row>8</xdr:row>
                <xdr:rowOff>144780</xdr:rowOff>
              </from>
              <to>
                <xdr:col>60</xdr:col>
                <xdr:colOff>594360</xdr:colOff>
                <xdr:row>22</xdr:row>
                <xdr:rowOff>99060</xdr:rowOff>
              </to>
            </anchor>
          </objectPr>
        </oleObject>
      </mc:Choice>
      <mc:Fallback>
        <oleObject progId="ChemDraw.Document.6.0" shapeId="1030" r:id="rId12"/>
      </mc:Fallback>
    </mc:AlternateContent>
    <mc:AlternateContent xmlns:mc="http://schemas.openxmlformats.org/markup-compatibility/2006">
      <mc:Choice Requires="x14">
        <oleObject progId="ChemDraw.Document.6.0" shapeId="1031" r:id="rId14">
          <objectPr defaultSize="0" autoPict="0" r:id="rId15">
            <anchor moveWithCells="1">
              <from>
                <xdr:col>41</xdr:col>
                <xdr:colOff>381000</xdr:colOff>
                <xdr:row>26</xdr:row>
                <xdr:rowOff>121920</xdr:rowOff>
              </from>
              <to>
                <xdr:col>45</xdr:col>
                <xdr:colOff>495300</xdr:colOff>
                <xdr:row>39</xdr:row>
                <xdr:rowOff>99060</xdr:rowOff>
              </to>
            </anchor>
          </objectPr>
        </oleObject>
      </mc:Choice>
      <mc:Fallback>
        <oleObject progId="ChemDraw.Document.6.0" shapeId="1031" r:id="rId14"/>
      </mc:Fallback>
    </mc:AlternateContent>
    <mc:AlternateContent xmlns:mc="http://schemas.openxmlformats.org/markup-compatibility/2006">
      <mc:Choice Requires="x14">
        <oleObject progId="ChemDraw.Document.6.0" shapeId="1032" r:id="rId16">
          <objectPr defaultSize="0" autoPict="0" r:id="rId17">
            <anchor moveWithCells="1">
              <from>
                <xdr:col>56</xdr:col>
                <xdr:colOff>617220</xdr:colOff>
                <xdr:row>26</xdr:row>
                <xdr:rowOff>152400</xdr:rowOff>
              </from>
              <to>
                <xdr:col>60</xdr:col>
                <xdr:colOff>449580</xdr:colOff>
                <xdr:row>38</xdr:row>
                <xdr:rowOff>160020</xdr:rowOff>
              </to>
            </anchor>
          </objectPr>
        </oleObject>
      </mc:Choice>
      <mc:Fallback>
        <oleObject progId="ChemDraw.Document.6.0" shapeId="1032" r:id="rId16"/>
      </mc:Fallback>
    </mc:AlternateContent>
    <mc:AlternateContent xmlns:mc="http://schemas.openxmlformats.org/markup-compatibility/2006">
      <mc:Choice Requires="x14">
        <oleObject progId="ChemDraw.Document.6.0" shapeId="1033" r:id="rId18">
          <objectPr defaultSize="0" autoPict="0" r:id="rId19">
            <anchor moveWithCells="1">
              <from>
                <xdr:col>61</xdr:col>
                <xdr:colOff>632460</xdr:colOff>
                <xdr:row>26</xdr:row>
                <xdr:rowOff>137160</xdr:rowOff>
              </from>
              <to>
                <xdr:col>65</xdr:col>
                <xdr:colOff>327660</xdr:colOff>
                <xdr:row>40</xdr:row>
                <xdr:rowOff>0</xdr:rowOff>
              </to>
            </anchor>
          </objectPr>
        </oleObject>
      </mc:Choice>
      <mc:Fallback>
        <oleObject progId="ChemDraw.Document.6.0" shapeId="1033" r:id="rId18"/>
      </mc:Fallback>
    </mc:AlternateContent>
    <mc:AlternateContent xmlns:mc="http://schemas.openxmlformats.org/markup-compatibility/2006">
      <mc:Choice Requires="x14">
        <oleObject progId="ChemDraw.Document.6.0" shapeId="1034" r:id="rId20">
          <objectPr defaultSize="0" autoPict="0" r:id="rId21">
            <anchor moveWithCells="1">
              <from>
                <xdr:col>46</xdr:col>
                <xdr:colOff>487680</xdr:colOff>
                <xdr:row>26</xdr:row>
                <xdr:rowOff>114300</xdr:rowOff>
              </from>
              <to>
                <xdr:col>50</xdr:col>
                <xdr:colOff>502920</xdr:colOff>
                <xdr:row>40</xdr:row>
                <xdr:rowOff>144780</xdr:rowOff>
              </to>
            </anchor>
          </objectPr>
        </oleObject>
      </mc:Choice>
      <mc:Fallback>
        <oleObject progId="ChemDraw.Document.6.0" shapeId="1034" r:id="rId20"/>
      </mc:Fallback>
    </mc:AlternateContent>
    <mc:AlternateContent xmlns:mc="http://schemas.openxmlformats.org/markup-compatibility/2006">
      <mc:Choice Requires="x14">
        <oleObject progId="ChemDraw.Document.6.0" shapeId="1035" r:id="rId22">
          <objectPr defaultSize="0" autoPict="0" r:id="rId23">
            <anchor moveWithCells="1" sizeWithCells="1">
              <from>
                <xdr:col>51</xdr:col>
                <xdr:colOff>388620</xdr:colOff>
                <xdr:row>26</xdr:row>
                <xdr:rowOff>175260</xdr:rowOff>
              </from>
              <to>
                <xdr:col>55</xdr:col>
                <xdr:colOff>579120</xdr:colOff>
                <xdr:row>40</xdr:row>
                <xdr:rowOff>22860</xdr:rowOff>
              </to>
            </anchor>
          </objectPr>
        </oleObject>
      </mc:Choice>
      <mc:Fallback>
        <oleObject progId="ChemDraw.Document.6.0" shapeId="1035" r:id="rId22"/>
      </mc:Fallback>
    </mc:AlternateContent>
    <mc:AlternateContent xmlns:mc="http://schemas.openxmlformats.org/markup-compatibility/2006">
      <mc:Choice Requires="x14">
        <oleObject progId="ChemDraw.Document.6.0" shapeId="1037" r:id="rId24">
          <objectPr defaultSize="0" autoPict="0" r:id="rId25">
            <anchor moveWithCells="1">
              <from>
                <xdr:col>46</xdr:col>
                <xdr:colOff>678180</xdr:colOff>
                <xdr:row>44</xdr:row>
                <xdr:rowOff>137160</xdr:rowOff>
              </from>
              <to>
                <xdr:col>50</xdr:col>
                <xdr:colOff>236220</xdr:colOff>
                <xdr:row>54</xdr:row>
                <xdr:rowOff>38100</xdr:rowOff>
              </to>
            </anchor>
          </objectPr>
        </oleObject>
      </mc:Choice>
      <mc:Fallback>
        <oleObject progId="ChemDraw.Document.6.0" shapeId="1037" r:id="rId24"/>
      </mc:Fallback>
    </mc:AlternateContent>
    <mc:AlternateContent xmlns:mc="http://schemas.openxmlformats.org/markup-compatibility/2006">
      <mc:Choice Requires="x14">
        <oleObject progId="ChemDraw.Document.6.0" shapeId="1038" r:id="rId26">
          <objectPr defaultSize="0" autoPict="0" r:id="rId27">
            <anchor moveWithCells="1">
              <from>
                <xdr:col>51</xdr:col>
                <xdr:colOff>868680</xdr:colOff>
                <xdr:row>45</xdr:row>
                <xdr:rowOff>45720</xdr:rowOff>
              </from>
              <to>
                <xdr:col>55</xdr:col>
                <xdr:colOff>541020</xdr:colOff>
                <xdr:row>55</xdr:row>
                <xdr:rowOff>22860</xdr:rowOff>
              </to>
            </anchor>
          </objectPr>
        </oleObject>
      </mc:Choice>
      <mc:Fallback>
        <oleObject progId="ChemDraw.Document.6.0" shapeId="1038" r:id="rId26"/>
      </mc:Fallback>
    </mc:AlternateContent>
    <mc:AlternateContent xmlns:mc="http://schemas.openxmlformats.org/markup-compatibility/2006">
      <mc:Choice Requires="x14">
        <oleObject progId="ChemDraw.Document.6.0" shapeId="1039" r:id="rId28">
          <objectPr defaultSize="0" autoPict="0" r:id="rId29">
            <anchor moveWithCells="1">
              <from>
                <xdr:col>56</xdr:col>
                <xdr:colOff>327660</xdr:colOff>
                <xdr:row>44</xdr:row>
                <xdr:rowOff>121920</xdr:rowOff>
              </from>
              <to>
                <xdr:col>60</xdr:col>
                <xdr:colOff>655320</xdr:colOff>
                <xdr:row>54</xdr:row>
                <xdr:rowOff>114300</xdr:rowOff>
              </to>
            </anchor>
          </objectPr>
        </oleObject>
      </mc:Choice>
      <mc:Fallback>
        <oleObject progId="ChemDraw.Document.6.0" shapeId="1039" r:id="rId28"/>
      </mc:Fallback>
    </mc:AlternateContent>
    <mc:AlternateContent xmlns:mc="http://schemas.openxmlformats.org/markup-compatibility/2006">
      <mc:Choice Requires="x14">
        <oleObject progId="ChemDraw.Document.6.0" shapeId="1040" r:id="rId30">
          <objectPr defaultSize="0" autoPict="0" r:id="rId31">
            <anchor moveWithCells="1">
              <from>
                <xdr:col>41</xdr:col>
                <xdr:colOff>541020</xdr:colOff>
                <xdr:row>44</xdr:row>
                <xdr:rowOff>190500</xdr:rowOff>
              </from>
              <to>
                <xdr:col>45</xdr:col>
                <xdr:colOff>304800</xdr:colOff>
                <xdr:row>55</xdr:row>
                <xdr:rowOff>99060</xdr:rowOff>
              </to>
            </anchor>
          </objectPr>
        </oleObject>
      </mc:Choice>
      <mc:Fallback>
        <oleObject progId="ChemDraw.Document.6.0" shapeId="1040" r:id="rId30"/>
      </mc:Fallback>
    </mc:AlternateContent>
    <mc:AlternateContent xmlns:mc="http://schemas.openxmlformats.org/markup-compatibility/2006">
      <mc:Choice Requires="x14">
        <oleObject progId="ChemDraw.Document.6.0" shapeId="1043" r:id="rId32">
          <objectPr defaultSize="0" autoPict="0" r:id="rId33">
            <anchor moveWithCells="1">
              <from>
                <xdr:col>66</xdr:col>
                <xdr:colOff>365760</xdr:colOff>
                <xdr:row>26</xdr:row>
                <xdr:rowOff>114300</xdr:rowOff>
              </from>
              <to>
                <xdr:col>70</xdr:col>
                <xdr:colOff>495300</xdr:colOff>
                <xdr:row>39</xdr:row>
                <xdr:rowOff>45720</xdr:rowOff>
              </to>
            </anchor>
          </objectPr>
        </oleObject>
      </mc:Choice>
      <mc:Fallback>
        <oleObject progId="ChemDraw.Document.6.0" shapeId="1043" r:id="rId32"/>
      </mc:Fallback>
    </mc:AlternateContent>
    <mc:AlternateContent xmlns:mc="http://schemas.openxmlformats.org/markup-compatibility/2006">
      <mc:Choice Requires="x14">
        <oleObject progId="ChemDraw.Document.6.0" shapeId="1044" r:id="rId34">
          <objectPr defaultSize="0" autoPict="0" r:id="rId35">
            <anchor moveWithCells="1">
              <from>
                <xdr:col>66</xdr:col>
                <xdr:colOff>480060</xdr:colOff>
                <xdr:row>10</xdr:row>
                <xdr:rowOff>0</xdr:rowOff>
              </from>
              <to>
                <xdr:col>70</xdr:col>
                <xdr:colOff>251460</xdr:colOff>
                <xdr:row>19</xdr:row>
                <xdr:rowOff>22860</xdr:rowOff>
              </to>
            </anchor>
          </objectPr>
        </oleObject>
      </mc:Choice>
      <mc:Fallback>
        <oleObject progId="ChemDraw.Document.6.0" shapeId="1044" r:id="rId3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Trial 3</vt:lpstr>
      <vt:lpstr>Trial 4</vt:lpstr>
      <vt:lpstr>Trial 5</vt:lpstr>
      <vt:lpstr>Trial 6</vt:lpstr>
      <vt:lpstr>Trial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Operator</dc:creator>
  <cp:lastModifiedBy>Jared Anthony Gerhardt</cp:lastModifiedBy>
  <dcterms:created xsi:type="dcterms:W3CDTF">2024-09-13T09:21:24Z</dcterms:created>
  <dcterms:modified xsi:type="dcterms:W3CDTF">2024-12-06T12:37:40Z</dcterms:modified>
</cp:coreProperties>
</file>