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patchconseilhorssite-my.sharepoint.com/personal/jarod_hors-site_com/Documents/Documents/REX/"/>
    </mc:Choice>
  </mc:AlternateContent>
  <xr:revisionPtr revIDLastSave="829" documentId="8_{E375B40D-65E6-494D-AAA5-9B259C2D3DEE}" xr6:coauthVersionLast="47" xr6:coauthVersionMax="47" xr10:uidLastSave="{5C8C59CC-CB7C-4F8C-AD40-9B3E11D8E319}"/>
  <bookViews>
    <workbookView xWindow="28680" yWindow="-120" windowWidth="29040" windowHeight="15720" activeTab="1" xr2:uid="{F1C83FAD-78EE-4A6E-A4DE-295A289EA4CD}"/>
  </bookViews>
  <sheets>
    <sheet name="Synthèse Graphe " sheetId="4" r:id="rId1"/>
    <sheet name="BDD Antoine" sheetId="1" r:id="rId2"/>
    <sheet name="Retournement" sheetId="3" r:id="rId3"/>
    <sheet name="Feuil1" sheetId="5" r:id="rId4"/>
    <sheet name="Feuil2" sheetId="6" r:id="rId5"/>
  </sheets>
  <definedNames>
    <definedName name="_xlnm._FilterDatabase" localSheetId="3" hidden="1">Feuil1!$F$2:$N$27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D17" i="4"/>
  <c r="C17" i="4"/>
  <c r="E16" i="4"/>
  <c r="D16" i="4"/>
  <c r="C16" i="4"/>
  <c r="E15" i="4"/>
  <c r="D15" i="4"/>
  <c r="C15" i="4"/>
  <c r="E13" i="4"/>
  <c r="D13" i="4"/>
  <c r="C13" i="4"/>
  <c r="E12" i="4"/>
  <c r="D12" i="4"/>
  <c r="C12" i="4"/>
  <c r="E11" i="4"/>
  <c r="D11" i="4"/>
  <c r="C11" i="4"/>
  <c r="E10" i="4"/>
  <c r="D10" i="4"/>
  <c r="C10" i="4"/>
  <c r="E8" i="4"/>
  <c r="D8" i="4"/>
  <c r="C8" i="4"/>
  <c r="E7" i="4"/>
  <c r="D7" i="4"/>
  <c r="C7" i="4"/>
  <c r="E6" i="4"/>
  <c r="D6" i="4"/>
  <c r="C6" i="4"/>
  <c r="E5" i="4"/>
  <c r="D5" i="4"/>
  <c r="C5" i="4"/>
  <c r="E13" i="1"/>
  <c r="F13" i="1"/>
  <c r="G13" i="1"/>
  <c r="AA14" i="1"/>
  <c r="N17" i="1"/>
  <c r="K19" i="1"/>
  <c r="L19" i="1"/>
  <c r="M19" i="1"/>
  <c r="N19" i="1"/>
  <c r="O19" i="1"/>
  <c r="V19" i="1"/>
  <c r="W19" i="1"/>
  <c r="X19" i="1"/>
  <c r="P19" i="1"/>
  <c r="Q19" i="1"/>
  <c r="R19" i="1"/>
  <c r="S19" i="1"/>
  <c r="T19" i="1"/>
  <c r="U19" i="1"/>
  <c r="E19" i="1"/>
  <c r="F19" i="1"/>
  <c r="G19" i="1"/>
  <c r="H19" i="1"/>
  <c r="I19" i="1"/>
  <c r="J19" i="1"/>
  <c r="Y19" i="1"/>
  <c r="Z19" i="1"/>
  <c r="AA19" i="1"/>
  <c r="K20" i="1"/>
  <c r="F4" i="5" s="1" a="1"/>
  <c r="L20" i="1"/>
  <c r="M20" i="1"/>
  <c r="N20" i="1"/>
  <c r="O20" i="1"/>
  <c r="V20" i="1"/>
  <c r="W20" i="1"/>
  <c r="X20" i="1"/>
  <c r="P20" i="1"/>
  <c r="Q20" i="1"/>
  <c r="R20" i="1"/>
  <c r="S20" i="1"/>
  <c r="T20" i="1"/>
  <c r="T29" i="1" s="1"/>
  <c r="U20" i="1"/>
  <c r="U29" i="1" s="1"/>
  <c r="E20" i="1"/>
  <c r="E30" i="1" s="1"/>
  <c r="F20" i="1"/>
  <c r="G20" i="1"/>
  <c r="H20" i="1"/>
  <c r="I20" i="1"/>
  <c r="J20" i="1"/>
  <c r="Y20" i="1"/>
  <c r="Z20" i="1"/>
  <c r="AA20" i="1"/>
  <c r="K24" i="1"/>
  <c r="L24" i="1"/>
  <c r="M24" i="1"/>
  <c r="N24" i="1"/>
  <c r="O24" i="1"/>
  <c r="V24" i="1"/>
  <c r="W24" i="1"/>
  <c r="X24" i="1"/>
  <c r="P24" i="1"/>
  <c r="Q24" i="1"/>
  <c r="R24" i="1"/>
  <c r="S24" i="1"/>
  <c r="T24" i="1"/>
  <c r="U24" i="1"/>
  <c r="E24" i="1"/>
  <c r="F24" i="1"/>
  <c r="G24" i="1"/>
  <c r="H24" i="1"/>
  <c r="I24" i="1"/>
  <c r="J24" i="1"/>
  <c r="Y24" i="1"/>
  <c r="Z24" i="1"/>
  <c r="AA24" i="1"/>
  <c r="K25" i="1"/>
  <c r="L25" i="1"/>
  <c r="M25" i="1"/>
  <c r="N25" i="1"/>
  <c r="O25" i="1"/>
  <c r="V25" i="1"/>
  <c r="W25" i="1"/>
  <c r="X25" i="1"/>
  <c r="P25" i="1"/>
  <c r="Q25" i="1"/>
  <c r="R25" i="1"/>
  <c r="S25" i="1"/>
  <c r="T25" i="1"/>
  <c r="U25" i="1"/>
  <c r="E25" i="1"/>
  <c r="F25" i="1"/>
  <c r="G25" i="1"/>
  <c r="H25" i="1"/>
  <c r="I25" i="1"/>
  <c r="J25" i="1"/>
  <c r="Y25" i="1"/>
  <c r="Z25" i="1"/>
  <c r="AA25" i="1"/>
  <c r="K26" i="1"/>
  <c r="L26" i="1"/>
  <c r="M26" i="1"/>
  <c r="N26" i="1"/>
  <c r="O26" i="1"/>
  <c r="V26" i="1"/>
  <c r="W26" i="1"/>
  <c r="X26" i="1"/>
  <c r="P26" i="1"/>
  <c r="Q26" i="1"/>
  <c r="R26" i="1"/>
  <c r="S26" i="1"/>
  <c r="T26" i="1"/>
  <c r="U26" i="1"/>
  <c r="E26" i="1"/>
  <c r="F26" i="1"/>
  <c r="G26" i="1"/>
  <c r="H26" i="1"/>
  <c r="I26" i="1"/>
  <c r="J26" i="1"/>
  <c r="Y26" i="1"/>
  <c r="Z26" i="1"/>
  <c r="AA26" i="1"/>
  <c r="K27" i="1"/>
  <c r="L27" i="1"/>
  <c r="M27" i="1"/>
  <c r="N27" i="1"/>
  <c r="O27" i="1"/>
  <c r="V27" i="1"/>
  <c r="W27" i="1"/>
  <c r="X27" i="1"/>
  <c r="P27" i="1"/>
  <c r="Q27" i="1"/>
  <c r="R27" i="1"/>
  <c r="S27" i="1"/>
  <c r="T27" i="1"/>
  <c r="U27" i="1"/>
  <c r="E27" i="1"/>
  <c r="F27" i="1"/>
  <c r="G27" i="1"/>
  <c r="H27" i="1"/>
  <c r="I27" i="1"/>
  <c r="J27" i="1"/>
  <c r="Y27" i="1"/>
  <c r="Z27" i="1"/>
  <c r="AA27" i="1"/>
  <c r="E29" i="1"/>
  <c r="F29" i="1"/>
  <c r="G29" i="1"/>
  <c r="H29" i="1"/>
  <c r="I29" i="1"/>
  <c r="J29" i="1"/>
  <c r="Y29" i="1"/>
  <c r="Z29" i="1"/>
  <c r="AA29" i="1"/>
  <c r="T30" i="1"/>
  <c r="U30" i="1"/>
  <c r="F30" i="1"/>
  <c r="G30" i="1"/>
  <c r="H30" i="1"/>
  <c r="I30" i="1"/>
  <c r="J30" i="1"/>
  <c r="Y30" i="1"/>
  <c r="Z30" i="1"/>
  <c r="AA30" i="1"/>
  <c r="K31" i="1"/>
  <c r="L31" i="1"/>
  <c r="M31" i="1"/>
  <c r="N31" i="1"/>
  <c r="O31" i="1"/>
  <c r="V31" i="1"/>
  <c r="W31" i="1"/>
  <c r="X31" i="1"/>
  <c r="P31" i="1"/>
  <c r="Q31" i="1"/>
  <c r="R31" i="1"/>
  <c r="S31" i="1"/>
  <c r="T31" i="1"/>
  <c r="U31" i="1"/>
  <c r="E31" i="1"/>
  <c r="F31" i="1"/>
  <c r="G31" i="1"/>
  <c r="H31" i="1"/>
  <c r="I31" i="1"/>
  <c r="J31" i="1"/>
  <c r="Y31" i="1"/>
  <c r="Z31" i="1"/>
  <c r="AA31" i="1"/>
  <c r="K32" i="1"/>
  <c r="L32" i="1"/>
  <c r="M32" i="1"/>
  <c r="N32" i="1"/>
  <c r="O32" i="1"/>
  <c r="V32" i="1"/>
  <c r="W32" i="1"/>
  <c r="X32" i="1"/>
  <c r="P32" i="1"/>
  <c r="Q32" i="1"/>
  <c r="R32" i="1"/>
  <c r="S32" i="1"/>
  <c r="T32" i="1"/>
  <c r="U32" i="1"/>
  <c r="E32" i="1"/>
  <c r="F32" i="1"/>
  <c r="G32" i="1"/>
  <c r="H32" i="1"/>
  <c r="I32" i="1"/>
  <c r="J32" i="1"/>
  <c r="Y32" i="1"/>
  <c r="Z32" i="1"/>
  <c r="AA32" i="1"/>
  <c r="T34" i="1"/>
  <c r="U34" i="1"/>
  <c r="E34" i="1"/>
  <c r="F34" i="1"/>
  <c r="G34" i="1"/>
  <c r="H34" i="1"/>
  <c r="I34" i="1"/>
  <c r="J34" i="1"/>
  <c r="Y34" i="1"/>
  <c r="Z34" i="1"/>
  <c r="AA34" i="1"/>
  <c r="T35" i="1"/>
  <c r="U35" i="1"/>
  <c r="E35" i="1"/>
  <c r="F35" i="1"/>
  <c r="G35" i="1"/>
  <c r="H35" i="1"/>
  <c r="I35" i="1"/>
  <c r="J35" i="1"/>
  <c r="Y35" i="1"/>
  <c r="Z35" i="1"/>
  <c r="AA35" i="1"/>
  <c r="K36" i="1"/>
  <c r="L36" i="1"/>
  <c r="M36" i="1"/>
  <c r="N36" i="1"/>
  <c r="O36" i="1"/>
  <c r="V36" i="1"/>
  <c r="W36" i="1"/>
  <c r="X36" i="1"/>
  <c r="P36" i="1"/>
  <c r="Q36" i="1"/>
  <c r="R36" i="1"/>
  <c r="S36" i="1"/>
  <c r="T36" i="1"/>
  <c r="U36" i="1"/>
  <c r="E36" i="1"/>
  <c r="F36" i="1"/>
  <c r="G36" i="1"/>
  <c r="H36" i="1"/>
  <c r="I36" i="1"/>
  <c r="J36" i="1"/>
  <c r="Y36" i="1"/>
  <c r="Z36" i="1"/>
  <c r="AA36" i="1"/>
  <c r="AD24" i="1"/>
  <c r="F4" i="5" l="1"/>
  <c r="K35" i="1"/>
  <c r="K34" i="1"/>
  <c r="N4" i="6" s="1" a="1"/>
  <c r="K29" i="1"/>
  <c r="K30" i="1"/>
  <c r="L34" i="1"/>
  <c r="L35" i="1"/>
  <c r="L29" i="1"/>
  <c r="L30" i="1"/>
  <c r="M29" i="1"/>
  <c r="M30" i="1"/>
  <c r="M35" i="1"/>
  <c r="M34" i="1"/>
  <c r="N35" i="1"/>
  <c r="N29" i="1"/>
  <c r="N30" i="1"/>
  <c r="N34" i="1"/>
  <c r="O30" i="1"/>
  <c r="O34" i="1"/>
  <c r="O29" i="1"/>
  <c r="O35" i="1"/>
  <c r="V30" i="1"/>
  <c r="V29" i="1"/>
  <c r="V34" i="1"/>
  <c r="V35" i="1"/>
  <c r="W35" i="1"/>
  <c r="W34" i="1"/>
  <c r="W30" i="1"/>
  <c r="W29" i="1"/>
  <c r="X29" i="1"/>
  <c r="X35" i="1"/>
  <c r="X30" i="1"/>
  <c r="X34" i="1"/>
  <c r="P29" i="1"/>
  <c r="P35" i="1"/>
  <c r="P34" i="1"/>
  <c r="P30" i="1"/>
  <c r="Q29" i="1"/>
  <c r="Q30" i="1"/>
  <c r="Q35" i="1"/>
  <c r="Q34" i="1"/>
  <c r="R29" i="1"/>
  <c r="R35" i="1"/>
  <c r="R34" i="1"/>
  <c r="R30" i="1"/>
  <c r="S29" i="1"/>
  <c r="S35" i="1"/>
  <c r="S30" i="1"/>
  <c r="S34" i="1"/>
  <c r="V24" i="6" l="1"/>
  <c r="W24" i="6"/>
  <c r="W21" i="6"/>
  <c r="W18" i="6"/>
  <c r="W15" i="6"/>
  <c r="U18" i="6"/>
  <c r="U21" i="6"/>
  <c r="U24" i="6"/>
  <c r="U15" i="6"/>
  <c r="W10" i="6"/>
  <c r="V13" i="6"/>
  <c r="U10" i="6"/>
  <c r="U7" i="6"/>
  <c r="S24" i="6"/>
  <c r="T21" i="6"/>
  <c r="R18" i="6"/>
  <c r="T13" i="6"/>
  <c r="R13" i="6"/>
  <c r="R7" i="6"/>
  <c r="V18" i="6"/>
  <c r="S21" i="6"/>
  <c r="T18" i="6"/>
  <c r="R15" i="6"/>
  <c r="R10" i="6"/>
  <c r="V21" i="6"/>
  <c r="V7" i="6"/>
  <c r="W4" i="6"/>
  <c r="R24" i="6"/>
  <c r="S18" i="6"/>
  <c r="S13" i="6"/>
  <c r="S10" i="6"/>
  <c r="T7" i="6"/>
  <c r="V15" i="6"/>
  <c r="V10" i="6"/>
  <c r="W13" i="6"/>
  <c r="U13" i="6"/>
  <c r="V4" i="6"/>
  <c r="T24" i="6"/>
  <c r="R21" i="6"/>
  <c r="T15" i="6"/>
  <c r="T10" i="6"/>
  <c r="W7" i="6"/>
  <c r="S7" i="6"/>
  <c r="S15" i="6"/>
  <c r="N4" i="6"/>
  <c r="U4" i="6" s="1"/>
  <c r="R4" i="6"/>
  <c r="T4" i="6"/>
  <c r="S4" i="6"/>
  <c r="AC22" i="3"/>
  <c r="AB22" i="3"/>
  <c r="Z22" i="3"/>
  <c r="X22" i="3"/>
  <c r="W22" i="3"/>
  <c r="V22" i="3"/>
  <c r="Q22" i="3"/>
  <c r="AF22" i="3" s="1"/>
  <c r="M22" i="3"/>
  <c r="AG22" i="3" s="1"/>
  <c r="AG21" i="3"/>
  <c r="AF21" i="3"/>
  <c r="AE21" i="3"/>
  <c r="AC21" i="3"/>
  <c r="AB21" i="3"/>
  <c r="X21" i="3"/>
  <c r="W21" i="3"/>
  <c r="V21" i="3"/>
  <c r="U21" i="3"/>
  <c r="Q21" i="3"/>
  <c r="AA21" i="3" s="1"/>
  <c r="AG20" i="3"/>
  <c r="AC20" i="3"/>
  <c r="AB20" i="3"/>
  <c r="AA20" i="3"/>
  <c r="Z20" i="3"/>
  <c r="X20" i="3"/>
  <c r="W20" i="3"/>
  <c r="V20" i="3"/>
  <c r="U20" i="3"/>
  <c r="Q20" i="3"/>
  <c r="AF20" i="3" s="1"/>
  <c r="AG19" i="3"/>
  <c r="AF19" i="3"/>
  <c r="AE19" i="3"/>
  <c r="AC19" i="3"/>
  <c r="AB19" i="3"/>
  <c r="X19" i="3"/>
  <c r="W19" i="3"/>
  <c r="V19" i="3"/>
  <c r="U19" i="3"/>
  <c r="Q19" i="3"/>
  <c r="AA19" i="3" s="1"/>
  <c r="AG18" i="3"/>
  <c r="AC18" i="3"/>
  <c r="AB18" i="3"/>
  <c r="AA18" i="3"/>
  <c r="Z18" i="3"/>
  <c r="X18" i="3"/>
  <c r="W18" i="3"/>
  <c r="V18" i="3"/>
  <c r="U18" i="3"/>
  <c r="Q18" i="3"/>
  <c r="AF18" i="3" s="1"/>
  <c r="AG17" i="3"/>
  <c r="AF17" i="3"/>
  <c r="AE17" i="3"/>
  <c r="AC17" i="3"/>
  <c r="AB17" i="3"/>
  <c r="X17" i="3"/>
  <c r="W17" i="3"/>
  <c r="V17" i="3"/>
  <c r="U17" i="3"/>
  <c r="Q17" i="3"/>
  <c r="AA17" i="3" s="1"/>
  <c r="AG16" i="3"/>
  <c r="AC16" i="3"/>
  <c r="AB16" i="3"/>
  <c r="AA16" i="3"/>
  <c r="Z16" i="3"/>
  <c r="X16" i="3"/>
  <c r="W16" i="3"/>
  <c r="V16" i="3"/>
  <c r="U16" i="3"/>
  <c r="Q16" i="3"/>
  <c r="AF16" i="3" s="1"/>
  <c r="AG15" i="3"/>
  <c r="AF15" i="3"/>
  <c r="AE15" i="3"/>
  <c r="AC15" i="3"/>
  <c r="AB15" i="3"/>
  <c r="X15" i="3"/>
  <c r="W15" i="3"/>
  <c r="V15" i="3"/>
  <c r="U15" i="3"/>
  <c r="Q15" i="3"/>
  <c r="AA15" i="3" s="1"/>
  <c r="AG14" i="3"/>
  <c r="AC14" i="3"/>
  <c r="AB14" i="3"/>
  <c r="AA14" i="3"/>
  <c r="Z14" i="3"/>
  <c r="X14" i="3"/>
  <c r="W14" i="3"/>
  <c r="V14" i="3"/>
  <c r="U14" i="3"/>
  <c r="Q14" i="3"/>
  <c r="AF14" i="3" s="1"/>
  <c r="AG13" i="3"/>
  <c r="AF13" i="3"/>
  <c r="AE13" i="3"/>
  <c r="AC13" i="3"/>
  <c r="AB13" i="3"/>
  <c r="X13" i="3"/>
  <c r="W13" i="3"/>
  <c r="V13" i="3"/>
  <c r="U13" i="3"/>
  <c r="Q13" i="3"/>
  <c r="AA13" i="3" s="1"/>
  <c r="AG12" i="3"/>
  <c r="AC12" i="3"/>
  <c r="AB12" i="3"/>
  <c r="AA12" i="3"/>
  <c r="Z12" i="3"/>
  <c r="X12" i="3"/>
  <c r="W12" i="3"/>
  <c r="V12" i="3"/>
  <c r="U12" i="3"/>
  <c r="Q12" i="3"/>
  <c r="AF12" i="3" s="1"/>
  <c r="AG11" i="3"/>
  <c r="AF11" i="3"/>
  <c r="AE11" i="3"/>
  <c r="AC11" i="3"/>
  <c r="AB11" i="3"/>
  <c r="X11" i="3"/>
  <c r="W11" i="3"/>
  <c r="V11" i="3"/>
  <c r="U11" i="3"/>
  <c r="Q11" i="3"/>
  <c r="AA11" i="3" s="1"/>
  <c r="AG10" i="3"/>
  <c r="AC10" i="3"/>
  <c r="AB10" i="3"/>
  <c r="AA10" i="3"/>
  <c r="Z10" i="3"/>
  <c r="X10" i="3"/>
  <c r="W10" i="3"/>
  <c r="V10" i="3"/>
  <c r="U10" i="3"/>
  <c r="Q10" i="3"/>
  <c r="AF10" i="3" s="1"/>
  <c r="AC9" i="3"/>
  <c r="V9" i="3"/>
  <c r="U9" i="3"/>
  <c r="O9" i="3"/>
  <c r="Q9" i="3" s="1"/>
  <c r="AC8" i="3"/>
  <c r="Q8" i="3"/>
  <c r="AG7" i="3"/>
  <c r="AC7" i="3"/>
  <c r="AB7" i="3"/>
  <c r="X7" i="3"/>
  <c r="W7" i="3"/>
  <c r="V7" i="3"/>
  <c r="U7" i="3"/>
  <c r="Q7" i="3"/>
  <c r="AE7" i="3" s="1"/>
  <c r="AG6" i="3"/>
  <c r="AF6" i="3"/>
  <c r="AE6" i="3"/>
  <c r="AC6" i="3"/>
  <c r="AB6" i="3"/>
  <c r="AA6" i="3"/>
  <c r="Z6" i="3"/>
  <c r="X6" i="3"/>
  <c r="W6" i="3"/>
  <c r="V6" i="3"/>
  <c r="U6" i="3"/>
  <c r="Q6" i="3"/>
  <c r="AG5" i="3"/>
  <c r="AC5" i="3"/>
  <c r="AB5" i="3"/>
  <c r="X5" i="3"/>
  <c r="W5" i="3"/>
  <c r="V5" i="3"/>
  <c r="U5" i="3"/>
  <c r="Q5" i="3"/>
  <c r="AA5" i="3" s="1"/>
  <c r="AA9" i="3" l="1"/>
  <c r="Z9" i="3"/>
  <c r="AF9" i="3"/>
  <c r="AE9" i="3"/>
  <c r="AE5" i="3"/>
  <c r="AF5" i="3"/>
  <c r="AF7" i="3"/>
  <c r="W9" i="3"/>
  <c r="AG9" i="3"/>
  <c r="AA22" i="3"/>
  <c r="X9" i="3"/>
  <c r="AE10" i="3"/>
  <c r="Z11" i="3"/>
  <c r="AE12" i="3"/>
  <c r="Z13" i="3"/>
  <c r="AE14" i="3"/>
  <c r="Z15" i="3"/>
  <c r="AE16" i="3"/>
  <c r="Z17" i="3"/>
  <c r="AE18" i="3"/>
  <c r="Z19" i="3"/>
  <c r="AE20" i="3"/>
  <c r="Z21" i="3"/>
  <c r="Z5" i="3"/>
  <c r="Z7" i="3"/>
  <c r="U22" i="3"/>
  <c r="AE22" i="3"/>
  <c r="AA7" i="3"/>
  <c r="AB9" i="3"/>
  <c r="AI25" i="1"/>
  <c r="AI32" i="1" l="1"/>
  <c r="AJ32" i="1"/>
  <c r="AF32" i="1" l="1"/>
  <c r="AE32" i="1"/>
  <c r="AK32" i="1"/>
  <c r="AD32" i="1"/>
  <c r="AI27" i="1"/>
  <c r="AD27" i="1" l="1"/>
  <c r="AK27" i="1"/>
  <c r="AJ27" i="1"/>
  <c r="AE27" i="1"/>
  <c r="AF27" i="1"/>
  <c r="AI24" i="1" l="1"/>
  <c r="AK24" i="1" l="1"/>
  <c r="AE24" i="1"/>
  <c r="AJ24" i="1"/>
  <c r="AF24" i="1"/>
  <c r="AI26" i="1"/>
  <c r="AI31" i="1"/>
  <c r="AI36" i="1"/>
  <c r="AK31" i="1" l="1"/>
  <c r="AK25" i="1"/>
  <c r="AK26" i="1"/>
  <c r="AD25" i="1"/>
  <c r="AK36" i="1"/>
  <c r="AJ25" i="1"/>
  <c r="AE25" i="1"/>
  <c r="AJ31" i="1"/>
  <c r="AE31" i="1"/>
  <c r="AJ26" i="1"/>
  <c r="AE26" i="1"/>
  <c r="AJ36" i="1"/>
  <c r="AE36" i="1"/>
  <c r="AD31" i="1"/>
  <c r="AD36" i="1"/>
  <c r="AF36" i="1"/>
  <c r="AF25" i="1"/>
  <c r="AD26" i="1"/>
  <c r="AF31" i="1"/>
  <c r="AF26" i="1"/>
  <c r="AI34" i="1"/>
  <c r="AI29" i="1"/>
  <c r="AI30" i="1"/>
  <c r="AI35" i="1"/>
  <c r="AK35" i="1" l="1"/>
  <c r="AD30" i="1"/>
  <c r="AJ29" i="1"/>
  <c r="AE29" i="1"/>
  <c r="AJ34" i="1"/>
  <c r="AE34" i="1"/>
  <c r="AJ35" i="1"/>
  <c r="AE35" i="1"/>
  <c r="AJ30" i="1"/>
  <c r="AE30" i="1"/>
  <c r="AK29" i="1"/>
  <c r="AK34" i="1"/>
  <c r="AF30" i="1"/>
  <c r="AK30" i="1"/>
  <c r="AD29" i="1"/>
  <c r="AF35" i="1"/>
  <c r="AF34" i="1"/>
  <c r="AF29" i="1"/>
  <c r="AD35" i="1"/>
  <c r="AD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<sst xmlns="http://schemas.openxmlformats.org/spreadsheetml/2006/main" count="480" uniqueCount="115">
  <si>
    <t>RATIOS DES OPERATIONS HORS SITE</t>
  </si>
  <si>
    <t>OPÉRATION</t>
  </si>
  <si>
    <t>OPAC DU RHONE</t>
  </si>
  <si>
    <t>ADOMA</t>
  </si>
  <si>
    <t>ERILIA</t>
  </si>
  <si>
    <t>MOSELIS</t>
  </si>
  <si>
    <t>LFE</t>
  </si>
  <si>
    <t>ML27</t>
  </si>
  <si>
    <t>DATE ATTRIBUTION</t>
  </si>
  <si>
    <t>S2 2022</t>
  </si>
  <si>
    <t>S2 2024</t>
  </si>
  <si>
    <t>S1 2025</t>
  </si>
  <si>
    <t>S2 2025</t>
  </si>
  <si>
    <t>TYPOLOGIE</t>
  </si>
  <si>
    <t>MAISONS INDIVIDUELLES</t>
  </si>
  <si>
    <t>CADA</t>
  </si>
  <si>
    <t>COLLECTIF</t>
  </si>
  <si>
    <t>SYSTÈME HORS SITE</t>
  </si>
  <si>
    <t>MODULAIRE 3D</t>
  </si>
  <si>
    <t>PANNEAUX 2D</t>
  </si>
  <si>
    <t>NB LOGEMENTS</t>
  </si>
  <si>
    <t>20 - 23 - 26</t>
  </si>
  <si>
    <t>Groupement</t>
  </si>
  <si>
    <t>Groupement 1</t>
  </si>
  <si>
    <t>Groupement 2</t>
  </si>
  <si>
    <t>Groupement 3</t>
  </si>
  <si>
    <t>Phase</t>
  </si>
  <si>
    <t>Offre finale</t>
  </si>
  <si>
    <t>Non remis</t>
  </si>
  <si>
    <t>Offre initiale</t>
  </si>
  <si>
    <t>Industriel</t>
  </si>
  <si>
    <t>TOTEMM</t>
  </si>
  <si>
    <t>T&amp;H</t>
  </si>
  <si>
    <t>ALPHAM.3D</t>
  </si>
  <si>
    <t>WBI</t>
  </si>
  <si>
    <t>COUGNAUD</t>
  </si>
  <si>
    <t>CYME</t>
  </si>
  <si>
    <t>MODULEM</t>
  </si>
  <si>
    <t>EIFFAGE</t>
  </si>
  <si>
    <t>PYRÉNÉES CHARPENTE</t>
  </si>
  <si>
    <t>VESTACK</t>
  </si>
  <si>
    <t>OSSABOIS</t>
  </si>
  <si>
    <t>GCB</t>
  </si>
  <si>
    <t>BOMATEC</t>
  </si>
  <si>
    <t>NMI</t>
  </si>
  <si>
    <t>EUROPE &amp; COMMUNICATION</t>
  </si>
  <si>
    <t>HABITAT 3D</t>
  </si>
  <si>
    <t>DONNÉES PROJET</t>
  </si>
  <si>
    <t>Calcul</t>
  </si>
  <si>
    <t>SHAB</t>
  </si>
  <si>
    <t>[a]</t>
  </si>
  <si>
    <r>
      <rPr>
        <sz val="11"/>
        <color rgb="FF000000"/>
        <rFont val="Aptos Narrow"/>
        <family val="2"/>
        <scheme val="minor"/>
      </rPr>
      <t xml:space="preserve">SDP </t>
    </r>
    <r>
      <rPr>
        <sz val="11"/>
        <color rgb="FFFF0000"/>
        <rFont val="Aptos Narrow"/>
        <family val="2"/>
        <scheme val="minor"/>
      </rPr>
      <t>/ SHOB</t>
    </r>
  </si>
  <si>
    <t>[b]</t>
  </si>
  <si>
    <t>Prix conception</t>
  </si>
  <si>
    <t>[A]</t>
  </si>
  <si>
    <t>Prix travaux</t>
  </si>
  <si>
    <t>[B]</t>
  </si>
  <si>
    <t>Prix VRD</t>
  </si>
  <si>
    <t>[C]</t>
  </si>
  <si>
    <t>Prix global</t>
  </si>
  <si>
    <t>[D] = [A] + [B]</t>
  </si>
  <si>
    <t>Prix hors-site seul</t>
  </si>
  <si>
    <t>[E]</t>
  </si>
  <si>
    <t>MOYENNES REPONSES</t>
  </si>
  <si>
    <t>MOYENNES LAUREATS</t>
  </si>
  <si>
    <t>INDICATEURS</t>
  </si>
  <si>
    <t>MI (Modules)</t>
  </si>
  <si>
    <t>MI (2D)</t>
  </si>
  <si>
    <t>COLLECTIF (Modules)</t>
  </si>
  <si>
    <t>Compacité</t>
  </si>
  <si>
    <t>[P] = [a] / [b]</t>
  </si>
  <si>
    <t>Taux d'industrialisation (hors VRD)</t>
  </si>
  <si>
    <t>[F] = [E] / ([B] - [C])</t>
  </si>
  <si>
    <t>Taux d'honoraires</t>
  </si>
  <si>
    <t>[G] = [A] / [B]</t>
  </si>
  <si>
    <t>Taux VRD / prix travaux</t>
  </si>
  <si>
    <t>[Q] = [C] / [B]</t>
  </si>
  <si>
    <t>Prix global / m² SHAB</t>
  </si>
  <si>
    <t>[H] = [D] / [a]</t>
  </si>
  <si>
    <t>Prix C/R hors VRD / m² SHAB</t>
  </si>
  <si>
    <t>[J] = ([D] - [C]) / [a]</t>
  </si>
  <si>
    <t>Prix travaux hors VRD / m² SHAB</t>
  </si>
  <si>
    <t>[K] = ([B] - [C]) / [a]</t>
  </si>
  <si>
    <t>Prix hors-site seul / m² SHAB</t>
  </si>
  <si>
    <t>[R] = [E] / [a]</t>
  </si>
  <si>
    <t>SDP / SHOB</t>
  </si>
  <si>
    <t>Prix global / m² SDP</t>
  </si>
  <si>
    <t>[L] = [D] / [b]</t>
  </si>
  <si>
    <t>Prix C/R hors VRD / m² SDP</t>
  </si>
  <si>
    <t>[M] = ([D] - [C]) / [b]</t>
  </si>
  <si>
    <t>Prix travaux hors VRD / m² SDP</t>
  </si>
  <si>
    <t>[N] = ([B] - [C]) / [b]</t>
  </si>
  <si>
    <t>S1 2024</t>
  </si>
  <si>
    <t>OPAL</t>
  </si>
  <si>
    <t>RESIDENCE ETUDIANTE</t>
  </si>
  <si>
    <t>ATLANTIQUE HABITATION</t>
  </si>
  <si>
    <t>HABITAT URGENCE</t>
  </si>
  <si>
    <t>Maitre Cube</t>
  </si>
  <si>
    <t>Ossabois</t>
  </si>
  <si>
    <t>AVELIS</t>
  </si>
  <si>
    <t>SDP ou Sacc</t>
  </si>
  <si>
    <t>Prix global / m² Sacc</t>
  </si>
  <si>
    <t>Prix C/R hors VRD / m² Sacc</t>
  </si>
  <si>
    <t>Prix travaux hors VRD / m² Sacc</t>
  </si>
  <si>
    <t>[c]</t>
  </si>
  <si>
    <t>Prix VRD / m² de terrain</t>
  </si>
  <si>
    <t>[C]/[c]</t>
  </si>
  <si>
    <t>Surface terrain aménagé</t>
  </si>
  <si>
    <t xml:space="preserve"> Sacc (SDP pour les vieux projets)</t>
  </si>
  <si>
    <t>Prix travaux (compris VRD)</t>
  </si>
  <si>
    <t>S2 2021</t>
  </si>
  <si>
    <t>S1 2022</t>
  </si>
  <si>
    <t>Lauréat</t>
  </si>
  <si>
    <t>Moyen</t>
  </si>
  <si>
    <t>S2 2021 T&amp;H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</si>
</sst>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#,##0.00\ &quot;€&quot;"/>
    <numFmt numFmtId="165" formatCode="#,##0.00&quot; m²&quot;"/>
    <numFmt numFmtId="166" formatCode="#,##0&quot; €/m²&quot;"/>
    <numFmt numFmtId="167" formatCode="0.0%"/>
    <numFmt numFmtId="168" formatCode="#,##0&quot; m²&quot;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B7D3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 wrapText="1"/>
    </xf>
    <xf numFmtId="166" fontId="0" fillId="8" borderId="1" xfId="0" applyNumberFormat="1" applyFill="1" applyBorder="1" applyAlignment="1">
      <alignment horizontal="center" vertical="center"/>
    </xf>
    <xf numFmtId="167" fontId="0" fillId="8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6" borderId="0" xfId="0" applyNumberFormat="1" applyFont="1" applyFill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9" fontId="0" fillId="8" borderId="1" xfId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168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10" borderId="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vertical="center" wrapText="1"/>
    </xf>
    <xf numFmtId="166" fontId="0" fillId="0" borderId="0" xfId="0" applyNumberFormat="1" applyBorder="1"/>
    <xf numFmtId="166" fontId="0" fillId="0" borderId="0" xfId="2" applyNumberFormat="1" applyFont="1" applyBorder="1"/>
    <xf numFmtId="166" fontId="0" fillId="0" borderId="20" xfId="2" applyNumberFormat="1" applyFont="1" applyBorder="1"/>
    <xf numFmtId="166" fontId="0" fillId="10" borderId="0" xfId="0" applyNumberFormat="1" applyFill="1" applyBorder="1"/>
    <xf numFmtId="166" fontId="0" fillId="10" borderId="0" xfId="2" applyNumberFormat="1" applyFont="1" applyFill="1" applyBorder="1"/>
    <xf numFmtId="166" fontId="0" fillId="10" borderId="20" xfId="2" applyNumberFormat="1" applyFont="1" applyFill="1" applyBorder="1"/>
    <xf numFmtId="0" fontId="2" fillId="6" borderId="21" xfId="0" applyFont="1" applyFill="1" applyBorder="1" applyAlignment="1">
      <alignment vertical="center" wrapText="1"/>
    </xf>
    <xf numFmtId="166" fontId="0" fillId="0" borderId="22" xfId="0" applyNumberFormat="1" applyBorder="1"/>
    <xf numFmtId="166" fontId="0" fillId="0" borderId="22" xfId="2" applyNumberFormat="1" applyFont="1" applyBorder="1"/>
    <xf numFmtId="166" fontId="0" fillId="0" borderId="23" xfId="2" applyNumberFormat="1" applyFont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6" borderId="0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</cellXfs>
  <cellStyles count="3">
    <cellStyle name="Monétaire" xfId="2" builtinId="4"/>
    <cellStyle name="Normal" xfId="0" builtinId="0"/>
    <cellStyle name="Pourcentage" xfId="1" builtinId="5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B7D3EF"/>
      <color rgb="FFA3C7EB"/>
      <color rgb="FF4D9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prix 3 groupement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20829701187533"/>
          <c:y val="0.10902807251820942"/>
          <c:w val="0.84132194240592451"/>
          <c:h val="0.77377099512255154"/>
        </c:manualLayout>
      </c:layout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Feuil2!$G$4:$G$26</c:f>
              <c:strCache>
                <c:ptCount val="21"/>
                <c:pt idx="0">
                  <c:v>S2 2021</c:v>
                </c:pt>
                <c:pt idx="3">
                  <c:v>S1 2022</c:v>
                </c:pt>
                <c:pt idx="6">
                  <c:v>S2 2022</c:v>
                </c:pt>
                <c:pt idx="9">
                  <c:v>S2 2024</c:v>
                </c:pt>
                <c:pt idx="11">
                  <c:v>S1 2025</c:v>
                </c:pt>
                <c:pt idx="14">
                  <c:v>S1 2025</c:v>
                </c:pt>
                <c:pt idx="17">
                  <c:v>S1 2025</c:v>
                </c:pt>
                <c:pt idx="20">
                  <c:v>S2 2025</c:v>
                </c:pt>
              </c:strCache>
            </c:strRef>
          </c:cat>
          <c:val>
            <c:numRef>
              <c:f>Feuil2!$N$4:$N$26</c:f>
              <c:numCache>
                <c:formatCode>#\ ##0" €/m²"</c:formatCode>
                <c:ptCount val="23"/>
                <c:pt idx="0">
                  <c:v>2231.2937677954387</c:v>
                </c:pt>
                <c:pt idx="1">
                  <c:v>2312.3123712943639</c:v>
                </c:pt>
                <c:pt idx="2">
                  <c:v>2685.8138894095587</c:v>
                </c:pt>
                <c:pt idx="3">
                  <c:v>2384.7517730496452</c:v>
                </c:pt>
                <c:pt idx="4">
                  <c:v>2149.8700826086956</c:v>
                </c:pt>
                <c:pt idx="5">
                  <c:v>2345.3738752879813</c:v>
                </c:pt>
                <c:pt idx="6">
                  <c:v>2161.1997765630613</c:v>
                </c:pt>
                <c:pt idx="7">
                  <c:v>2003.547899550457</c:v>
                </c:pt>
                <c:pt idx="8">
                  <c:v>2366.1611547597299</c:v>
                </c:pt>
                <c:pt idx="9">
                  <c:v>2115.19364448858</c:v>
                </c:pt>
                <c:pt idx="10">
                  <c:v>2631.2718786464411</c:v>
                </c:pt>
                <c:pt idx="11">
                  <c:v>2177.2053083528494</c:v>
                </c:pt>
                <c:pt idx="12">
                  <c:v>2149.3506493506493</c:v>
                </c:pt>
                <c:pt idx="13">
                  <c:v>2410.7142857142858</c:v>
                </c:pt>
                <c:pt idx="14">
                  <c:v>2186.6252702118463</c:v>
                </c:pt>
                <c:pt idx="15">
                  <c:v>2191.2338518518518</c:v>
                </c:pt>
                <c:pt idx="16">
                  <c:v>2293.3001107419714</c:v>
                </c:pt>
                <c:pt idx="17">
                  <c:v>2384.361233480176</c:v>
                </c:pt>
                <c:pt idx="18">
                  <c:v>2556.9620253164558</c:v>
                </c:pt>
                <c:pt idx="19">
                  <c:v>2383.9228295819935</c:v>
                </c:pt>
                <c:pt idx="20">
                  <c:v>2498.7280019154796</c:v>
                </c:pt>
                <c:pt idx="21">
                  <c:v>2783.7006998495654</c:v>
                </c:pt>
                <c:pt idx="22">
                  <c:v>2390.041296060991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5-4B18-A381-88DBFC88F503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Feuil2!$G$4:$G$26</c:f>
              <c:strCache>
                <c:ptCount val="21"/>
                <c:pt idx="0">
                  <c:v>S2 2021</c:v>
                </c:pt>
                <c:pt idx="3">
                  <c:v>S1 2022</c:v>
                </c:pt>
                <c:pt idx="6">
                  <c:v>S2 2022</c:v>
                </c:pt>
                <c:pt idx="9">
                  <c:v>S2 2024</c:v>
                </c:pt>
                <c:pt idx="11">
                  <c:v>S1 2025</c:v>
                </c:pt>
                <c:pt idx="14">
                  <c:v>S1 2025</c:v>
                </c:pt>
                <c:pt idx="17">
                  <c:v>S1 2025</c:v>
                </c:pt>
                <c:pt idx="20">
                  <c:v>S2 2025</c:v>
                </c:pt>
              </c:strCache>
            </c:strRef>
          </c:cat>
          <c:val>
            <c:numRef>
              <c:f>Feuil2!$O$4:$O$26</c:f>
              <c:numCache>
                <c:formatCode>#\ ##0" €/m²"</c:formatCode>
                <c:ptCount val="23"/>
                <c:pt idx="0">
                  <c:v>2069.9357042156184</c:v>
                </c:pt>
                <c:pt idx="1">
                  <c:v>2210.2765160219437</c:v>
                </c:pt>
                <c:pt idx="2">
                  <c:v>2541.2023380515907</c:v>
                </c:pt>
                <c:pt idx="3">
                  <c:v>2271.5786303191489</c:v>
                </c:pt>
                <c:pt idx="4">
                  <c:v>2002.4451098369564</c:v>
                </c:pt>
                <c:pt idx="5">
                  <c:v>2123.4348200545423</c:v>
                </c:pt>
                <c:pt idx="6">
                  <c:v>1922.6179826836371</c:v>
                </c:pt>
                <c:pt idx="7">
                  <c:v>1776.1722988683923</c:v>
                </c:pt>
                <c:pt idx="8">
                  <c:v>2114.308423168281</c:v>
                </c:pt>
                <c:pt idx="9">
                  <c:v>1842.1052631578948</c:v>
                </c:pt>
                <c:pt idx="10">
                  <c:v>2497.0828471411901</c:v>
                </c:pt>
                <c:pt idx="11">
                  <c:v>2022.0296643247464</c:v>
                </c:pt>
                <c:pt idx="12">
                  <c:v>1966.2337662337663</c:v>
                </c:pt>
                <c:pt idx="13">
                  <c:v>2298.0403439153438</c:v>
                </c:pt>
                <c:pt idx="14">
                  <c:v>1856.0016212710766</c:v>
                </c:pt>
                <c:pt idx="15">
                  <c:v>2015.4627407407409</c:v>
                </c:pt>
                <c:pt idx="16">
                  <c:v>2079.0248964357493</c:v>
                </c:pt>
                <c:pt idx="17">
                  <c:v>2201.5418502202642</c:v>
                </c:pt>
                <c:pt idx="18">
                  <c:v>2358.4277148567621</c:v>
                </c:pt>
                <c:pt idx="19">
                  <c:v>2149.1961414790999</c:v>
                </c:pt>
                <c:pt idx="20">
                  <c:v>1974.9640847599665</c:v>
                </c:pt>
                <c:pt idx="21">
                  <c:v>2469.7494930996145</c:v>
                </c:pt>
                <c:pt idx="22">
                  <c:v>1769.655336721728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5-4B18-A381-88DBFC88F503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Feuil2!$G$4:$G$26</c:f>
              <c:strCache>
                <c:ptCount val="21"/>
                <c:pt idx="0">
                  <c:v>S2 2021</c:v>
                </c:pt>
                <c:pt idx="3">
                  <c:v>S1 2022</c:v>
                </c:pt>
                <c:pt idx="6">
                  <c:v>S2 2022</c:v>
                </c:pt>
                <c:pt idx="9">
                  <c:v>S2 2024</c:v>
                </c:pt>
                <c:pt idx="11">
                  <c:v>S1 2025</c:v>
                </c:pt>
                <c:pt idx="14">
                  <c:v>S1 2025</c:v>
                </c:pt>
                <c:pt idx="17">
                  <c:v>S1 2025</c:v>
                </c:pt>
                <c:pt idx="20">
                  <c:v>S2 2025</c:v>
                </c:pt>
              </c:strCache>
            </c:strRef>
          </c:cat>
          <c:val>
            <c:numRef>
              <c:f>Feuil2!$P$4:$P$26</c:f>
              <c:numCache>
                <c:formatCode>#\ ##0" €/m²"</c:formatCode>
                <c:ptCount val="23"/>
                <c:pt idx="0">
                  <c:v>1884.3914485141675</c:v>
                </c:pt>
                <c:pt idx="1">
                  <c:v>2000.3787263556055</c:v>
                </c:pt>
                <c:pt idx="2">
                  <c:v>2399.7001512349711</c:v>
                </c:pt>
                <c:pt idx="3">
                  <c:v>2113.156644503546</c:v>
                </c:pt>
                <c:pt idx="4">
                  <c:v>1791.1300663586958</c:v>
                </c:pt>
                <c:pt idx="5">
                  <c:v>1924.5912826395765</c:v>
                </c:pt>
                <c:pt idx="6">
                  <c:v>1806.0118301879265</c:v>
                </c:pt>
                <c:pt idx="7">
                  <c:v>1675.8487056270344</c:v>
                </c:pt>
                <c:pt idx="8">
                  <c:v>1947.359766124612</c:v>
                </c:pt>
                <c:pt idx="9">
                  <c:v>1782.5223435948362</c:v>
                </c:pt>
                <c:pt idx="10">
                  <c:v>2263.7106184364061</c:v>
                </c:pt>
                <c:pt idx="11">
                  <c:v>1805.7923497267759</c:v>
                </c:pt>
                <c:pt idx="12">
                  <c:v>1696.7532467532467</c:v>
                </c:pt>
                <c:pt idx="13">
                  <c:v>2192.4186507936506</c:v>
                </c:pt>
                <c:pt idx="14">
                  <c:v>1749.4578109237643</c:v>
                </c:pt>
                <c:pt idx="15">
                  <c:v>1810.1294074074074</c:v>
                </c:pt>
                <c:pt idx="16">
                  <c:v>1988.2526967720764</c:v>
                </c:pt>
                <c:pt idx="17">
                  <c:v>2003.3039647577093</c:v>
                </c:pt>
                <c:pt idx="18">
                  <c:v>2109.2604930046637</c:v>
                </c:pt>
                <c:pt idx="19">
                  <c:v>1902.8938906752412</c:v>
                </c:pt>
                <c:pt idx="20">
                  <c:v>1873.5783550820065</c:v>
                </c:pt>
                <c:pt idx="21">
                  <c:v>2228.7265354176207</c:v>
                </c:pt>
                <c:pt idx="22">
                  <c:v>1658.3148030495552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5-4B18-A381-88DBFC88F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330922720"/>
        <c:axId val="1330917920"/>
      </c:stockChart>
      <c:catAx>
        <c:axId val="13309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917920"/>
        <c:crosses val="autoZero"/>
        <c:auto val="1"/>
        <c:lblAlgn val="ctr"/>
        <c:lblOffset val="100"/>
        <c:noMultiLvlLbl val="0"/>
      </c:catAx>
      <c:valAx>
        <c:axId val="13309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&quot; €/m²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9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Lauréat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Feuil2!$R$2</c:f>
              <c:strCache>
                <c:ptCount val="1"/>
                <c:pt idx="0">
                  <c:v>Prix global / m² Sacc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Feuil2!$R$3:$R$26</c:f>
              <c:numCache>
                <c:formatCode>#\ ##0" €/m²"</c:formatCode>
                <c:ptCount val="24"/>
                <c:pt idx="1">
                  <c:v>2312.3123712943639</c:v>
                </c:pt>
                <c:pt idx="4">
                  <c:v>2149.8700826086956</c:v>
                </c:pt>
                <c:pt idx="7">
                  <c:v>2003.547899550457</c:v>
                </c:pt>
                <c:pt idx="10">
                  <c:v>2115.19364448858</c:v>
                </c:pt>
                <c:pt idx="12">
                  <c:v>2149.3506493506493</c:v>
                </c:pt>
                <c:pt idx="15">
                  <c:v>2186.6252702118463</c:v>
                </c:pt>
                <c:pt idx="18">
                  <c:v>2383.9228295819935</c:v>
                </c:pt>
                <c:pt idx="21">
                  <c:v>2783.7006998495654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A-448E-8A48-57EE1CDBA97F}"/>
            </c:ext>
          </c:extLst>
        </c:ser>
        <c:ser>
          <c:idx val="1"/>
          <c:order val="1"/>
          <c:tx>
            <c:strRef>
              <c:f>Feuil2!$S$2</c:f>
              <c:strCache>
                <c:ptCount val="1"/>
                <c:pt idx="0">
                  <c:v>Prix C/R hors VRD / m² Sacc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Feuil2!$S$3:$S$26</c:f>
              <c:numCache>
                <c:formatCode>#\ ##0" €/m²"</c:formatCode>
                <c:ptCount val="24"/>
                <c:pt idx="1">
                  <c:v>2210.2765160219437</c:v>
                </c:pt>
                <c:pt idx="4">
                  <c:v>2002.4451098369564</c:v>
                </c:pt>
                <c:pt idx="7">
                  <c:v>1776.1722988683923</c:v>
                </c:pt>
                <c:pt idx="10">
                  <c:v>1842.1052631578948</c:v>
                </c:pt>
                <c:pt idx="12">
                  <c:v>1966.2337662337663</c:v>
                </c:pt>
                <c:pt idx="15">
                  <c:v>1856.0016212710766</c:v>
                </c:pt>
                <c:pt idx="18">
                  <c:v>2149.1961414790999</c:v>
                </c:pt>
                <c:pt idx="21">
                  <c:v>2469.7494930996145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A-448E-8A48-57EE1CDBA97F}"/>
            </c:ext>
          </c:extLst>
        </c:ser>
        <c:ser>
          <c:idx val="2"/>
          <c:order val="2"/>
          <c:tx>
            <c:strRef>
              <c:f>Feuil2!$T$2</c:f>
              <c:strCache>
                <c:ptCount val="1"/>
                <c:pt idx="0">
                  <c:v>Prix travaux hors VRD / m² Sacc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Feuil2!$T$3:$T$26</c:f>
              <c:numCache>
                <c:formatCode>#\ ##0" €/m²"</c:formatCode>
                <c:ptCount val="24"/>
                <c:pt idx="1">
                  <c:v>2000.3787263556055</c:v>
                </c:pt>
                <c:pt idx="4">
                  <c:v>1791.1300663586958</c:v>
                </c:pt>
                <c:pt idx="7">
                  <c:v>1675.8487056270344</c:v>
                </c:pt>
                <c:pt idx="10">
                  <c:v>1782.5223435948362</c:v>
                </c:pt>
                <c:pt idx="12">
                  <c:v>1696.7532467532467</c:v>
                </c:pt>
                <c:pt idx="15">
                  <c:v>1749.4578109237643</c:v>
                </c:pt>
                <c:pt idx="18">
                  <c:v>1902.8938906752412</c:v>
                </c:pt>
                <c:pt idx="21">
                  <c:v>2228.7265354176207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A-448E-8A48-57EE1CDB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931840"/>
        <c:axId val="1330932320"/>
      </c:barChart>
      <c:catAx>
        <c:axId val="13309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932320"/>
        <c:crosses val="autoZero"/>
        <c:auto val="1"/>
        <c:lblAlgn val="ctr"/>
        <c:lblOffset val="100"/>
        <c:noMultiLvlLbl val="0"/>
      </c:catAx>
      <c:valAx>
        <c:axId val="133093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9318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Feuil2!$U$1:$U$2</c:f>
              <c:strCache>
                <c:ptCount val="2"/>
                <c:pt idx="0">
                  <c:v>Moyen</c:v>
                </c:pt>
                <c:pt idx="1">
                  <c:v>Prix global / m² Sacc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Feuil2!$U$3:$U$26</c:f>
              <c:numCache>
                <c:formatCode>#\ ##0" €/m²"</c:formatCode>
                <c:ptCount val="24"/>
                <c:pt idx="1">
                  <c:v>2409.8066761664541</c:v>
                </c:pt>
                <c:pt idx="4">
                  <c:v>2293.3319103154408</c:v>
                </c:pt>
                <c:pt idx="7">
                  <c:v>2176.9696102910825</c:v>
                </c:pt>
                <c:pt idx="10">
                  <c:v>2373.2327615675104</c:v>
                </c:pt>
                <c:pt idx="12">
                  <c:v>2245.7567478059282</c:v>
                </c:pt>
                <c:pt idx="15">
                  <c:v>2223.7197442685565</c:v>
                </c:pt>
                <c:pt idx="18">
                  <c:v>2441.7486961262089</c:v>
                </c:pt>
                <c:pt idx="21">
                  <c:v>2557.4899992753453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F-4C8C-AFAF-589E9D602720}"/>
            </c:ext>
          </c:extLst>
        </c:ser>
        <c:ser>
          <c:idx val="1"/>
          <c:order val="1"/>
          <c:tx>
            <c:strRef>
              <c:f>Feuil2!$V$1:$V$2</c:f>
              <c:strCache>
                <c:ptCount val="2"/>
                <c:pt idx="0">
                  <c:v>Moyen</c:v>
                </c:pt>
                <c:pt idx="1">
                  <c:v>Prix C/R hors VRD / m² Sacc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Feuil2!$V$3:$V$26</c:f>
              <c:numCache>
                <c:formatCode>#\ ##0" €/m²"</c:formatCode>
                <c:ptCount val="24"/>
                <c:pt idx="1">
                  <c:v>2273.8048527630508</c:v>
                </c:pt>
                <c:pt idx="4">
                  <c:v>2132.4861867368822</c:v>
                </c:pt>
                <c:pt idx="7">
                  <c:v>1937.6995682401036</c:v>
                </c:pt>
                <c:pt idx="10">
                  <c:v>2169.5940551495423</c:v>
                </c:pt>
                <c:pt idx="12">
                  <c:v>2095.4345914912851</c:v>
                </c:pt>
                <c:pt idx="15">
                  <c:v>1983.4964194825225</c:v>
                </c:pt>
                <c:pt idx="18">
                  <c:v>2236.3885688520422</c:v>
                </c:pt>
                <c:pt idx="21">
                  <c:v>2071.4563048604364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F-4C8C-AFAF-589E9D602720}"/>
            </c:ext>
          </c:extLst>
        </c:ser>
        <c:ser>
          <c:idx val="2"/>
          <c:order val="2"/>
          <c:tx>
            <c:strRef>
              <c:f>Feuil2!$W$1:$W$2</c:f>
              <c:strCache>
                <c:ptCount val="2"/>
                <c:pt idx="0">
                  <c:v>Moyen</c:v>
                </c:pt>
                <c:pt idx="1">
                  <c:v>Prix travaux hors VRD / m² Sacc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Feuil2!$Q$3:$Q$26</c:f>
              <c:strCache>
                <c:ptCount val="22"/>
                <c:pt idx="1">
                  <c:v>S2 2021 T&amp;H</c:v>
                </c:pt>
                <c:pt idx="4">
                  <c:v>S1 2022</c:v>
                </c:pt>
                <c:pt idx="7">
                  <c:v>S2 2022</c:v>
                </c:pt>
                <c:pt idx="10">
                  <c:v>S2 2024</c:v>
                </c:pt>
                <c:pt idx="12">
                  <c:v>S1 2025</c:v>
                </c:pt>
                <c:pt idx="15">
                  <c:v>S1 2025</c:v>
                </c:pt>
                <c:pt idx="18">
                  <c:v>S1 2025</c:v>
                </c:pt>
                <c:pt idx="21">
                  <c:v>S2 2025</c:v>
                </c:pt>
              </c:strCache>
            </c:strRef>
          </c:cat>
          <c:val>
            <c:numRef>
              <c:f>Feuil2!$W$3:$W$26</c:f>
              <c:numCache>
                <c:formatCode>#\ ##0" €/m²"</c:formatCode>
                <c:ptCount val="24"/>
                <c:pt idx="1">
                  <c:v>2094.8234420349145</c:v>
                </c:pt>
                <c:pt idx="4">
                  <c:v>1942.9593311672727</c:v>
                </c:pt>
                <c:pt idx="7">
                  <c:v>1809.7401006465243</c:v>
                </c:pt>
                <c:pt idx="10">
                  <c:v>2023.116481015621</c:v>
                </c:pt>
                <c:pt idx="12">
                  <c:v>1898.3214157578911</c:v>
                </c:pt>
                <c:pt idx="15">
                  <c:v>1849.2799717010828</c:v>
                </c:pt>
                <c:pt idx="18">
                  <c:v>2005.1527828125381</c:v>
                </c:pt>
                <c:pt idx="21">
                  <c:v>1920.2065645163939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F-4C8C-AFAF-589E9D60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330352"/>
        <c:axId val="1350330832"/>
      </c:barChart>
      <c:catAx>
        <c:axId val="135033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0330832"/>
        <c:crosses val="autoZero"/>
        <c:auto val="1"/>
        <c:lblAlgn val="ctr"/>
        <c:lblOffset val="100"/>
        <c:noMultiLvlLbl val="0"/>
      </c:catAx>
      <c:valAx>
        <c:axId val="13503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033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124369</xdr:colOff>
      <xdr:row>30</xdr:row>
      <xdr:rowOff>104412</xdr:rowOff>
    </xdr:from>
    <xdr:to>
      <xdr:col>27</xdr:col>
      <xdr:colOff>171994</xdr:colOff>
      <xdr:row>56</xdr:row>
      <xdr:rowOff>51388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5309F30-6910-18F2-DB9B-BA94E1FED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481965</xdr:colOff>
      <xdr:row>2</xdr:row>
      <xdr:rowOff>35242</xdr:rowOff>
    </xdr:from>
    <xdr:to>
      <xdr:col>30</xdr:col>
      <xdr:colOff>114300</xdr:colOff>
      <xdr:row>24</xdr:row>
      <xdr:rowOff>247650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8D9E073-59B3-3961-FC4D-14D023203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771842</xdr:colOff>
      <xdr:row>30</xdr:row>
      <xdr:rowOff>9932</xdr:rowOff>
    </xdr:from>
    <xdr:to>
      <xdr:col>16</xdr:col>
      <xdr:colOff>1376997</xdr:colOff>
      <xdr:row>45</xdr:row>
      <xdr:rowOff>24084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D52A003-799B-DB0B-C10A-298701986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7199-EDC6-4476-90CC-97080A6914AD}">
  <sheetPr>
    <tabColor theme="5" tint="-0.249977111117893"/>
  </sheetPr>
  <dimension ref="B3:E17"/>
  <sheetViews>
    <sheetView workbookViewId="0">
      <selection activeCell="C8" sqref="C8"/>
    </sheetView>
  </sheetViews>
  <sheetFormatPr baseColWidth="10" defaultRowHeight="14.4" x14ac:dyDescent="0.3"/>
  <cols>
    <col min="1" max="1" width="21.33203125" bestFit="1" customWidth="1"/>
    <col min="2" max="2" width="31.6640625" customWidth="1"/>
    <col min="3" max="3" width="15.109375" customWidth="1"/>
    <col min="4" max="4" width="20.109375" bestFit="1" customWidth="1"/>
  </cols>
  <sheetData>
    <row r="3" spans="2:5" x14ac:dyDescent="0.3">
      <c r="B3" s="43" t="s">
        <v>63</v>
      </c>
      <c r="C3" s="43"/>
      <c r="D3" s="43"/>
      <c r="E3" s="43"/>
    </row>
    <row r="4" spans="2:5" x14ac:dyDescent="0.3">
      <c r="B4" s="15" t="s">
        <v>65</v>
      </c>
      <c r="C4" s="19" t="s">
        <v>66</v>
      </c>
      <c r="D4" s="19" t="s">
        <v>67</v>
      </c>
      <c r="E4" s="19" t="s">
        <v>68</v>
      </c>
    </row>
    <row r="5" spans="2:5" x14ac:dyDescent="0.3">
      <c r="B5" s="13" t="s">
        <v>69</v>
      </c>
      <c r="C5" s="10" t="e">
        <f>AVERAGE(#REF!,#REF!,#REF!,#REF!,#REF!)</f>
        <v>#REF!</v>
      </c>
      <c r="D5" s="10" t="e">
        <f>AVERAGE(#REF!,#REF!,#REF!)</f>
        <v>#REF!</v>
      </c>
      <c r="E5" s="10" t="e">
        <f>AVERAGE(#REF!,#REF!,#REF!,#REF!,#REF!,#REF!)</f>
        <v>#REF!</v>
      </c>
    </row>
    <row r="6" spans="2:5" x14ac:dyDescent="0.3">
      <c r="B6" s="13" t="s">
        <v>71</v>
      </c>
      <c r="C6" s="11" t="e">
        <f>AVERAGE(#REF!,#REF!,#REF!,#REF!,#REF!)</f>
        <v>#REF!</v>
      </c>
      <c r="D6" s="11" t="e">
        <f t="shared" ref="D6:D17" si="0">AVERAGE(#REF!,#REF!,#REF!)</f>
        <v>#REF!</v>
      </c>
      <c r="E6" s="11" t="e">
        <f>AVERAGE(#REF!,#REF!,#REF!,#REF!,#REF!,#REF!)</f>
        <v>#REF!</v>
      </c>
    </row>
    <row r="7" spans="2:5" x14ac:dyDescent="0.3">
      <c r="B7" s="13" t="s">
        <v>73</v>
      </c>
      <c r="C7" s="22" t="e">
        <f>AVERAGE(#REF!,#REF!,#REF!,#REF!,#REF!)</f>
        <v>#REF!</v>
      </c>
      <c r="D7" s="22" t="e">
        <f t="shared" ref="D7:D17" si="1">AVERAGE(#REF!,#REF!,#REF!)</f>
        <v>#REF!</v>
      </c>
      <c r="E7" s="22" t="e">
        <f>AVERAGE(#REF!,#REF!,#REF!,#REF!,#REF!,#REF!)</f>
        <v>#REF!</v>
      </c>
    </row>
    <row r="8" spans="2:5" x14ac:dyDescent="0.3">
      <c r="B8" s="13" t="s">
        <v>75</v>
      </c>
      <c r="C8" s="11" t="e">
        <f>AVERAGE(#REF!,#REF!,#REF!,#REF!,#REF!)</f>
        <v>#REF!</v>
      </c>
      <c r="D8" s="11" t="e">
        <f t="shared" ref="D8:D17" si="2">AVERAGE(#REF!,#REF!,#REF!)</f>
        <v>#REF!</v>
      </c>
      <c r="E8" s="11" t="e">
        <f>AVERAGE(#REF!,#REF!,#REF!,#REF!,#REF!,#REF!)</f>
        <v>#REF!</v>
      </c>
    </row>
    <row r="9" spans="2:5" x14ac:dyDescent="0.3">
      <c r="B9" s="20" t="s">
        <v>49</v>
      </c>
      <c r="C9" s="16"/>
      <c r="D9" s="16"/>
      <c r="E9" s="16"/>
    </row>
    <row r="10" spans="2:5" x14ac:dyDescent="0.3">
      <c r="B10" s="13" t="s">
        <v>77</v>
      </c>
      <c r="C10" s="6" t="e">
        <f>AVERAGE(#REF!,#REF!,#REF!,#REF!,#REF!)</f>
        <v>#REF!</v>
      </c>
      <c r="D10" s="6" t="e">
        <f t="shared" ref="D10:D17" si="3">AVERAGE(#REF!,#REF!,#REF!)</f>
        <v>#REF!</v>
      </c>
      <c r="E10" s="6" t="e">
        <f>AVERAGE(#REF!,#REF!,#REF!,#REF!,#REF!,#REF!)</f>
        <v>#REF!</v>
      </c>
    </row>
    <row r="11" spans="2:5" x14ac:dyDescent="0.3">
      <c r="B11" s="13" t="s">
        <v>79</v>
      </c>
      <c r="C11" s="6" t="e">
        <f>AVERAGE(#REF!,#REF!,#REF!,#REF!,#REF!)</f>
        <v>#REF!</v>
      </c>
      <c r="D11" s="6" t="e">
        <f t="shared" ref="D11:D17" si="4">AVERAGE(#REF!,#REF!,#REF!)</f>
        <v>#REF!</v>
      </c>
      <c r="E11" s="6" t="e">
        <f>AVERAGE(#REF!,#REF!,#REF!,#REF!,#REF!,#REF!)</f>
        <v>#REF!</v>
      </c>
    </row>
    <row r="12" spans="2:5" x14ac:dyDescent="0.3">
      <c r="B12" s="13" t="s">
        <v>81</v>
      </c>
      <c r="C12" s="21" t="e">
        <f>AVERAGE(#REF!,#REF!,#REF!,#REF!,#REF!)</f>
        <v>#REF!</v>
      </c>
      <c r="D12" s="21" t="e">
        <f t="shared" ref="D12:D17" si="5">AVERAGE(#REF!,#REF!,#REF!)</f>
        <v>#REF!</v>
      </c>
      <c r="E12" s="21" t="e">
        <f>AVERAGE(#REF!,#REF!,#REF!,#REF!,#REF!,#REF!)</f>
        <v>#REF!</v>
      </c>
    </row>
    <row r="13" spans="2:5" x14ac:dyDescent="0.3">
      <c r="B13" s="13" t="s">
        <v>83</v>
      </c>
      <c r="C13" s="6" t="e">
        <f>AVERAGE(#REF!,#REF!,#REF!,#REF!,#REF!)</f>
        <v>#REF!</v>
      </c>
      <c r="D13" s="6" t="e">
        <f t="shared" ref="D13:D17" si="6">AVERAGE(#REF!,#REF!,#REF!)</f>
        <v>#REF!</v>
      </c>
      <c r="E13" s="6" t="e">
        <f>AVERAGE(#REF!,#REF!,#REF!,#REF!,#REF!,#REF!)</f>
        <v>#REF!</v>
      </c>
    </row>
    <row r="14" spans="2:5" x14ac:dyDescent="0.3">
      <c r="B14" s="16" t="s">
        <v>85</v>
      </c>
      <c r="C14" s="16"/>
      <c r="D14" s="16"/>
      <c r="E14" s="16"/>
    </row>
    <row r="15" spans="2:5" x14ac:dyDescent="0.3">
      <c r="B15" s="13" t="s">
        <v>86</v>
      </c>
      <c r="C15" s="6" t="e">
        <f>AVERAGE(#REF!,#REF!,#REF!,#REF!,#REF!)</f>
        <v>#REF!</v>
      </c>
      <c r="D15" s="6" t="e">
        <f t="shared" ref="D15:D17" si="7">AVERAGE(#REF!,#REF!,#REF!)</f>
        <v>#REF!</v>
      </c>
      <c r="E15" s="6" t="e">
        <f>AVERAGE(#REF!,#REF!,#REF!,#REF!,#REF!,#REF!)</f>
        <v>#REF!</v>
      </c>
    </row>
    <row r="16" spans="2:5" x14ac:dyDescent="0.3">
      <c r="B16" s="13" t="s">
        <v>88</v>
      </c>
      <c r="C16" s="6" t="e">
        <f>AVERAGE(#REF!,#REF!,#REF!,#REF!,#REF!)</f>
        <v>#REF!</v>
      </c>
      <c r="D16" s="6" t="e">
        <f t="shared" ref="D16:D17" si="8">AVERAGE(#REF!,#REF!,#REF!)</f>
        <v>#REF!</v>
      </c>
      <c r="E16" s="6" t="e">
        <f>AVERAGE(#REF!,#REF!,#REF!,#REF!,#REF!,#REF!)</f>
        <v>#REF!</v>
      </c>
    </row>
    <row r="17" spans="2:5" x14ac:dyDescent="0.3">
      <c r="B17" s="13" t="s">
        <v>90</v>
      </c>
      <c r="C17" s="21" t="e">
        <f>AVERAGE(#REF!,#REF!,#REF!,#REF!,#REF!)</f>
        <v>#REF!</v>
      </c>
      <c r="D17" s="21" t="e">
        <f t="shared" ref="D17" si="9">AVERAGE(#REF!,#REF!,#REF!)</f>
        <v>#REF!</v>
      </c>
      <c r="E17" s="21" t="e">
        <f>AVERAGE(#REF!,#REF!,#REF!,#REF!,#REF!,#REF!)</f>
        <v>#REF!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C414-B775-4006-B79D-3D2BB2E845B6}">
  <dimension ref="B2:AM36"/>
  <sheetViews>
    <sheetView tabSelected="1" zoomScale="85" zoomScaleNormal="85" workbookViewId="0">
      <pane xSplit="3" ySplit="10" topLeftCell="K11" activePane="bottomRight" state="frozen"/>
      <selection pane="topRight" activeCell="D1" sqref="D1"/>
      <selection pane="bottomLeft" activeCell="A9" sqref="A9"/>
      <selection pane="bottomRight" activeCell="AD21" sqref="AD21"/>
    </sheetView>
  </sheetViews>
  <sheetFormatPr baseColWidth="10" defaultColWidth="11.5546875" defaultRowHeight="14.4" x14ac:dyDescent="0.3"/>
  <cols>
    <col min="1" max="1" width="3" style="1" customWidth="1"/>
    <col min="2" max="2" width="31.44140625" style="13" customWidth="1"/>
    <col min="3" max="3" width="22.88671875" style="1" customWidth="1"/>
    <col min="4" max="4" width="15.5546875" style="1" hidden="1" customWidth="1"/>
    <col min="5" max="23" width="15.5546875" style="1" customWidth="1"/>
    <col min="24" max="24" width="17.33203125" style="1" customWidth="1"/>
    <col min="25" max="25" width="19.44140625" customWidth="1"/>
    <col min="26" max="26" width="30.109375" style="1" customWidth="1"/>
    <col min="27" max="29" width="22.6640625" style="1" customWidth="1"/>
    <col min="30" max="30" width="16.21875" style="1" customWidth="1"/>
    <col min="31" max="31" width="29.109375" style="1" customWidth="1"/>
    <col min="32" max="34" width="22.6640625" style="1" customWidth="1"/>
    <col min="35" max="16384" width="11.5546875" style="1"/>
  </cols>
  <sheetData>
    <row r="2" spans="2:33" ht="33.6" hidden="1" customHeight="1" x14ac:dyDescent="0.3">
      <c r="B2" s="1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V2" s="2"/>
      <c r="W2" s="2"/>
      <c r="X2" s="2"/>
    </row>
    <row r="3" spans="2:33" x14ac:dyDescent="0.3">
      <c r="B3" s="12" t="s">
        <v>1</v>
      </c>
      <c r="E3" s="51" t="s">
        <v>93</v>
      </c>
      <c r="F3" s="51"/>
      <c r="G3" s="51"/>
      <c r="H3" s="51" t="s">
        <v>95</v>
      </c>
      <c r="I3" s="51"/>
      <c r="J3" s="51"/>
      <c r="K3" s="51" t="s">
        <v>2</v>
      </c>
      <c r="L3" s="51"/>
      <c r="M3" s="51"/>
      <c r="N3" s="44" t="s">
        <v>3</v>
      </c>
      <c r="O3" s="46"/>
      <c r="P3" s="51" t="s">
        <v>5</v>
      </c>
      <c r="Q3" s="51"/>
      <c r="R3" s="51"/>
      <c r="S3" s="51" t="s">
        <v>6</v>
      </c>
      <c r="T3" s="51"/>
      <c r="U3" s="51"/>
      <c r="V3" s="51" t="s">
        <v>4</v>
      </c>
      <c r="W3" s="51"/>
      <c r="X3" s="51"/>
      <c r="Y3" s="51" t="s">
        <v>7</v>
      </c>
      <c r="Z3" s="51"/>
      <c r="AA3" s="51"/>
      <c r="AB3"/>
    </row>
    <row r="4" spans="2:33" x14ac:dyDescent="0.3">
      <c r="B4" s="12" t="s">
        <v>8</v>
      </c>
      <c r="E4" s="47" t="s">
        <v>110</v>
      </c>
      <c r="F4" s="48"/>
      <c r="G4" s="49"/>
      <c r="H4" s="47" t="s">
        <v>111</v>
      </c>
      <c r="I4" s="48"/>
      <c r="J4" s="49"/>
      <c r="K4" s="44" t="s">
        <v>9</v>
      </c>
      <c r="L4" s="45"/>
      <c r="M4" s="46"/>
      <c r="N4" s="44" t="s">
        <v>10</v>
      </c>
      <c r="O4" s="46"/>
      <c r="P4" s="44" t="s">
        <v>11</v>
      </c>
      <c r="Q4" s="45"/>
      <c r="R4" s="46"/>
      <c r="S4" s="44" t="s">
        <v>11</v>
      </c>
      <c r="T4" s="45"/>
      <c r="U4" s="46"/>
      <c r="V4" s="44" t="s">
        <v>11</v>
      </c>
      <c r="W4" s="45"/>
      <c r="X4" s="46"/>
      <c r="Y4" s="44" t="s">
        <v>12</v>
      </c>
      <c r="Z4" s="45"/>
      <c r="AA4" s="46"/>
      <c r="AB4"/>
    </row>
    <row r="5" spans="2:33" x14ac:dyDescent="0.3">
      <c r="B5" s="12" t="s">
        <v>13</v>
      </c>
      <c r="E5" s="50" t="s">
        <v>94</v>
      </c>
      <c r="F5" s="50"/>
      <c r="G5" s="50"/>
      <c r="H5" s="50" t="s">
        <v>96</v>
      </c>
      <c r="I5" s="50"/>
      <c r="J5" s="50"/>
      <c r="K5" s="50" t="s">
        <v>14</v>
      </c>
      <c r="L5" s="50"/>
      <c r="M5" s="50"/>
      <c r="N5" s="52" t="s">
        <v>15</v>
      </c>
      <c r="O5" s="53"/>
      <c r="P5" s="50" t="s">
        <v>16</v>
      </c>
      <c r="Q5" s="50"/>
      <c r="R5" s="50"/>
      <c r="S5" s="3" t="s">
        <v>14</v>
      </c>
      <c r="T5" s="3"/>
      <c r="U5" s="3"/>
      <c r="V5" s="50" t="s">
        <v>16</v>
      </c>
      <c r="W5" s="50"/>
      <c r="X5" s="50"/>
      <c r="Y5" s="50" t="s">
        <v>14</v>
      </c>
      <c r="Z5" s="50"/>
      <c r="AA5" s="50"/>
      <c r="AB5"/>
    </row>
    <row r="6" spans="2:33" x14ac:dyDescent="0.3">
      <c r="B6" s="12" t="s">
        <v>17</v>
      </c>
      <c r="E6" s="50" t="s">
        <v>18</v>
      </c>
      <c r="F6" s="50"/>
      <c r="G6" s="50"/>
      <c r="H6" s="50" t="s">
        <v>18</v>
      </c>
      <c r="I6" s="50"/>
      <c r="J6" s="50"/>
      <c r="K6" s="50" t="s">
        <v>18</v>
      </c>
      <c r="L6" s="50"/>
      <c r="M6" s="50"/>
      <c r="N6" s="52" t="s">
        <v>18</v>
      </c>
      <c r="O6" s="53"/>
      <c r="P6" s="50" t="s">
        <v>18</v>
      </c>
      <c r="Q6" s="50"/>
      <c r="R6" s="50"/>
      <c r="S6" s="3" t="s">
        <v>19</v>
      </c>
      <c r="T6" s="3"/>
      <c r="U6" s="3"/>
      <c r="V6" s="50" t="s">
        <v>18</v>
      </c>
      <c r="W6" s="50"/>
      <c r="X6" s="50"/>
      <c r="Y6" s="50" t="s">
        <v>18</v>
      </c>
      <c r="Z6" s="50"/>
      <c r="AA6" s="50"/>
      <c r="AB6"/>
    </row>
    <row r="7" spans="2:33" x14ac:dyDescent="0.3">
      <c r="B7" s="12" t="s">
        <v>20</v>
      </c>
      <c r="C7" s="42"/>
      <c r="E7" s="50">
        <v>300</v>
      </c>
      <c r="F7" s="50"/>
      <c r="G7" s="50"/>
      <c r="H7" s="50">
        <v>160</v>
      </c>
      <c r="I7" s="50"/>
      <c r="J7" s="50"/>
      <c r="K7" s="50">
        <v>8</v>
      </c>
      <c r="L7" s="50"/>
      <c r="M7" s="50"/>
      <c r="N7" s="52">
        <v>7</v>
      </c>
      <c r="O7" s="53"/>
      <c r="P7" s="50" t="s">
        <v>21</v>
      </c>
      <c r="Q7" s="50"/>
      <c r="R7" s="50"/>
      <c r="S7" s="3">
        <v>3</v>
      </c>
      <c r="T7" s="3"/>
      <c r="U7" s="3"/>
      <c r="V7" s="50">
        <v>24</v>
      </c>
      <c r="W7" s="50"/>
      <c r="X7" s="50"/>
      <c r="Y7" s="50">
        <v>8</v>
      </c>
      <c r="Z7" s="50"/>
      <c r="AA7" s="50"/>
      <c r="AB7"/>
    </row>
    <row r="8" spans="2:33" x14ac:dyDescent="0.3">
      <c r="B8" s="12" t="s">
        <v>22</v>
      </c>
      <c r="E8" s="3" t="s">
        <v>23</v>
      </c>
      <c r="F8" s="3" t="s">
        <v>24</v>
      </c>
      <c r="G8" s="3" t="s">
        <v>25</v>
      </c>
      <c r="H8" s="3" t="s">
        <v>23</v>
      </c>
      <c r="I8" s="3" t="s">
        <v>24</v>
      </c>
      <c r="J8" s="3" t="s">
        <v>25</v>
      </c>
      <c r="K8" s="3" t="s">
        <v>23</v>
      </c>
      <c r="L8" s="3" t="s">
        <v>24</v>
      </c>
      <c r="M8" s="3" t="s">
        <v>25</v>
      </c>
      <c r="N8" s="3" t="s">
        <v>24</v>
      </c>
      <c r="O8" s="3" t="s">
        <v>25</v>
      </c>
      <c r="P8" s="3" t="s">
        <v>23</v>
      </c>
      <c r="Q8" s="3" t="s">
        <v>24</v>
      </c>
      <c r="R8" s="3" t="s">
        <v>25</v>
      </c>
      <c r="S8" s="3" t="s">
        <v>23</v>
      </c>
      <c r="T8" s="3" t="s">
        <v>24</v>
      </c>
      <c r="U8" s="3" t="s">
        <v>25</v>
      </c>
      <c r="V8" s="3" t="s">
        <v>23</v>
      </c>
      <c r="W8" s="3" t="s">
        <v>24</v>
      </c>
      <c r="X8" s="3" t="s">
        <v>25</v>
      </c>
      <c r="Y8" s="3" t="s">
        <v>23</v>
      </c>
      <c r="Z8" s="3" t="s">
        <v>24</v>
      </c>
      <c r="AA8" s="3" t="s">
        <v>25</v>
      </c>
      <c r="AB8"/>
    </row>
    <row r="9" spans="2:33" ht="27" customHeight="1" x14ac:dyDescent="0.3">
      <c r="B9" s="12" t="s">
        <v>26</v>
      </c>
      <c r="E9" s="7" t="s">
        <v>27</v>
      </c>
      <c r="F9" s="7" t="s">
        <v>27</v>
      </c>
      <c r="G9" s="7" t="s">
        <v>27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7" t="s">
        <v>27</v>
      </c>
      <c r="R9" s="7" t="s">
        <v>27</v>
      </c>
      <c r="S9" s="7" t="s">
        <v>27</v>
      </c>
      <c r="T9" s="7" t="s">
        <v>27</v>
      </c>
      <c r="U9" s="8" t="s">
        <v>29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9" t="s">
        <v>28</v>
      </c>
      <c r="AB9"/>
    </row>
    <row r="10" spans="2:33" s="13" customFormat="1" ht="28.8" x14ac:dyDescent="0.3">
      <c r="B10" s="12" t="s">
        <v>30</v>
      </c>
      <c r="E10" s="14" t="s">
        <v>98</v>
      </c>
      <c r="F10" s="23" t="s">
        <v>32</v>
      </c>
      <c r="G10" s="14" t="s">
        <v>97</v>
      </c>
      <c r="H10" s="14" t="s">
        <v>35</v>
      </c>
      <c r="I10" s="23" t="s">
        <v>99</v>
      </c>
      <c r="J10" s="14" t="s">
        <v>41</v>
      </c>
      <c r="K10" s="14" t="s">
        <v>31</v>
      </c>
      <c r="L10" s="23" t="s">
        <v>32</v>
      </c>
      <c r="M10" s="14" t="s">
        <v>33</v>
      </c>
      <c r="N10" s="23" t="s">
        <v>35</v>
      </c>
      <c r="O10" s="14" t="s">
        <v>36</v>
      </c>
      <c r="P10" s="14" t="s">
        <v>34</v>
      </c>
      <c r="Q10" s="23" t="s">
        <v>40</v>
      </c>
      <c r="R10" s="14" t="s">
        <v>41</v>
      </c>
      <c r="S10" s="23" t="s">
        <v>42</v>
      </c>
      <c r="T10" s="14" t="s">
        <v>43</v>
      </c>
      <c r="U10" s="14" t="s">
        <v>44</v>
      </c>
      <c r="V10" s="14" t="s">
        <v>37</v>
      </c>
      <c r="W10" s="14" t="s">
        <v>38</v>
      </c>
      <c r="X10" s="23" t="s">
        <v>39</v>
      </c>
      <c r="Y10" s="14" t="s">
        <v>32</v>
      </c>
      <c r="Z10" s="14" t="s">
        <v>45</v>
      </c>
      <c r="AA10" s="14" t="s">
        <v>46</v>
      </c>
      <c r="AB10"/>
    </row>
    <row r="11" spans="2:33" x14ac:dyDescent="0.3">
      <c r="Y11" s="1"/>
      <c r="AB11"/>
    </row>
    <row r="12" spans="2:33" x14ac:dyDescent="0.3">
      <c r="B12" s="12" t="s">
        <v>47</v>
      </c>
      <c r="C12" s="1" t="s">
        <v>48</v>
      </c>
      <c r="Y12" s="1"/>
      <c r="AB12"/>
    </row>
    <row r="13" spans="2:33" x14ac:dyDescent="0.3">
      <c r="B13" s="13" t="s">
        <v>49</v>
      </c>
      <c r="C13" s="1" t="s">
        <v>50</v>
      </c>
      <c r="E13" s="40">
        <f>2002*3</f>
        <v>6006</v>
      </c>
      <c r="F13" s="40">
        <f>2017+2057+1976</f>
        <v>6050</v>
      </c>
      <c r="G13" s="40">
        <f>1762*3</f>
        <v>5286</v>
      </c>
      <c r="H13" s="40">
        <v>2188</v>
      </c>
      <c r="I13" s="40">
        <v>2161.48</v>
      </c>
      <c r="J13" s="40">
        <v>1913.3</v>
      </c>
      <c r="K13" s="40">
        <v>474.24</v>
      </c>
      <c r="L13" s="40">
        <v>480.16</v>
      </c>
      <c r="M13" s="40">
        <v>513.04</v>
      </c>
      <c r="N13" s="40">
        <v>610</v>
      </c>
      <c r="O13" s="40">
        <v>645</v>
      </c>
      <c r="P13" s="40">
        <v>987</v>
      </c>
      <c r="Q13" s="40">
        <v>1234</v>
      </c>
      <c r="R13" s="40">
        <v>1379</v>
      </c>
      <c r="S13" s="40">
        <v>245.55</v>
      </c>
      <c r="T13" s="40">
        <v>259</v>
      </c>
      <c r="U13" s="40">
        <v>243.81</v>
      </c>
      <c r="V13" s="40">
        <v>1421</v>
      </c>
      <c r="W13" s="40">
        <v>1445</v>
      </c>
      <c r="X13" s="40">
        <v>1483</v>
      </c>
      <c r="Y13" s="40">
        <v>558.44000000000005</v>
      </c>
      <c r="Z13" s="40">
        <v>569.79999999999995</v>
      </c>
      <c r="AA13" s="40">
        <v>440.8</v>
      </c>
      <c r="AB13"/>
    </row>
    <row r="14" spans="2:33" x14ac:dyDescent="0.3">
      <c r="B14" s="41" t="s">
        <v>108</v>
      </c>
      <c r="C14" s="1" t="s">
        <v>52</v>
      </c>
      <c r="E14" s="40">
        <v>7235</v>
      </c>
      <c r="F14" s="40">
        <v>7103</v>
      </c>
      <c r="G14" s="40">
        <v>6402</v>
      </c>
      <c r="H14" s="54">
        <v>2256</v>
      </c>
      <c r="I14" s="54">
        <v>2300</v>
      </c>
      <c r="J14" s="54">
        <v>2205</v>
      </c>
      <c r="K14" s="40">
        <v>501.26</v>
      </c>
      <c r="L14" s="40">
        <v>516.08000000000004</v>
      </c>
      <c r="M14" s="40">
        <v>547.29999999999995</v>
      </c>
      <c r="N14" s="40">
        <v>1007</v>
      </c>
      <c r="O14" s="40">
        <v>857</v>
      </c>
      <c r="P14" s="40">
        <v>1281</v>
      </c>
      <c r="Q14" s="40">
        <v>1540</v>
      </c>
      <c r="R14" s="40">
        <v>1512</v>
      </c>
      <c r="S14" s="40">
        <v>277.56</v>
      </c>
      <c r="T14" s="40">
        <v>270</v>
      </c>
      <c r="U14" s="40">
        <v>243.81</v>
      </c>
      <c r="V14" s="40">
        <v>1816</v>
      </c>
      <c r="W14" s="40">
        <v>1501</v>
      </c>
      <c r="X14" s="40">
        <v>1555</v>
      </c>
      <c r="Y14" s="40">
        <v>668.24</v>
      </c>
      <c r="Z14" s="40">
        <v>611.55999999999995</v>
      </c>
      <c r="AA14" s="40">
        <f>AA13+188.8</f>
        <v>629.6</v>
      </c>
      <c r="AB14"/>
    </row>
    <row r="15" spans="2:33" x14ac:dyDescent="0.3">
      <c r="B15" s="13" t="s">
        <v>107</v>
      </c>
      <c r="C15" s="1" t="s">
        <v>104</v>
      </c>
      <c r="E15" s="40"/>
      <c r="F15" s="40"/>
      <c r="G15" s="40"/>
      <c r="H15" s="40">
        <v>4902</v>
      </c>
      <c r="I15" s="40">
        <v>4902</v>
      </c>
      <c r="J15" s="40">
        <v>4902</v>
      </c>
      <c r="K15" s="40">
        <v>1485</v>
      </c>
      <c r="L15" s="40">
        <v>1485</v>
      </c>
      <c r="M15" s="40">
        <v>1485</v>
      </c>
      <c r="N15" s="40"/>
      <c r="O15" s="40"/>
      <c r="P15" s="40">
        <v>805</v>
      </c>
      <c r="Q15" s="40">
        <v>1000</v>
      </c>
      <c r="R15" s="40">
        <v>1063</v>
      </c>
      <c r="S15" s="40"/>
      <c r="T15" s="40"/>
      <c r="U15" s="40"/>
      <c r="V15" s="40"/>
      <c r="W15" s="40"/>
      <c r="X15" s="40"/>
      <c r="Y15" s="40">
        <v>2800</v>
      </c>
      <c r="Z15" s="40">
        <v>2800</v>
      </c>
      <c r="AA15" s="40">
        <v>2800</v>
      </c>
      <c r="AB15"/>
    </row>
    <row r="16" spans="2:33" x14ac:dyDescent="0.3">
      <c r="B16" s="13" t="s">
        <v>53</v>
      </c>
      <c r="C16" s="1" t="s">
        <v>54</v>
      </c>
      <c r="E16" s="4">
        <v>1342412.69</v>
      </c>
      <c r="F16" s="4">
        <v>1490904</v>
      </c>
      <c r="G16" s="4">
        <v>905897</v>
      </c>
      <c r="H16" s="4">
        <v>357400</v>
      </c>
      <c r="I16" s="4">
        <v>486024.6</v>
      </c>
      <c r="J16" s="4">
        <v>438450</v>
      </c>
      <c r="K16" s="4">
        <v>58450</v>
      </c>
      <c r="L16" s="4">
        <v>51775</v>
      </c>
      <c r="M16" s="4">
        <v>91371</v>
      </c>
      <c r="N16" s="4">
        <v>60000</v>
      </c>
      <c r="O16" s="4">
        <v>200000</v>
      </c>
      <c r="P16" s="4">
        <v>277000</v>
      </c>
      <c r="Q16" s="4">
        <v>415000</v>
      </c>
      <c r="R16" s="4">
        <v>159700</v>
      </c>
      <c r="S16" s="4">
        <v>29572.3</v>
      </c>
      <c r="T16" s="4">
        <v>55440</v>
      </c>
      <c r="U16" s="4">
        <v>22131.17</v>
      </c>
      <c r="V16" s="4">
        <v>360000</v>
      </c>
      <c r="W16" s="4">
        <v>374000</v>
      </c>
      <c r="X16" s="4">
        <v>383000</v>
      </c>
      <c r="Y16" s="4">
        <v>67750</v>
      </c>
      <c r="Z16" s="4">
        <v>147400</v>
      </c>
      <c r="AA16" s="4">
        <v>70100</v>
      </c>
      <c r="AB16"/>
      <c r="AG16" s="24"/>
    </row>
    <row r="17" spans="2:39" x14ac:dyDescent="0.3">
      <c r="B17" s="13" t="s">
        <v>109</v>
      </c>
      <c r="C17" s="1" t="s">
        <v>56</v>
      </c>
      <c r="E17" s="4">
        <v>14800997.720000001</v>
      </c>
      <c r="F17" s="4">
        <v>14933450.773303866</v>
      </c>
      <c r="G17" s="4">
        <v>16288683.519999996</v>
      </c>
      <c r="H17" s="4">
        <v>5022600</v>
      </c>
      <c r="I17" s="4">
        <v>4458676.59</v>
      </c>
      <c r="J17" s="4">
        <v>4733099.3950099992</v>
      </c>
      <c r="K17" s="4">
        <v>1024873</v>
      </c>
      <c r="L17" s="4">
        <v>982216</v>
      </c>
      <c r="M17" s="4">
        <v>1203629</v>
      </c>
      <c r="N17" s="4">
        <f>N21+N18+245000</f>
        <v>2070000</v>
      </c>
      <c r="O17" s="4">
        <v>2055000</v>
      </c>
      <c r="P17" s="4">
        <v>2512000</v>
      </c>
      <c r="Q17" s="4">
        <v>2895000</v>
      </c>
      <c r="R17" s="4">
        <v>3485300</v>
      </c>
      <c r="S17" s="4">
        <v>577347.41</v>
      </c>
      <c r="T17" s="4">
        <v>536193.14</v>
      </c>
      <c r="U17" s="4">
        <v>536998.32999999996</v>
      </c>
      <c r="V17" s="4">
        <v>3970000</v>
      </c>
      <c r="W17" s="4">
        <v>3464000</v>
      </c>
      <c r="X17" s="4">
        <v>3324000</v>
      </c>
      <c r="Y17" s="4">
        <v>1602000</v>
      </c>
      <c r="Z17" s="4">
        <v>1555000</v>
      </c>
      <c r="AA17" s="4">
        <v>1434670</v>
      </c>
      <c r="AB17"/>
    </row>
    <row r="18" spans="2:39" x14ac:dyDescent="0.3">
      <c r="B18" s="13" t="s">
        <v>57</v>
      </c>
      <c r="C18" s="1" t="s">
        <v>58</v>
      </c>
      <c r="E18" s="4">
        <v>1167425.5899999999</v>
      </c>
      <c r="F18" s="4">
        <v>724760.68</v>
      </c>
      <c r="G18" s="4">
        <v>925803.15179371065</v>
      </c>
      <c r="H18" s="4">
        <v>255318.61000000002</v>
      </c>
      <c r="I18" s="4">
        <v>339077.43737499998</v>
      </c>
      <c r="J18" s="4">
        <v>489375.61678973329</v>
      </c>
      <c r="K18" s="4">
        <v>119591.51</v>
      </c>
      <c r="L18" s="4">
        <v>117344</v>
      </c>
      <c r="M18" s="4">
        <v>137839</v>
      </c>
      <c r="N18" s="4">
        <v>275000</v>
      </c>
      <c r="O18" s="4">
        <v>115000</v>
      </c>
      <c r="P18" s="4">
        <v>198780</v>
      </c>
      <c r="Q18" s="4">
        <v>282000</v>
      </c>
      <c r="R18" s="4">
        <v>170363</v>
      </c>
      <c r="S18" s="4">
        <v>91767.9</v>
      </c>
      <c r="T18" s="4">
        <v>47458.2</v>
      </c>
      <c r="U18" s="4">
        <v>52242.44</v>
      </c>
      <c r="V18" s="4">
        <v>332000</v>
      </c>
      <c r="W18" s="4">
        <v>298000</v>
      </c>
      <c r="X18" s="4">
        <v>365000</v>
      </c>
      <c r="Y18" s="4">
        <v>350000</v>
      </c>
      <c r="Z18" s="4">
        <v>192000</v>
      </c>
      <c r="AA18" s="4">
        <v>390595</v>
      </c>
      <c r="AB18"/>
    </row>
    <row r="19" spans="2:39" x14ac:dyDescent="0.3">
      <c r="B19" s="13" t="s">
        <v>105</v>
      </c>
      <c r="C19" s="1" t="s">
        <v>106</v>
      </c>
      <c r="E19" s="4" t="e">
        <f>E18/E15</f>
        <v>#DIV/0!</v>
      </c>
      <c r="F19" s="4" t="e">
        <f>F18/F15</f>
        <v>#DIV/0!</v>
      </c>
      <c r="G19" s="4" t="e">
        <f>G18/G15</f>
        <v>#DIV/0!</v>
      </c>
      <c r="H19" s="4">
        <f>H18/H15</f>
        <v>52.084579763361894</v>
      </c>
      <c r="I19" s="4">
        <f>I18/I15</f>
        <v>69.171243854549161</v>
      </c>
      <c r="J19" s="4">
        <f>J18/J15</f>
        <v>99.831827170488225</v>
      </c>
      <c r="K19" s="4">
        <f>K18/K15</f>
        <v>80.53300336700336</v>
      </c>
      <c r="L19" s="4">
        <f>L18/L15</f>
        <v>79.019528619528614</v>
      </c>
      <c r="M19" s="4">
        <f>M18/M15</f>
        <v>92.820875420875424</v>
      </c>
      <c r="N19" s="4" t="e">
        <f>N18/N15</f>
        <v>#DIV/0!</v>
      </c>
      <c r="O19" s="4" t="e">
        <f>O18/O15</f>
        <v>#DIV/0!</v>
      </c>
      <c r="P19" s="4">
        <f>P18/P15</f>
        <v>246.93167701863354</v>
      </c>
      <c r="Q19" s="4">
        <f>Q18/Q15</f>
        <v>282</v>
      </c>
      <c r="R19" s="4">
        <f>R18/R15</f>
        <v>160.2662276575729</v>
      </c>
      <c r="S19" s="4" t="e">
        <f>S18/S15</f>
        <v>#DIV/0!</v>
      </c>
      <c r="T19" s="4" t="e">
        <f>T18/T15</f>
        <v>#DIV/0!</v>
      </c>
      <c r="U19" s="4" t="e">
        <f>U18/U15</f>
        <v>#DIV/0!</v>
      </c>
      <c r="V19" s="4" t="e">
        <f>V18/V15</f>
        <v>#DIV/0!</v>
      </c>
      <c r="W19" s="4" t="e">
        <f>W18/W15</f>
        <v>#DIV/0!</v>
      </c>
      <c r="X19" s="4" t="e">
        <f>X18/X15</f>
        <v>#DIV/0!</v>
      </c>
      <c r="Y19" s="4">
        <f t="shared" ref="Y19:AA19" si="0">Y18/Y15</f>
        <v>125</v>
      </c>
      <c r="Z19" s="4">
        <f t="shared" si="0"/>
        <v>68.571428571428569</v>
      </c>
      <c r="AA19" s="4">
        <f t="shared" si="0"/>
        <v>139.49821428571428</v>
      </c>
      <c r="AB19"/>
    </row>
    <row r="20" spans="2:39" x14ac:dyDescent="0.3">
      <c r="B20" s="13" t="s">
        <v>59</v>
      </c>
      <c r="C20" s="1" t="s">
        <v>60</v>
      </c>
      <c r="E20" s="4">
        <f>E16+E17</f>
        <v>16143410.41</v>
      </c>
      <c r="F20" s="4">
        <f>F16+F17</f>
        <v>16424354.773303866</v>
      </c>
      <c r="G20" s="4">
        <f>G16+G17</f>
        <v>17194580.519999996</v>
      </c>
      <c r="H20" s="4">
        <f>H16+H17</f>
        <v>5380000</v>
      </c>
      <c r="I20" s="4">
        <f>I16+I17</f>
        <v>4944701.1899999995</v>
      </c>
      <c r="J20" s="4">
        <f>J16+J17</f>
        <v>5171549.3950099992</v>
      </c>
      <c r="K20" s="4">
        <f>K16+K17</f>
        <v>1083323</v>
      </c>
      <c r="L20" s="4">
        <f>L16+L17</f>
        <v>1033991</v>
      </c>
      <c r="M20" s="4">
        <f>M16+M17</f>
        <v>1295000</v>
      </c>
      <c r="N20" s="4">
        <f>N16+N17</f>
        <v>2130000</v>
      </c>
      <c r="O20" s="4">
        <f>O16+O17</f>
        <v>2255000</v>
      </c>
      <c r="P20" s="4">
        <f>P16+P17</f>
        <v>2789000</v>
      </c>
      <c r="Q20" s="4">
        <f>Q16+Q17</f>
        <v>3310000</v>
      </c>
      <c r="R20" s="4">
        <f>R16+R17</f>
        <v>3645000</v>
      </c>
      <c r="S20" s="4">
        <f>S16+S17</f>
        <v>606919.71000000008</v>
      </c>
      <c r="T20" s="4">
        <f>T16+T17</f>
        <v>591633.14</v>
      </c>
      <c r="U20" s="4">
        <f>U16+U17</f>
        <v>559129.5</v>
      </c>
      <c r="V20" s="4">
        <f>V16+V17</f>
        <v>4330000</v>
      </c>
      <c r="W20" s="4">
        <f>W16+W17</f>
        <v>3838000</v>
      </c>
      <c r="X20" s="4">
        <f>X16+X17</f>
        <v>3707000</v>
      </c>
      <c r="Y20" s="4">
        <f t="shared" ref="Y20:AA20" si="1">Y16+Y17</f>
        <v>1669750</v>
      </c>
      <c r="Z20" s="4">
        <f t="shared" si="1"/>
        <v>1702400</v>
      </c>
      <c r="AA20" s="4">
        <f t="shared" si="1"/>
        <v>1504770</v>
      </c>
      <c r="AB20"/>
    </row>
    <row r="21" spans="2:39" x14ac:dyDescent="0.3">
      <c r="B21" s="13" t="s">
        <v>61</v>
      </c>
      <c r="C21" s="1" t="s">
        <v>62</v>
      </c>
      <c r="E21" s="4">
        <v>7475455.4000000004</v>
      </c>
      <c r="F21" s="4">
        <v>7701194.860496751</v>
      </c>
      <c r="G21" s="4">
        <v>7400417.0819450617</v>
      </c>
      <c r="H21" s="4">
        <v>2837001.86</v>
      </c>
      <c r="I21" s="4">
        <v>290232.09999999998</v>
      </c>
      <c r="J21" s="4"/>
      <c r="K21" s="4">
        <v>619825</v>
      </c>
      <c r="L21" s="4">
        <v>641873</v>
      </c>
      <c r="M21" s="4">
        <v>624465</v>
      </c>
      <c r="N21" s="4">
        <v>1550000</v>
      </c>
      <c r="O21" s="4">
        <v>1335000</v>
      </c>
      <c r="P21" s="4">
        <v>1281000</v>
      </c>
      <c r="Q21" s="4">
        <v>1071524</v>
      </c>
      <c r="R21" s="4">
        <v>2408391</v>
      </c>
      <c r="S21" s="4">
        <v>73753.03</v>
      </c>
      <c r="T21" s="4">
        <v>133697.35999999999</v>
      </c>
      <c r="U21" s="4">
        <v>124891.9</v>
      </c>
      <c r="V21" s="4">
        <v>1504000</v>
      </c>
      <c r="W21" s="4">
        <v>1856000</v>
      </c>
      <c r="X21" s="4">
        <v>2316000</v>
      </c>
      <c r="Y21" s="4">
        <v>777000</v>
      </c>
      <c r="Z21" s="4">
        <v>1000000</v>
      </c>
      <c r="AA21" s="4">
        <v>889506</v>
      </c>
      <c r="AB21"/>
    </row>
    <row r="22" spans="2:39" x14ac:dyDescent="0.3">
      <c r="P22" s="42"/>
      <c r="Y22" s="1"/>
      <c r="AB22"/>
      <c r="AC22" s="43" t="s">
        <v>63</v>
      </c>
      <c r="AD22" s="43"/>
      <c r="AE22" s="43"/>
      <c r="AF22" s="43"/>
      <c r="AH22" s="43" t="s">
        <v>64</v>
      </c>
      <c r="AI22" s="43"/>
      <c r="AJ22" s="43"/>
      <c r="AK22" s="43"/>
    </row>
    <row r="23" spans="2:39" x14ac:dyDescent="0.3">
      <c r="B23" s="15" t="s">
        <v>65</v>
      </c>
      <c r="C23" s="2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/>
      <c r="AC23" s="15" t="s">
        <v>65</v>
      </c>
      <c r="AD23" s="19" t="s">
        <v>66</v>
      </c>
      <c r="AE23" s="19" t="s">
        <v>67</v>
      </c>
      <c r="AF23" s="19" t="s">
        <v>68</v>
      </c>
      <c r="AH23" s="15" t="s">
        <v>65</v>
      </c>
      <c r="AI23" s="19" t="s">
        <v>66</v>
      </c>
      <c r="AJ23" s="19" t="s">
        <v>67</v>
      </c>
      <c r="AK23" s="19" t="s">
        <v>68</v>
      </c>
    </row>
    <row r="24" spans="2:39" ht="23.4" customHeight="1" x14ac:dyDescent="0.3">
      <c r="B24" s="13" t="s">
        <v>69</v>
      </c>
      <c r="C24" s="1" t="s">
        <v>70</v>
      </c>
      <c r="E24" s="10">
        <f>E13/E14</f>
        <v>0.83013130615065656</v>
      </c>
      <c r="F24" s="10">
        <f>F13/F14</f>
        <v>0.85175278051527525</v>
      </c>
      <c r="G24" s="10">
        <f>G13/G14</f>
        <v>0.8256794751640113</v>
      </c>
      <c r="H24" s="10">
        <f>H13/H14</f>
        <v>0.96985815602836878</v>
      </c>
      <c r="I24" s="10">
        <f>I13/I14</f>
        <v>0.93977391304347824</v>
      </c>
      <c r="J24" s="10">
        <f>J13/J14</f>
        <v>0.86770975056689337</v>
      </c>
      <c r="K24" s="10">
        <f>K13/K14</f>
        <v>0.94609583848701273</v>
      </c>
      <c r="L24" s="10">
        <f>L13/L14</f>
        <v>0.93039838784684548</v>
      </c>
      <c r="M24" s="10">
        <f>M13/M14</f>
        <v>0.93740179060844142</v>
      </c>
      <c r="N24" s="10">
        <f>N13/N14</f>
        <v>0.605759682224429</v>
      </c>
      <c r="O24" s="10">
        <f>O13/O14</f>
        <v>0.75262543757292877</v>
      </c>
      <c r="P24" s="10">
        <f>P13/P14</f>
        <v>0.77049180327868849</v>
      </c>
      <c r="Q24" s="10">
        <f>Q13/Q14</f>
        <v>0.80129870129870129</v>
      </c>
      <c r="R24" s="10">
        <f>R13/R14</f>
        <v>0.91203703703703709</v>
      </c>
      <c r="S24" s="10">
        <f>S13/S14</f>
        <v>0.88467358408992658</v>
      </c>
      <c r="T24" s="10">
        <f>T13/T14</f>
        <v>0.95925925925925926</v>
      </c>
      <c r="U24" s="10">
        <f>U13/U14</f>
        <v>1</v>
      </c>
      <c r="V24" s="10">
        <f>V13/V14</f>
        <v>0.78248898678414092</v>
      </c>
      <c r="W24" s="10">
        <f>W13/W14</f>
        <v>0.96269153897401727</v>
      </c>
      <c r="X24" s="10">
        <f>X13/X14</f>
        <v>0.95369774919614148</v>
      </c>
      <c r="Y24" s="10">
        <f t="shared" ref="Y24:AA24" si="2">Y13/Y14</f>
        <v>0.83568777684664197</v>
      </c>
      <c r="Z24" s="10">
        <f t="shared" si="2"/>
        <v>0.93171561253188573</v>
      </c>
      <c r="AA24" s="10">
        <f t="shared" si="2"/>
        <v>0.70012706480304954</v>
      </c>
      <c r="AB24"/>
      <c r="AC24" s="13" t="s">
        <v>69</v>
      </c>
      <c r="AD24" s="10">
        <f>AVERAGE(K24,L24,M24,Y24,Z24)</f>
        <v>0.91625988126416547</v>
      </c>
      <c r="AE24" s="10">
        <f>AVERAGE(S24,T24,U24)</f>
        <v>0.94797761444972861</v>
      </c>
      <c r="AF24" s="10">
        <f>AVERAGE(V24,W24,X24,P24,Q24,R24)</f>
        <v>0.86378430276145446</v>
      </c>
      <c r="AH24" s="13" t="s">
        <v>69</v>
      </c>
      <c r="AI24" s="10">
        <f>AVERAGE(L24)</f>
        <v>0.93039838784684548</v>
      </c>
      <c r="AJ24" s="10">
        <f>AVERAGE(S24)</f>
        <v>0.88467358408992658</v>
      </c>
      <c r="AK24" s="10">
        <f>AVERAGE(X24,Q24)</f>
        <v>0.87749822524742138</v>
      </c>
    </row>
    <row r="25" spans="2:39" ht="23.4" customHeight="1" x14ac:dyDescent="0.3">
      <c r="B25" s="13" t="s">
        <v>71</v>
      </c>
      <c r="C25" s="1" t="s">
        <v>72</v>
      </c>
      <c r="E25" s="11">
        <f>E21/(E17-E18)</f>
        <v>0.5483123079351031</v>
      </c>
      <c r="F25" s="11">
        <f>F21/(F17-F18)</f>
        <v>0.54200597028476927</v>
      </c>
      <c r="G25" s="11">
        <f>G21/(G17-G18)</f>
        <v>0.48170765537303395</v>
      </c>
      <c r="H25" s="11">
        <f>H21/(H17-H18)</f>
        <v>0.59509846973811631</v>
      </c>
      <c r="I25" s="11">
        <f>I21/(I17-I18)</f>
        <v>7.0451538911271178E-2</v>
      </c>
      <c r="J25" s="11">
        <f>J21/(J17-J18)</f>
        <v>0</v>
      </c>
      <c r="K25" s="11">
        <f>K21/(K17-K18)</f>
        <v>0.68467654187870342</v>
      </c>
      <c r="L25" s="11">
        <f>L21/(L17-L18)</f>
        <v>0.74215953343384922</v>
      </c>
      <c r="M25" s="11">
        <f>M21/(M17-M18)</f>
        <v>0.58591748843580815</v>
      </c>
      <c r="N25" s="11">
        <f>N21/(N17-N18)</f>
        <v>0.86350974930362112</v>
      </c>
      <c r="O25" s="11">
        <f>O21/(O17-O18)</f>
        <v>0.68814432989690721</v>
      </c>
      <c r="P25" s="11">
        <f>P21/(P17-P18)</f>
        <v>0.55377352780971978</v>
      </c>
      <c r="Q25" s="11">
        <f>Q21/(Q17-Q18)</f>
        <v>0.4100742441637964</v>
      </c>
      <c r="R25" s="11">
        <f>R21/(R17-R18)</f>
        <v>0.72652692947105779</v>
      </c>
      <c r="S25" s="11">
        <f>S21/(S17-S18)</f>
        <v>0.15188661893908992</v>
      </c>
      <c r="T25" s="11">
        <f>T21/(T17-T18)</f>
        <v>0.27355801490272003</v>
      </c>
      <c r="U25" s="11">
        <f>U21/(U17-U18)</f>
        <v>0.2576387467927414</v>
      </c>
      <c r="V25" s="11">
        <f>V21/(V17-V18)</f>
        <v>0.41341396371632766</v>
      </c>
      <c r="W25" s="11">
        <f>W21/(W17-W18)</f>
        <v>0.58622867972204673</v>
      </c>
      <c r="X25" s="11">
        <f>X21/(X17-X18)</f>
        <v>0.78269685704629943</v>
      </c>
      <c r="Y25" s="11">
        <f t="shared" ref="Y25:AA25" si="3">Y21/(Y17-Y18)</f>
        <v>0.62060702875399365</v>
      </c>
      <c r="Z25" s="11">
        <f t="shared" si="3"/>
        <v>0.73367571533382248</v>
      </c>
      <c r="AA25" s="11">
        <f t="shared" si="3"/>
        <v>0.85195603764097405</v>
      </c>
      <c r="AB25"/>
      <c r="AC25" s="13" t="s">
        <v>71</v>
      </c>
      <c r="AD25" s="11">
        <f>AVERAGE(K25,L25,M25,Y25,Z25)</f>
        <v>0.67340726156723529</v>
      </c>
      <c r="AE25" s="11">
        <f>AVERAGE(S25,T25,U25)</f>
        <v>0.2276944602115171</v>
      </c>
      <c r="AF25" s="11">
        <f>AVERAGE(V25,W25,X25,P25,Q25,R25)</f>
        <v>0.57878570032154131</v>
      </c>
      <c r="AH25" s="13" t="s">
        <v>71</v>
      </c>
      <c r="AI25" s="26">
        <f>AVERAGE(L25)</f>
        <v>0.74215953343384922</v>
      </c>
      <c r="AJ25" s="11">
        <f>AVERAGE(S25)</f>
        <v>0.15188661893908992</v>
      </c>
      <c r="AK25" s="11">
        <f>AVERAGE(X25,Q25)</f>
        <v>0.59638555060504794</v>
      </c>
    </row>
    <row r="26" spans="2:39" ht="23.4" customHeight="1" x14ac:dyDescent="0.3">
      <c r="B26" s="12" t="s">
        <v>73</v>
      </c>
      <c r="C26" s="1" t="s">
        <v>74</v>
      </c>
      <c r="E26" s="11">
        <f>E16/E17</f>
        <v>9.0697445901640195E-2</v>
      </c>
      <c r="F26" s="11">
        <f>F16/F17</f>
        <v>9.9836536285722352E-2</v>
      </c>
      <c r="G26" s="11">
        <f>G16/G17</f>
        <v>5.5615114560222008E-2</v>
      </c>
      <c r="H26" s="11">
        <f>H16/H17</f>
        <v>7.1158364193843832E-2</v>
      </c>
      <c r="I26" s="11">
        <f>I16/I17</f>
        <v>0.10900647090889362</v>
      </c>
      <c r="J26" s="11">
        <f>J16/J17</f>
        <v>9.2634860037430863E-2</v>
      </c>
      <c r="K26" s="11">
        <f>K16/K17</f>
        <v>5.7031456580473872E-2</v>
      </c>
      <c r="L26" s="11">
        <f>L16/L17</f>
        <v>5.2712437997344777E-2</v>
      </c>
      <c r="M26" s="11">
        <f>M16/M17</f>
        <v>7.591292665763287E-2</v>
      </c>
      <c r="N26" s="11">
        <f>N16/N17</f>
        <v>2.8985507246376812E-2</v>
      </c>
      <c r="O26" s="11">
        <f>O16/O17</f>
        <v>9.7323600973236016E-2</v>
      </c>
      <c r="P26" s="11">
        <f>P16/P17</f>
        <v>0.11027070063694268</v>
      </c>
      <c r="Q26" s="11">
        <f>Q16/Q17</f>
        <v>0.14335060449050085</v>
      </c>
      <c r="R26" s="11">
        <f>R16/R17</f>
        <v>4.5821019711359136E-2</v>
      </c>
      <c r="S26" s="11">
        <f>S16/S17</f>
        <v>5.1220979756365408E-2</v>
      </c>
      <c r="T26" s="11">
        <f>T16/T17</f>
        <v>0.10339557869017123</v>
      </c>
      <c r="U26" s="11">
        <f>U16/U17</f>
        <v>4.121273524258446E-2</v>
      </c>
      <c r="V26" s="11">
        <f>V16/V17</f>
        <v>9.06801007556675E-2</v>
      </c>
      <c r="W26" s="11">
        <f>W16/W17</f>
        <v>0.10796766743648961</v>
      </c>
      <c r="X26" s="11">
        <f>X16/X17</f>
        <v>0.11522262334536702</v>
      </c>
      <c r="Y26" s="11">
        <f t="shared" ref="Y26:AA26" si="4">Y16/Y17</f>
        <v>4.2290886392009987E-2</v>
      </c>
      <c r="Z26" s="11">
        <f t="shared" si="4"/>
        <v>9.4790996784565915E-2</v>
      </c>
      <c r="AA26" s="11">
        <f t="shared" si="4"/>
        <v>4.8861410637986435E-2</v>
      </c>
      <c r="AB26"/>
      <c r="AC26" s="13" t="s">
        <v>73</v>
      </c>
      <c r="AD26" s="22">
        <f>AVERAGE(K26,L26,M26,Y26,Z26)</f>
        <v>6.4547740882405474E-2</v>
      </c>
      <c r="AE26" s="22">
        <f>AVERAGE(S26,T26,U26)</f>
        <v>6.5276431229707027E-2</v>
      </c>
      <c r="AF26" s="22">
        <f>AVERAGE(V26,W26,X26,P26,Q26,R26)</f>
        <v>0.10221878606272113</v>
      </c>
      <c r="AH26" s="13" t="s">
        <v>73</v>
      </c>
      <c r="AI26" s="27">
        <f>AVERAGE(L26)</f>
        <v>5.2712437997344777E-2</v>
      </c>
      <c r="AJ26" s="22">
        <f>AVERAGE(S26)</f>
        <v>5.1220979756365408E-2</v>
      </c>
      <c r="AK26" s="22">
        <f>AVERAGE(X26,Q26)</f>
        <v>0.12928661391793395</v>
      </c>
    </row>
    <row r="27" spans="2:39" ht="23.4" customHeight="1" x14ac:dyDescent="0.3">
      <c r="B27" s="13" t="s">
        <v>75</v>
      </c>
      <c r="C27" s="1" t="s">
        <v>76</v>
      </c>
      <c r="E27" s="11">
        <f>E18/E17</f>
        <v>7.8874790205697015E-2</v>
      </c>
      <c r="F27" s="11">
        <f>F18/F17</f>
        <v>4.8532699575079823E-2</v>
      </c>
      <c r="G27" s="11">
        <f>G18/G17</f>
        <v>5.6837199314294914E-2</v>
      </c>
      <c r="H27" s="11">
        <f>H18/H17</f>
        <v>5.0833952534543862E-2</v>
      </c>
      <c r="I27" s="11">
        <f>I18/I17</f>
        <v>7.6048897140350791E-2</v>
      </c>
      <c r="J27" s="11">
        <f>J18/J17</f>
        <v>0.10339432493339799</v>
      </c>
      <c r="K27" s="11">
        <f>K18/K17</f>
        <v>0.11668910196678027</v>
      </c>
      <c r="L27" s="11">
        <f>L18/L17</f>
        <v>0.11946863011801885</v>
      </c>
      <c r="M27" s="11">
        <f>M18/M17</f>
        <v>0.11451950725680421</v>
      </c>
      <c r="N27" s="11">
        <f>N18/N17</f>
        <v>0.13285024154589373</v>
      </c>
      <c r="O27" s="11">
        <f>O18/O17</f>
        <v>5.5961070559610707E-2</v>
      </c>
      <c r="P27" s="11">
        <f>P18/P17</f>
        <v>7.9132165605095547E-2</v>
      </c>
      <c r="Q27" s="11">
        <f>Q18/Q17</f>
        <v>9.7409326424870463E-2</v>
      </c>
      <c r="R27" s="11">
        <f>R18/R17</f>
        <v>4.8880440708116951E-2</v>
      </c>
      <c r="S27" s="11">
        <f>S18/S17</f>
        <v>0.1589474524532811</v>
      </c>
      <c r="T27" s="11">
        <f>T18/T17</f>
        <v>8.8509524758186936E-2</v>
      </c>
      <c r="U27" s="11">
        <f>U18/U17</f>
        <v>9.7286038114867149E-2</v>
      </c>
      <c r="V27" s="11">
        <f>V18/V17</f>
        <v>8.3627204030226707E-2</v>
      </c>
      <c r="W27" s="11">
        <f>W18/W17</f>
        <v>8.6027713625866045E-2</v>
      </c>
      <c r="X27" s="11">
        <f>X18/X17</f>
        <v>0.10980746089049338</v>
      </c>
      <c r="Y27" s="11">
        <f t="shared" ref="Y27:AA27" si="5">Y18/Y17</f>
        <v>0.2184769038701623</v>
      </c>
      <c r="Z27" s="11">
        <f t="shared" si="5"/>
        <v>0.12347266881028938</v>
      </c>
      <c r="AA27" s="11">
        <f t="shared" si="5"/>
        <v>0.2722542466211742</v>
      </c>
      <c r="AB27"/>
      <c r="AC27" s="13" t="s">
        <v>75</v>
      </c>
      <c r="AD27" s="11">
        <f>AVERAGE(K27,L27,M27,Y27,Z27)</f>
        <v>0.13852536240441099</v>
      </c>
      <c r="AE27" s="11">
        <f>AVERAGE(S27,T27,U27)</f>
        <v>0.11491433844211173</v>
      </c>
      <c r="AF27" s="11">
        <f>AVERAGE(V27,W27,X27,P27,Q27,R27)</f>
        <v>8.4147385214111511E-2</v>
      </c>
      <c r="AH27" s="13" t="s">
        <v>75</v>
      </c>
      <c r="AI27" s="26">
        <f>AVERAGE(L27)</f>
        <v>0.11946863011801885</v>
      </c>
      <c r="AJ27" s="11">
        <f>AVERAGE(S27)</f>
        <v>0.1589474524532811</v>
      </c>
      <c r="AK27" s="11">
        <f>AVERAGE(X27,Q27)</f>
        <v>0.10360839365768193</v>
      </c>
    </row>
    <row r="28" spans="2:39" x14ac:dyDescent="0.3">
      <c r="B28" s="16" t="s">
        <v>49</v>
      </c>
      <c r="C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/>
      <c r="AC28" s="20" t="s">
        <v>49</v>
      </c>
      <c r="AD28" s="16"/>
      <c r="AE28" s="16"/>
      <c r="AF28" s="16"/>
      <c r="AH28" s="20" t="s">
        <v>49</v>
      </c>
      <c r="AI28" s="25"/>
      <c r="AJ28" s="25"/>
      <c r="AK28" s="25"/>
    </row>
    <row r="29" spans="2:39" ht="23.4" customHeight="1" x14ac:dyDescent="0.3">
      <c r="B29" s="13" t="s">
        <v>77</v>
      </c>
      <c r="C29" s="1" t="s">
        <v>78</v>
      </c>
      <c r="E29" s="6">
        <f>E20/E13</f>
        <v>2687.880521145521</v>
      </c>
      <c r="F29" s="6">
        <f>F20/F13</f>
        <v>2714.7693840171678</v>
      </c>
      <c r="G29" s="6">
        <f>G20/G13</f>
        <v>3252.8529171396135</v>
      </c>
      <c r="H29" s="6">
        <f>H20/H13</f>
        <v>2458.8665447897624</v>
      </c>
      <c r="I29" s="6">
        <f>I20/I13</f>
        <v>2287.6460527046279</v>
      </c>
      <c r="J29" s="6">
        <f>J20/J13</f>
        <v>2702.9474703444307</v>
      </c>
      <c r="K29" s="6">
        <f>K20/K13</f>
        <v>2284.334935897436</v>
      </c>
      <c r="L29" s="6">
        <f>L20/L13</f>
        <v>2153.4301066311227</v>
      </c>
      <c r="M29" s="6">
        <f>M20/M13</f>
        <v>2524.1696553874945</v>
      </c>
      <c r="N29" s="6">
        <f>N20/N13</f>
        <v>3491.8032786885246</v>
      </c>
      <c r="O29" s="6">
        <f>O20/O13</f>
        <v>3496.1240310077519</v>
      </c>
      <c r="P29" s="6">
        <f>P20/P13</f>
        <v>2825.7345491388046</v>
      </c>
      <c r="Q29" s="6">
        <f>Q20/Q13</f>
        <v>2682.3338735818475</v>
      </c>
      <c r="R29" s="6">
        <f>R20/R13</f>
        <v>2643.2197244379986</v>
      </c>
      <c r="S29" s="6">
        <f>S20/S13</f>
        <v>2471.6746487477094</v>
      </c>
      <c r="T29" s="6">
        <f>T20/T13</f>
        <v>2284.297837837838</v>
      </c>
      <c r="U29" s="6">
        <f>U20/U13</f>
        <v>2293.3001107419714</v>
      </c>
      <c r="V29" s="6">
        <f>V20/V13</f>
        <v>3047.1498944405348</v>
      </c>
      <c r="W29" s="6">
        <f>W20/W13</f>
        <v>2656.0553633217992</v>
      </c>
      <c r="X29" s="6">
        <f>X20/X13</f>
        <v>2499.662845583277</v>
      </c>
      <c r="Y29" s="6">
        <f t="shared" ref="Y29:AA29" si="6">Y20/Y13</f>
        <v>2990.0257861184728</v>
      </c>
      <c r="Z29" s="6">
        <f t="shared" si="6"/>
        <v>2987.7149877149877</v>
      </c>
      <c r="AA29" s="6">
        <f t="shared" si="6"/>
        <v>3413.7250453720508</v>
      </c>
      <c r="AB29"/>
      <c r="AC29" s="13" t="s">
        <v>77</v>
      </c>
      <c r="AD29" s="6">
        <f>AVERAGE(K29,L29,M29,Y29,Z29)</f>
        <v>2587.935094349903</v>
      </c>
      <c r="AE29" s="6">
        <f>AVERAGE(S29,T29,U29)</f>
        <v>2349.7575324425065</v>
      </c>
      <c r="AF29" s="6">
        <f>AVERAGE(V29,W29,X29,P29,Q29,R29)</f>
        <v>2725.6927084173772</v>
      </c>
      <c r="AH29" s="13" t="s">
        <v>77</v>
      </c>
      <c r="AI29" s="6">
        <f>AVERAGE(L29)</f>
        <v>2153.4301066311227</v>
      </c>
      <c r="AJ29" s="6">
        <f>AVERAGE(S29)</f>
        <v>2471.6746487477094</v>
      </c>
      <c r="AK29" s="6">
        <f>AVERAGE(X29,Q29)</f>
        <v>2590.9983595825624</v>
      </c>
    </row>
    <row r="30" spans="2:39" ht="23.4" customHeight="1" x14ac:dyDescent="0.3">
      <c r="B30" s="13" t="s">
        <v>79</v>
      </c>
      <c r="C30" s="1" t="s">
        <v>80</v>
      </c>
      <c r="E30" s="6">
        <f>(E20-E18)/E13</f>
        <v>2493.5039660339662</v>
      </c>
      <c r="F30" s="6">
        <f>(F20-F18)/F13</f>
        <v>2594.9742302981599</v>
      </c>
      <c r="G30" s="6">
        <f>(G20-G18)/G13</f>
        <v>3077.7104366640719</v>
      </c>
      <c r="H30" s="6">
        <f>(H20-H18)/H13</f>
        <v>2342.1761380255939</v>
      </c>
      <c r="I30" s="6">
        <f>(I20-I18)/I13</f>
        <v>2130.7732445477172</v>
      </c>
      <c r="J30" s="6">
        <f>(J20-J18)/J13</f>
        <v>2447.1717860347389</v>
      </c>
      <c r="K30" s="6">
        <f>(K20-K18)/K13</f>
        <v>2032.1598557692307</v>
      </c>
      <c r="L30" s="6">
        <f>(L20-L18)/L13</f>
        <v>1909.0449016994335</v>
      </c>
      <c r="M30" s="6">
        <f>(M20-M18)/M13</f>
        <v>2255.4985966006552</v>
      </c>
      <c r="N30" s="6">
        <f>(N20-N18)/N13</f>
        <v>3040.9836065573772</v>
      </c>
      <c r="O30" s="6">
        <f>(O20-O18)/O13</f>
        <v>3317.8294573643411</v>
      </c>
      <c r="P30" s="6">
        <f>(P20-P18)/P13</f>
        <v>2624.3363728470113</v>
      </c>
      <c r="Q30" s="6">
        <f>(Q20-Q18)/Q13</f>
        <v>2453.8087520259319</v>
      </c>
      <c r="R30" s="6">
        <f>(R20-R18)/R13</f>
        <v>2519.6787527193619</v>
      </c>
      <c r="S30" s="6">
        <f>(S20-S18)/S13</f>
        <v>2097.9507635919367</v>
      </c>
      <c r="T30" s="6">
        <f>(T20-T18)/T13</f>
        <v>2101.0615444015448</v>
      </c>
      <c r="U30" s="6">
        <f>(U20-U18)/U13</f>
        <v>2079.0248964357493</v>
      </c>
      <c r="V30" s="6">
        <f>(V20-V18)/V13</f>
        <v>2813.5116115411683</v>
      </c>
      <c r="W30" s="6">
        <f>(W20-W18)/W13</f>
        <v>2449.8269896193769</v>
      </c>
      <c r="X30" s="6">
        <f>(X20-X18)/X13</f>
        <v>2253.5401213755899</v>
      </c>
      <c r="Y30" s="6">
        <f t="shared" ref="Y30:AA30" si="7">(Y20-Y18)/Y13</f>
        <v>2363.2798510135376</v>
      </c>
      <c r="Z30" s="6">
        <f t="shared" si="7"/>
        <v>2650.7546507546508</v>
      </c>
      <c r="AA30" s="6">
        <f t="shared" si="7"/>
        <v>2527.6202359346644</v>
      </c>
      <c r="AB30"/>
      <c r="AC30" s="13" t="s">
        <v>79</v>
      </c>
      <c r="AD30" s="6">
        <f>AVERAGE(K30,L30,M30,Y30,Z30)</f>
        <v>2242.1475711675016</v>
      </c>
      <c r="AE30" s="6">
        <f>AVERAGE(S30,T30,U30)</f>
        <v>2092.6790681430771</v>
      </c>
      <c r="AF30" s="6">
        <f>AVERAGE(V30,W30,X30,P30,Q30,R30)</f>
        <v>2519.1171000214072</v>
      </c>
      <c r="AH30" s="13" t="s">
        <v>79</v>
      </c>
      <c r="AI30" s="6">
        <f>AVERAGE(L30)</f>
        <v>1909.0449016994335</v>
      </c>
      <c r="AJ30" s="6">
        <f>AVERAGE(S30)</f>
        <v>2097.9507635919367</v>
      </c>
      <c r="AK30" s="6">
        <f>AVERAGE(X30,Q30)</f>
        <v>2353.6744367007609</v>
      </c>
    </row>
    <row r="31" spans="2:39" ht="23.4" customHeight="1" x14ac:dyDescent="0.3">
      <c r="B31" s="12" t="s">
        <v>81</v>
      </c>
      <c r="C31" s="1" t="s">
        <v>82</v>
      </c>
      <c r="E31" s="6">
        <f>(E17-E18)/E13</f>
        <v>2269.9920296370296</v>
      </c>
      <c r="F31" s="6">
        <f>(F17-F18)/F13</f>
        <v>2348.5438170750194</v>
      </c>
      <c r="G31" s="6">
        <f>(G17-G18)/G13</f>
        <v>2906.333781348143</v>
      </c>
      <c r="H31" s="6">
        <f>(H17-H18)/H13</f>
        <v>2178.8306170018282</v>
      </c>
      <c r="I31" s="6">
        <f>(I17-I18)/I13</f>
        <v>1905.9159245632623</v>
      </c>
      <c r="J31" s="6">
        <f>(J17-J18)/J13</f>
        <v>2218.0127414520807</v>
      </c>
      <c r="K31" s="6">
        <f>(K17-K18)/K13</f>
        <v>1908.9100244601889</v>
      </c>
      <c r="L31" s="6">
        <f>(L17-L18)/L13</f>
        <v>1801.2162612462512</v>
      </c>
      <c r="M31" s="6">
        <f>(M17-M18)/M13</f>
        <v>2077.4013722126933</v>
      </c>
      <c r="N31" s="6">
        <f>(N17-N18)/N13</f>
        <v>2942.622950819672</v>
      </c>
      <c r="O31" s="6">
        <f>(O17-O18)/O13</f>
        <v>3007.7519379844962</v>
      </c>
      <c r="P31" s="6">
        <f>(P17-P18)/P13</f>
        <v>2343.6879432624114</v>
      </c>
      <c r="Q31" s="6">
        <f>(Q17-Q18)/Q13</f>
        <v>2117.5040518638575</v>
      </c>
      <c r="R31" s="6">
        <f>(R17-R18)/R13</f>
        <v>2403.8701957940539</v>
      </c>
      <c r="S31" s="6">
        <f>(S17-S18)/S13</f>
        <v>1977.5178578700875</v>
      </c>
      <c r="T31" s="6">
        <f>(T17-T18)/T13</f>
        <v>1887.0074903474904</v>
      </c>
      <c r="U31" s="6">
        <f>(U17-U18)/U13</f>
        <v>1988.2526967720764</v>
      </c>
      <c r="V31" s="6">
        <f>(V17-V18)/V13</f>
        <v>2560.1688951442648</v>
      </c>
      <c r="W31" s="6">
        <f>(W17-W18)/W13</f>
        <v>2191.0034602076125</v>
      </c>
      <c r="X31" s="6">
        <f>(X17-X18)/X13</f>
        <v>1995.2798381658799</v>
      </c>
      <c r="Y31" s="6">
        <f t="shared" ref="Y31:AA31" si="8">(Y17-Y18)/Y13</f>
        <v>2241.9597450039391</v>
      </c>
      <c r="Z31" s="6">
        <f t="shared" si="8"/>
        <v>2392.0673920673921</v>
      </c>
      <c r="AA31" s="6">
        <f t="shared" si="8"/>
        <v>2368.5911978221416</v>
      </c>
      <c r="AB31"/>
      <c r="AC31" s="13" t="s">
        <v>81</v>
      </c>
      <c r="AD31" s="21">
        <f>AVERAGE(K31,L31,M31,Y31,Z31)</f>
        <v>2084.3109589980932</v>
      </c>
      <c r="AE31" s="21">
        <f>AVERAGE(S31,T31,U31)</f>
        <v>1950.9260149965514</v>
      </c>
      <c r="AF31" s="21">
        <f>AVERAGE(V31,W31,X31,P31,Q31,R31)</f>
        <v>2268.58573073968</v>
      </c>
      <c r="AH31" s="13" t="s">
        <v>81</v>
      </c>
      <c r="AI31" s="21">
        <f>AVERAGE(L31)</f>
        <v>1801.2162612462512</v>
      </c>
      <c r="AJ31" s="21">
        <f>AVERAGE(S31)</f>
        <v>1977.5178578700875</v>
      </c>
      <c r="AK31" s="21">
        <f>AVERAGE(X31,Q31)</f>
        <v>2056.3919450148687</v>
      </c>
      <c r="AM31" s="28"/>
    </row>
    <row r="32" spans="2:39" ht="23.4" customHeight="1" x14ac:dyDescent="0.3">
      <c r="B32" s="13" t="s">
        <v>83</v>
      </c>
      <c r="C32" s="1" t="s">
        <v>84</v>
      </c>
      <c r="E32" s="6">
        <f>E21/E13</f>
        <v>1244.6645687645689</v>
      </c>
      <c r="F32" s="6">
        <f>F21/F13</f>
        <v>1272.9247703300414</v>
      </c>
      <c r="G32" s="6">
        <f>G21/G13</f>
        <v>1400.0032315446579</v>
      </c>
      <c r="H32" s="6">
        <f>H21/H13</f>
        <v>1296.6187659963437</v>
      </c>
      <c r="I32" s="6">
        <f>I21/I13</f>
        <v>134.27470992098006</v>
      </c>
      <c r="J32" s="6">
        <f>J21/J13</f>
        <v>0</v>
      </c>
      <c r="K32" s="6">
        <f>K21/K13</f>
        <v>1306.9859143049932</v>
      </c>
      <c r="L32" s="6">
        <f>L21/L13</f>
        <v>1336.78982005998</v>
      </c>
      <c r="M32" s="6">
        <f>M21/M13</f>
        <v>1217.1857944799626</v>
      </c>
      <c r="N32" s="6">
        <f>N21/N13</f>
        <v>2540.9836065573772</v>
      </c>
      <c r="O32" s="6">
        <f>O21/O13</f>
        <v>2069.7674418604652</v>
      </c>
      <c r="P32" s="6">
        <f>P21/P13</f>
        <v>1297.872340425532</v>
      </c>
      <c r="Q32" s="6">
        <f>Q21/Q13</f>
        <v>868.33387358184768</v>
      </c>
      <c r="R32" s="6">
        <f>R21/R13</f>
        <v>1746.4764321972443</v>
      </c>
      <c r="S32" s="6">
        <f>S21/S13</f>
        <v>300.35850132355932</v>
      </c>
      <c r="T32" s="6">
        <f>T21/T13</f>
        <v>516.2060231660231</v>
      </c>
      <c r="U32" s="6">
        <f>U21/U13</f>
        <v>512.25093310364628</v>
      </c>
      <c r="V32" s="6">
        <f>V21/V13</f>
        <v>1058.4095707248416</v>
      </c>
      <c r="W32" s="6">
        <f>W21/W13</f>
        <v>1284.4290657439446</v>
      </c>
      <c r="X32" s="6">
        <f>X21/X13</f>
        <v>1561.6992582602832</v>
      </c>
      <c r="Y32" s="6">
        <f t="shared" ref="Y32:AA32" si="9">Y21/Y13</f>
        <v>1391.375975932956</v>
      </c>
      <c r="Z32" s="6">
        <f t="shared" si="9"/>
        <v>1755.0017550017551</v>
      </c>
      <c r="AA32" s="6">
        <f t="shared" si="9"/>
        <v>2017.9355716878401</v>
      </c>
      <c r="AB32"/>
      <c r="AC32" s="13" t="s">
        <v>83</v>
      </c>
      <c r="AD32" s="6">
        <f>AVERAGE(K32,L32,M32,Y32,Z32)</f>
        <v>1401.4678519559293</v>
      </c>
      <c r="AE32" s="6">
        <f>AVERAGE(S32,T32,U32)</f>
        <v>442.93848586440959</v>
      </c>
      <c r="AF32" s="6">
        <f>AVERAGE(V32,W32,X32,P32,Q32,R32)</f>
        <v>1302.8700901556156</v>
      </c>
      <c r="AG32" s="17"/>
      <c r="AH32" s="13" t="s">
        <v>83</v>
      </c>
      <c r="AI32" s="6">
        <f>AVERAGE(L32)</f>
        <v>1336.78982005998</v>
      </c>
      <c r="AJ32" s="6">
        <f>AVERAGE(S32)</f>
        <v>300.35850132355932</v>
      </c>
      <c r="AK32" s="6">
        <f>AVERAGE(X32,Q32)</f>
        <v>1215.0165659210654</v>
      </c>
    </row>
    <row r="33" spans="2:39" x14ac:dyDescent="0.3">
      <c r="B33" s="16" t="s">
        <v>100</v>
      </c>
      <c r="C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/>
      <c r="AC33" s="16" t="s">
        <v>85</v>
      </c>
      <c r="AD33" s="16"/>
      <c r="AE33" s="16"/>
      <c r="AF33" s="16"/>
      <c r="AH33" s="16" t="s">
        <v>85</v>
      </c>
      <c r="AI33" s="25"/>
      <c r="AJ33" s="25"/>
      <c r="AK33" s="25"/>
    </row>
    <row r="34" spans="2:39" ht="23.4" customHeight="1" x14ac:dyDescent="0.3">
      <c r="B34" s="13" t="s">
        <v>101</v>
      </c>
      <c r="C34" s="1" t="s">
        <v>87</v>
      </c>
      <c r="E34" s="6">
        <f>E20/E14</f>
        <v>2231.2937677954387</v>
      </c>
      <c r="F34" s="6">
        <f>F20/F14</f>
        <v>2312.3123712943639</v>
      </c>
      <c r="G34" s="6">
        <f>G20/G14</f>
        <v>2685.8138894095587</v>
      </c>
      <c r="H34" s="6">
        <f>H20/H14</f>
        <v>2384.7517730496452</v>
      </c>
      <c r="I34" s="6">
        <f>I20/I14</f>
        <v>2149.8700826086956</v>
      </c>
      <c r="J34" s="6">
        <f>J20/J14</f>
        <v>2345.3738752879813</v>
      </c>
      <c r="K34" s="6">
        <f>K20/K14</f>
        <v>2161.1997765630613</v>
      </c>
      <c r="L34" s="6">
        <f>L20/L14</f>
        <v>2003.547899550457</v>
      </c>
      <c r="M34" s="6">
        <f>M20/M14</f>
        <v>2366.1611547597299</v>
      </c>
      <c r="N34" s="6">
        <f>N20/N14</f>
        <v>2115.19364448858</v>
      </c>
      <c r="O34" s="6">
        <f>O20/O14</f>
        <v>2631.2718786464411</v>
      </c>
      <c r="P34" s="6">
        <f>P20/P14</f>
        <v>2177.2053083528494</v>
      </c>
      <c r="Q34" s="6">
        <f>Q20/Q14</f>
        <v>2149.3506493506493</v>
      </c>
      <c r="R34" s="6">
        <f>R20/R14</f>
        <v>2410.7142857142858</v>
      </c>
      <c r="S34" s="6">
        <f>S20/S14</f>
        <v>2186.6252702118463</v>
      </c>
      <c r="T34" s="6">
        <f>T20/T14</f>
        <v>2191.2338518518518</v>
      </c>
      <c r="U34" s="6">
        <f>U20/U14</f>
        <v>2293.3001107419714</v>
      </c>
      <c r="V34" s="6">
        <f>V20/V14</f>
        <v>2384.361233480176</v>
      </c>
      <c r="W34" s="6">
        <f>W20/W14</f>
        <v>2556.9620253164558</v>
      </c>
      <c r="X34" s="6">
        <f>X20/X14</f>
        <v>2383.9228295819935</v>
      </c>
      <c r="Y34" s="6">
        <f t="shared" ref="Y34:AA34" si="10">Y20/Y14</f>
        <v>2498.7280019154796</v>
      </c>
      <c r="Z34" s="6">
        <f t="shared" si="10"/>
        <v>2783.7006998495654</v>
      </c>
      <c r="AA34" s="6">
        <f t="shared" si="10"/>
        <v>2390.041296060991</v>
      </c>
      <c r="AB34"/>
      <c r="AC34" s="13" t="s">
        <v>86</v>
      </c>
      <c r="AD34" s="6">
        <f>AVERAGE(K34,L34,M34,Y34,Z34)</f>
        <v>2362.6675065276586</v>
      </c>
      <c r="AE34" s="6">
        <f>AVERAGE(S34,T34,U34)</f>
        <v>2223.7197442685565</v>
      </c>
      <c r="AF34" s="6">
        <f>AVERAGE(V34,W34,X34,P34,Q34,R34)</f>
        <v>2343.7527219660683</v>
      </c>
      <c r="AH34" s="13" t="s">
        <v>86</v>
      </c>
      <c r="AI34" s="6">
        <f>AVERAGE(L34)</f>
        <v>2003.547899550457</v>
      </c>
      <c r="AJ34" s="6">
        <f>AVERAGE(S34)</f>
        <v>2186.6252702118463</v>
      </c>
      <c r="AK34" s="6">
        <f>AVERAGE(X34,Q34)</f>
        <v>2266.6367394663212</v>
      </c>
    </row>
    <row r="35" spans="2:39" ht="23.4" customHeight="1" x14ac:dyDescent="0.3">
      <c r="B35" s="13" t="s">
        <v>102</v>
      </c>
      <c r="C35" s="1" t="s">
        <v>89</v>
      </c>
      <c r="E35" s="6">
        <f>(E20-E18)/E14</f>
        <v>2069.9357042156184</v>
      </c>
      <c r="F35" s="6">
        <f>(F20-F18)/F14</f>
        <v>2210.2765160219437</v>
      </c>
      <c r="G35" s="6">
        <f>(G20-G18)/G14</f>
        <v>2541.2023380515907</v>
      </c>
      <c r="H35" s="6">
        <f>(H20-H18)/H14</f>
        <v>2271.5786303191489</v>
      </c>
      <c r="I35" s="6">
        <f>(I20-I18)/I14</f>
        <v>2002.4451098369564</v>
      </c>
      <c r="J35" s="6">
        <f>(J20-J18)/J14</f>
        <v>2123.4348200545423</v>
      </c>
      <c r="K35" s="6">
        <f>(K20-K18)/K14</f>
        <v>1922.6179826836371</v>
      </c>
      <c r="L35" s="6">
        <f>(L20-L18)/L14</f>
        <v>1776.1722988683923</v>
      </c>
      <c r="M35" s="6">
        <f>(M20-M18)/M14</f>
        <v>2114.308423168281</v>
      </c>
      <c r="N35" s="6">
        <f>(N20-N18)/N14</f>
        <v>1842.1052631578948</v>
      </c>
      <c r="O35" s="6">
        <f>(O20-O18)/O14</f>
        <v>2497.0828471411901</v>
      </c>
      <c r="P35" s="6">
        <f>(P20-P18)/P14</f>
        <v>2022.0296643247464</v>
      </c>
      <c r="Q35" s="6">
        <f>(Q20-Q18)/Q14</f>
        <v>1966.2337662337663</v>
      </c>
      <c r="R35" s="6">
        <f>(R20-R18)/R14</f>
        <v>2298.0403439153438</v>
      </c>
      <c r="S35" s="6">
        <f>(S20-S18)/S14</f>
        <v>1856.0016212710766</v>
      </c>
      <c r="T35" s="6">
        <f>(T20-T18)/T14</f>
        <v>2015.4627407407409</v>
      </c>
      <c r="U35" s="6">
        <f>(U20-U18)/U14</f>
        <v>2079.0248964357493</v>
      </c>
      <c r="V35" s="6">
        <f>(V20-V18)/V14</f>
        <v>2201.5418502202642</v>
      </c>
      <c r="W35" s="6">
        <f>(W20-W18)/W14</f>
        <v>2358.4277148567621</v>
      </c>
      <c r="X35" s="6">
        <f>(X20-X18)/X14</f>
        <v>2149.1961414790999</v>
      </c>
      <c r="Y35" s="6">
        <f t="shared" ref="Y35:AA35" si="11">(Y20-Y18)/Y14</f>
        <v>1974.9640847599665</v>
      </c>
      <c r="Z35" s="6">
        <f t="shared" si="11"/>
        <v>2469.7494930996145</v>
      </c>
      <c r="AA35" s="6">
        <f t="shared" si="11"/>
        <v>1769.655336721728</v>
      </c>
      <c r="AB35"/>
      <c r="AC35" s="13" t="s">
        <v>88</v>
      </c>
      <c r="AD35" s="6">
        <f>AVERAGE(K35,L35,M35,Y35,Z35)</f>
        <v>2051.5624565159787</v>
      </c>
      <c r="AE35" s="6">
        <f>AVERAGE(S35,T35,U35)</f>
        <v>1983.4964194825225</v>
      </c>
      <c r="AF35" s="6">
        <f>AVERAGE(V35,W35,X35,P35,Q35,R35)</f>
        <v>2165.9115801716639</v>
      </c>
      <c r="AH35" s="13" t="s">
        <v>88</v>
      </c>
      <c r="AI35" s="6">
        <f>AVERAGE(L35)</f>
        <v>1776.1722988683923</v>
      </c>
      <c r="AJ35" s="6">
        <f>AVERAGE(S35)</f>
        <v>1856.0016212710766</v>
      </c>
      <c r="AK35" s="6">
        <f>AVERAGE(X35,Q35)</f>
        <v>2057.7149538564331</v>
      </c>
    </row>
    <row r="36" spans="2:39" ht="23.4" customHeight="1" x14ac:dyDescent="0.3">
      <c r="B36" s="12" t="s">
        <v>103</v>
      </c>
      <c r="C36" s="1" t="s">
        <v>91</v>
      </c>
      <c r="E36" s="6">
        <f>(E17-E18)/E14</f>
        <v>1884.3914485141675</v>
      </c>
      <c r="F36" s="6">
        <f>(F17-F18)/F14</f>
        <v>2000.3787263556055</v>
      </c>
      <c r="G36" s="6">
        <f>(G17-G18)/G14</f>
        <v>2399.7001512349711</v>
      </c>
      <c r="H36" s="6">
        <f>(H17-H18)/H14</f>
        <v>2113.156644503546</v>
      </c>
      <c r="I36" s="6">
        <f>(I17-I18)/I14</f>
        <v>1791.1300663586958</v>
      </c>
      <c r="J36" s="6">
        <f>(J17-J18)/J14</f>
        <v>1924.5912826395765</v>
      </c>
      <c r="K36" s="6">
        <f>(K17-K18)/K14</f>
        <v>1806.0118301879265</v>
      </c>
      <c r="L36" s="6">
        <f>(L17-L18)/L14</f>
        <v>1675.8487056270344</v>
      </c>
      <c r="M36" s="6">
        <f>(M17-M18)/M14</f>
        <v>1947.359766124612</v>
      </c>
      <c r="N36" s="6">
        <f>(N17-N18)/N14</f>
        <v>1782.5223435948362</v>
      </c>
      <c r="O36" s="6">
        <f>(O17-O18)/O14</f>
        <v>2263.7106184364061</v>
      </c>
      <c r="P36" s="6">
        <f>(P17-P18)/P14</f>
        <v>1805.7923497267759</v>
      </c>
      <c r="Q36" s="6">
        <f>(Q17-Q18)/Q14</f>
        <v>1696.7532467532467</v>
      </c>
      <c r="R36" s="6">
        <f>(R17-R18)/R14</f>
        <v>2192.4186507936506</v>
      </c>
      <c r="S36" s="6">
        <f>(S17-S18)/S14</f>
        <v>1749.4578109237643</v>
      </c>
      <c r="T36" s="6">
        <f>(T17-T18)/T14</f>
        <v>1810.1294074074074</v>
      </c>
      <c r="U36" s="6">
        <f>(U17-U18)/U14</f>
        <v>1988.2526967720764</v>
      </c>
      <c r="V36" s="6">
        <f>(V17-V18)/V14</f>
        <v>2003.3039647577093</v>
      </c>
      <c r="W36" s="6">
        <f>(W17-W18)/W14</f>
        <v>2109.2604930046637</v>
      </c>
      <c r="X36" s="6">
        <f>(X17-X18)/X14</f>
        <v>1902.8938906752412</v>
      </c>
      <c r="Y36" s="6">
        <f>(Y17-Y18)/Y14</f>
        <v>1873.5783550820065</v>
      </c>
      <c r="Z36" s="6">
        <f t="shared" ref="Z36" si="12">(Z17-Z18)/Z14</f>
        <v>2228.7265354176207</v>
      </c>
      <c r="AA36" s="6">
        <f t="shared" ref="AA36" si="13">(AA17-AA18)/AA14</f>
        <v>1658.3148030495552</v>
      </c>
      <c r="AB36"/>
      <c r="AC36" s="13" t="s">
        <v>90</v>
      </c>
      <c r="AD36" s="21">
        <f>AVERAGE(K36,L36,M36,Y36,Z36)</f>
        <v>1906.30503848784</v>
      </c>
      <c r="AE36" s="21">
        <f>AVERAGE(S36,T36,U36)</f>
        <v>1849.2799717010828</v>
      </c>
      <c r="AF36" s="21">
        <f>AVERAGE(V36,W36,X36,P36,Q36,R36)</f>
        <v>1951.7370992852145</v>
      </c>
      <c r="AH36" s="13" t="s">
        <v>90</v>
      </c>
      <c r="AI36" s="21">
        <f>AVERAGE(L36)</f>
        <v>1675.8487056270344</v>
      </c>
      <c r="AJ36" s="21">
        <f>AVERAGE(S36)</f>
        <v>1749.4578109237643</v>
      </c>
      <c r="AK36" s="21">
        <f>AVERAGE(X36,Q36)</f>
        <v>1799.8235687142439</v>
      </c>
      <c r="AM36" s="28"/>
    </row>
  </sheetData>
  <mergeCells count="39">
    <mergeCell ref="AC22:AF22"/>
    <mergeCell ref="S3:U3"/>
    <mergeCell ref="Y3:AA3"/>
    <mergeCell ref="Y5:AA5"/>
    <mergeCell ref="Y6:AA6"/>
    <mergeCell ref="Y7:AA7"/>
    <mergeCell ref="E3:G3"/>
    <mergeCell ref="H3:J3"/>
    <mergeCell ref="N3:O3"/>
    <mergeCell ref="N6:O6"/>
    <mergeCell ref="N5:O5"/>
    <mergeCell ref="N7:O7"/>
    <mergeCell ref="P3:R3"/>
    <mergeCell ref="P5:R5"/>
    <mergeCell ref="P6:R6"/>
    <mergeCell ref="P7:R7"/>
    <mergeCell ref="K3:M3"/>
    <mergeCell ref="K5:M5"/>
    <mergeCell ref="K6:M6"/>
    <mergeCell ref="K7:M7"/>
    <mergeCell ref="V3:X3"/>
    <mergeCell ref="V5:X5"/>
    <mergeCell ref="V6:X6"/>
    <mergeCell ref="V7:X7"/>
    <mergeCell ref="AH22:AK22"/>
    <mergeCell ref="K4:M4"/>
    <mergeCell ref="V4:X4"/>
    <mergeCell ref="P4:R4"/>
    <mergeCell ref="N4:O4"/>
    <mergeCell ref="S4:U4"/>
    <mergeCell ref="Y4:AA4"/>
    <mergeCell ref="E4:G4"/>
    <mergeCell ref="E5:G5"/>
    <mergeCell ref="E6:G6"/>
    <mergeCell ref="E7:G7"/>
    <mergeCell ref="H4:J4"/>
    <mergeCell ref="H5:J5"/>
    <mergeCell ref="H6:J6"/>
    <mergeCell ref="H7:J7"/>
  </mergeCells>
  <phoneticPr fontId="5" type="noConversion"/>
  <conditionalFormatting sqref="E19:X19">
    <cfRule type="containsErrors" dxfId="1" priority="2">
      <formula>ISERROR(E19)</formula>
    </cfRule>
  </conditionalFormatting>
  <conditionalFormatting sqref="Y19:AA19">
    <cfRule type="containsErrors" dxfId="0" priority="1">
      <formula>ISERROR(Y19)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530A-CA65-40B0-88E4-FA078A11D221}">
  <dimension ref="B2:AG22"/>
  <sheetViews>
    <sheetView zoomScale="85" zoomScaleNormal="85" workbookViewId="0">
      <selection activeCell="L19" sqref="L19"/>
    </sheetView>
  </sheetViews>
  <sheetFormatPr baseColWidth="10" defaultColWidth="11.44140625" defaultRowHeight="14.4" x14ac:dyDescent="0.3"/>
  <cols>
    <col min="2" max="5" width="7.33203125" customWidth="1"/>
    <col min="6" max="6" width="13.44140625" customWidth="1"/>
    <col min="7" max="7" width="25.33203125" customWidth="1"/>
    <col min="8" max="9" width="7.33203125" customWidth="1"/>
    <col min="12" max="18" width="15.88671875" customWidth="1"/>
  </cols>
  <sheetData>
    <row r="2" spans="2:33" s="1" customFormat="1" ht="33.6" x14ac:dyDescent="0.3">
      <c r="B2" s="1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/>
    </row>
    <row r="3" spans="2:33" ht="73.2" customHeight="1" x14ac:dyDescent="0.3">
      <c r="B3" s="30" t="s">
        <v>1</v>
      </c>
      <c r="C3" s="30" t="s">
        <v>8</v>
      </c>
      <c r="D3" s="30" t="s">
        <v>13</v>
      </c>
      <c r="E3" s="30" t="s">
        <v>17</v>
      </c>
      <c r="F3" s="30" t="s">
        <v>20</v>
      </c>
      <c r="G3" s="30" t="s">
        <v>22</v>
      </c>
      <c r="H3" s="30" t="s">
        <v>26</v>
      </c>
      <c r="I3" s="30" t="s">
        <v>30</v>
      </c>
      <c r="K3" s="12" t="s">
        <v>47</v>
      </c>
      <c r="L3" s="13" t="s">
        <v>49</v>
      </c>
      <c r="M3" s="13" t="s">
        <v>51</v>
      </c>
      <c r="N3" s="13" t="s">
        <v>53</v>
      </c>
      <c r="O3" s="13" t="s">
        <v>55</v>
      </c>
      <c r="P3" s="13" t="s">
        <v>57</v>
      </c>
      <c r="Q3" s="13" t="s">
        <v>59</v>
      </c>
      <c r="R3" s="13" t="s">
        <v>61</v>
      </c>
      <c r="T3" s="15" t="s">
        <v>65</v>
      </c>
      <c r="U3" s="13" t="s">
        <v>69</v>
      </c>
      <c r="V3" s="13" t="s">
        <v>71</v>
      </c>
      <c r="W3" s="12" t="s">
        <v>73</v>
      </c>
      <c r="X3" s="13" t="s">
        <v>75</v>
      </c>
      <c r="Y3" s="16" t="s">
        <v>49</v>
      </c>
      <c r="Z3" s="13" t="s">
        <v>77</v>
      </c>
      <c r="AA3" s="13" t="s">
        <v>79</v>
      </c>
      <c r="AB3" s="12" t="s">
        <v>81</v>
      </c>
      <c r="AC3" s="13" t="s">
        <v>83</v>
      </c>
      <c r="AD3" s="16" t="s">
        <v>85</v>
      </c>
      <c r="AE3" s="13" t="s">
        <v>86</v>
      </c>
      <c r="AF3" s="13" t="s">
        <v>88</v>
      </c>
      <c r="AG3" s="12" t="s">
        <v>90</v>
      </c>
    </row>
    <row r="4" spans="2:33" x14ac:dyDescent="0.3">
      <c r="F4" s="1"/>
      <c r="G4" s="1"/>
      <c r="H4" s="1"/>
      <c r="I4" s="13"/>
      <c r="K4" s="1" t="s">
        <v>48</v>
      </c>
      <c r="L4" s="1" t="s">
        <v>50</v>
      </c>
      <c r="M4" s="1" t="s">
        <v>52</v>
      </c>
      <c r="N4" s="1" t="s">
        <v>54</v>
      </c>
      <c r="O4" s="1" t="s">
        <v>56</v>
      </c>
      <c r="P4" s="1" t="s">
        <v>58</v>
      </c>
      <c r="Q4" s="1" t="s">
        <v>60</v>
      </c>
      <c r="R4" s="1" t="s">
        <v>62</v>
      </c>
      <c r="T4" s="2" t="s">
        <v>48</v>
      </c>
      <c r="U4" s="1" t="s">
        <v>70</v>
      </c>
      <c r="V4" s="1" t="s">
        <v>72</v>
      </c>
      <c r="W4" s="1" t="s">
        <v>74</v>
      </c>
      <c r="X4" s="1" t="s">
        <v>76</v>
      </c>
      <c r="Y4" s="16"/>
      <c r="Z4" s="1" t="s">
        <v>78</v>
      </c>
      <c r="AA4" s="1" t="s">
        <v>80</v>
      </c>
      <c r="AB4" s="1" t="s">
        <v>82</v>
      </c>
      <c r="AC4" s="1" t="s">
        <v>84</v>
      </c>
      <c r="AD4" s="16"/>
      <c r="AE4" s="1" t="s">
        <v>87</v>
      </c>
      <c r="AF4" s="1" t="s">
        <v>89</v>
      </c>
      <c r="AG4" s="1" t="s">
        <v>91</v>
      </c>
    </row>
    <row r="5" spans="2:33" ht="28.8" x14ac:dyDescent="0.3">
      <c r="B5" s="32" t="s">
        <v>2</v>
      </c>
      <c r="C5" s="33" t="s">
        <v>92</v>
      </c>
      <c r="D5" s="31" t="s">
        <v>14</v>
      </c>
      <c r="E5" s="31" t="s">
        <v>18</v>
      </c>
      <c r="F5" s="31">
        <v>8</v>
      </c>
      <c r="G5" s="3" t="s">
        <v>23</v>
      </c>
      <c r="H5" s="7" t="s">
        <v>27</v>
      </c>
      <c r="I5" s="14" t="s">
        <v>31</v>
      </c>
      <c r="J5" s="1"/>
      <c r="K5" s="1"/>
      <c r="L5" s="5">
        <v>474.24</v>
      </c>
      <c r="M5" s="5">
        <v>501.26</v>
      </c>
      <c r="N5" s="4">
        <v>58450</v>
      </c>
      <c r="O5" s="4">
        <v>1024873</v>
      </c>
      <c r="P5" s="4">
        <v>119591.51</v>
      </c>
      <c r="Q5" s="4">
        <f t="shared" ref="Q5:Q22" si="0">N5+O5</f>
        <v>1083323</v>
      </c>
      <c r="R5" s="4">
        <v>619825</v>
      </c>
      <c r="S5" s="1"/>
      <c r="T5" s="2"/>
      <c r="U5" s="10">
        <f>L5/M5</f>
        <v>0.94609583848701273</v>
      </c>
      <c r="V5" s="11">
        <f>R5/(O5-P5)</f>
        <v>0.68467654187870342</v>
      </c>
      <c r="W5" s="11">
        <f>N5/O5</f>
        <v>5.7031456580473872E-2</v>
      </c>
      <c r="X5" s="11">
        <f>P5/O5</f>
        <v>0.11668910196678027</v>
      </c>
      <c r="Y5" s="16"/>
      <c r="Z5" s="6">
        <f>Q5/L5</f>
        <v>2284.334935897436</v>
      </c>
      <c r="AA5" s="6">
        <f>(Q5-P5)/L5</f>
        <v>2032.1598557692307</v>
      </c>
      <c r="AB5" s="6">
        <f>(O5-P5)/L5</f>
        <v>1908.9100244601889</v>
      </c>
      <c r="AC5" s="6">
        <f t="shared" ref="AC5:AC22" si="1">R5/L5</f>
        <v>1306.9859143049932</v>
      </c>
      <c r="AD5" s="16"/>
      <c r="AE5" s="6">
        <f>Q5/M5</f>
        <v>2161.1997765630613</v>
      </c>
      <c r="AF5" s="6">
        <f>(Q5-P5)/M5</f>
        <v>1922.6179826836371</v>
      </c>
      <c r="AG5" s="6">
        <f>(O5-P5)/M5</f>
        <v>1806.0118301879265</v>
      </c>
    </row>
    <row r="6" spans="2:33" x14ac:dyDescent="0.3">
      <c r="B6" s="32" t="s">
        <v>2</v>
      </c>
      <c r="C6" s="33" t="s">
        <v>92</v>
      </c>
      <c r="D6" s="31" t="s">
        <v>14</v>
      </c>
      <c r="E6" s="31" t="s">
        <v>18</v>
      </c>
      <c r="F6" s="31">
        <v>8</v>
      </c>
      <c r="G6" s="3" t="s">
        <v>24</v>
      </c>
      <c r="H6" s="7" t="s">
        <v>27</v>
      </c>
      <c r="I6" s="23" t="s">
        <v>32</v>
      </c>
      <c r="J6" s="1"/>
      <c r="K6" s="1"/>
      <c r="L6" s="5">
        <v>480.16</v>
      </c>
      <c r="M6" s="5">
        <v>516.08000000000004</v>
      </c>
      <c r="N6" s="4">
        <v>51775</v>
      </c>
      <c r="O6" s="4">
        <v>982216</v>
      </c>
      <c r="P6" s="4">
        <v>117344</v>
      </c>
      <c r="Q6" s="4">
        <f t="shared" si="0"/>
        <v>1033991</v>
      </c>
      <c r="R6" s="4">
        <v>641873</v>
      </c>
      <c r="S6" s="1"/>
      <c r="T6" s="2"/>
      <c r="U6" s="10">
        <f>L6/M6</f>
        <v>0.93039838784684548</v>
      </c>
      <c r="V6" s="11">
        <f>R6/(O6-P6)</f>
        <v>0.74215953343384922</v>
      </c>
      <c r="W6" s="11">
        <f>N6/O6</f>
        <v>5.2712437997344777E-2</v>
      </c>
      <c r="X6" s="11">
        <f>P6/O6</f>
        <v>0.11946863011801885</v>
      </c>
      <c r="Y6" s="16"/>
      <c r="Z6" s="6">
        <f>Q6/L6</f>
        <v>2153.4301066311227</v>
      </c>
      <c r="AA6" s="6">
        <f>(Q6-P6)/L6</f>
        <v>1909.0449016994335</v>
      </c>
      <c r="AB6" s="6">
        <f>(O6-P6)/L6</f>
        <v>1801.2162612462512</v>
      </c>
      <c r="AC6" s="6">
        <f t="shared" si="1"/>
        <v>1336.78982005998</v>
      </c>
      <c r="AD6" s="16"/>
      <c r="AE6" s="6">
        <f>Q6/M6</f>
        <v>2003.547899550457</v>
      </c>
      <c r="AF6" s="6">
        <f>(Q6-P6)/M6</f>
        <v>1776.1722988683923</v>
      </c>
      <c r="AG6" s="6">
        <f>(O6-P6)/M6</f>
        <v>1675.8487056270344</v>
      </c>
    </row>
    <row r="7" spans="2:33" ht="28.8" x14ac:dyDescent="0.3">
      <c r="B7" s="34" t="s">
        <v>2</v>
      </c>
      <c r="C7" s="35" t="s">
        <v>92</v>
      </c>
      <c r="D7" s="36" t="s">
        <v>14</v>
      </c>
      <c r="E7" s="36" t="s">
        <v>18</v>
      </c>
      <c r="F7" s="36">
        <v>8</v>
      </c>
      <c r="G7" s="3" t="s">
        <v>25</v>
      </c>
      <c r="H7" s="7" t="s">
        <v>27</v>
      </c>
      <c r="I7" s="14" t="s">
        <v>33</v>
      </c>
      <c r="J7" s="1"/>
      <c r="K7" s="1"/>
      <c r="L7" s="5">
        <v>513.04</v>
      </c>
      <c r="M7" s="5">
        <v>547.29999999999995</v>
      </c>
      <c r="N7" s="4">
        <v>91371</v>
      </c>
      <c r="O7" s="4">
        <v>1203629</v>
      </c>
      <c r="P7" s="4">
        <v>137839</v>
      </c>
      <c r="Q7" s="4">
        <f t="shared" si="0"/>
        <v>1295000</v>
      </c>
      <c r="R7" s="4">
        <v>624465</v>
      </c>
      <c r="S7" s="1"/>
      <c r="T7" s="2"/>
      <c r="U7" s="10">
        <f>L7/M7</f>
        <v>0.93740179060844142</v>
      </c>
      <c r="V7" s="11">
        <f>R7/(O7-P7)</f>
        <v>0.58591748843580815</v>
      </c>
      <c r="W7" s="11">
        <f>N7/O7</f>
        <v>7.591292665763287E-2</v>
      </c>
      <c r="X7" s="11">
        <f>P7/O7</f>
        <v>0.11451950725680421</v>
      </c>
      <c r="Y7" s="16"/>
      <c r="Z7" s="6">
        <f>Q7/L7</f>
        <v>2524.1696553874945</v>
      </c>
      <c r="AA7" s="6">
        <f>(Q7-P7)/L7</f>
        <v>2255.4985966006552</v>
      </c>
      <c r="AB7" s="6">
        <f>(O7-P7)/L7</f>
        <v>2077.4013722126933</v>
      </c>
      <c r="AC7" s="6">
        <f t="shared" si="1"/>
        <v>1217.1857944799626</v>
      </c>
      <c r="AD7" s="16"/>
      <c r="AE7" s="6">
        <f>Q7/M7</f>
        <v>2366.1611547597299</v>
      </c>
      <c r="AF7" s="6">
        <f>(Q7-P7)/M7</f>
        <v>2114.308423168281</v>
      </c>
      <c r="AG7" s="6">
        <f>(O7-P7)/M7</f>
        <v>1947.359766124612</v>
      </c>
    </row>
    <row r="8" spans="2:33" x14ac:dyDescent="0.3">
      <c r="B8" s="37"/>
      <c r="C8" s="37"/>
      <c r="D8" s="38"/>
      <c r="E8" s="38"/>
      <c r="F8" s="39"/>
      <c r="G8" s="29" t="s">
        <v>23</v>
      </c>
      <c r="H8" s="9" t="s">
        <v>28</v>
      </c>
      <c r="I8" s="14" t="s">
        <v>34</v>
      </c>
      <c r="J8" s="1"/>
      <c r="K8" s="1"/>
      <c r="L8" s="5"/>
      <c r="M8" s="5"/>
      <c r="N8" s="4"/>
      <c r="O8" s="4"/>
      <c r="P8" s="4"/>
      <c r="Q8" s="4">
        <f t="shared" si="0"/>
        <v>0</v>
      </c>
      <c r="R8" s="4"/>
      <c r="S8" s="1"/>
      <c r="T8" s="2"/>
      <c r="U8" s="10"/>
      <c r="V8" s="11"/>
      <c r="W8" s="11"/>
      <c r="X8" s="11"/>
      <c r="Y8" s="16"/>
      <c r="Z8" s="6"/>
      <c r="AA8" s="6"/>
      <c r="AB8" s="6"/>
      <c r="AC8" s="6" t="e">
        <f t="shared" si="1"/>
        <v>#DIV/0!</v>
      </c>
      <c r="AD8" s="16"/>
      <c r="AE8" s="6"/>
      <c r="AF8" s="6"/>
      <c r="AG8" s="6"/>
    </row>
    <row r="9" spans="2:33" ht="28.8" x14ac:dyDescent="0.3">
      <c r="B9" s="37"/>
      <c r="C9" s="37"/>
      <c r="D9" s="38"/>
      <c r="E9" s="38"/>
      <c r="F9" s="39"/>
      <c r="G9" s="29" t="s">
        <v>24</v>
      </c>
      <c r="H9" s="7" t="s">
        <v>27</v>
      </c>
      <c r="I9" s="23" t="s">
        <v>35</v>
      </c>
      <c r="J9" s="1"/>
      <c r="K9" s="1"/>
      <c r="L9" s="5">
        <v>610</v>
      </c>
      <c r="M9" s="5">
        <v>1007</v>
      </c>
      <c r="N9" s="4">
        <v>60000</v>
      </c>
      <c r="O9" s="4">
        <f>R9+P9+245000</f>
        <v>2070000</v>
      </c>
      <c r="P9" s="4">
        <v>275000</v>
      </c>
      <c r="Q9" s="4">
        <f t="shared" si="0"/>
        <v>2130000</v>
      </c>
      <c r="R9" s="4">
        <v>1550000</v>
      </c>
      <c r="S9" s="1"/>
      <c r="T9" s="2"/>
      <c r="U9" s="10">
        <f t="shared" ref="U9:U22" si="2">L9/M9</f>
        <v>0.605759682224429</v>
      </c>
      <c r="V9" s="11">
        <f t="shared" ref="V9:V22" si="3">R9/(O9-P9)</f>
        <v>0.86350974930362112</v>
      </c>
      <c r="W9" s="11">
        <f t="shared" ref="W9:W22" si="4">N9/O9</f>
        <v>2.8985507246376812E-2</v>
      </c>
      <c r="X9" s="11">
        <f t="shared" ref="X9:X22" si="5">P9/O9</f>
        <v>0.13285024154589373</v>
      </c>
      <c r="Y9" s="16"/>
      <c r="Z9" s="6">
        <f t="shared" ref="Z9:Z22" si="6">Q9/L9</f>
        <v>3491.8032786885246</v>
      </c>
      <c r="AA9" s="6">
        <f t="shared" ref="AA9:AA22" si="7">(Q9-P9)/L9</f>
        <v>3040.9836065573772</v>
      </c>
      <c r="AB9" s="6">
        <f t="shared" ref="AB9:AB22" si="8">(O9-P9)/L9</f>
        <v>2942.622950819672</v>
      </c>
      <c r="AC9" s="6">
        <f t="shared" si="1"/>
        <v>2540.9836065573772</v>
      </c>
      <c r="AD9" s="16"/>
      <c r="AE9" s="6">
        <f t="shared" ref="AE9:AE22" si="9">Q9/M9</f>
        <v>2115.19364448858</v>
      </c>
      <c r="AF9" s="6">
        <f t="shared" ref="AF9:AF22" si="10">(Q9-P9)/M9</f>
        <v>1842.1052631578948</v>
      </c>
      <c r="AG9" s="6">
        <f t="shared" ref="AG9:AG22" si="11">(O9-P9)/M9</f>
        <v>1782.5223435948362</v>
      </c>
    </row>
    <row r="10" spans="2:33" x14ac:dyDescent="0.3">
      <c r="G10" s="3" t="s">
        <v>25</v>
      </c>
      <c r="H10" s="7" t="s">
        <v>27</v>
      </c>
      <c r="I10" s="14" t="s">
        <v>36</v>
      </c>
      <c r="J10" s="1"/>
      <c r="K10" s="1"/>
      <c r="L10" s="5">
        <v>645</v>
      </c>
      <c r="M10" s="5">
        <v>857</v>
      </c>
      <c r="N10" s="4">
        <v>200000</v>
      </c>
      <c r="O10" s="4">
        <v>2055000</v>
      </c>
      <c r="P10" s="4">
        <v>115000</v>
      </c>
      <c r="Q10" s="4">
        <f t="shared" si="0"/>
        <v>2255000</v>
      </c>
      <c r="R10" s="4">
        <v>1335000</v>
      </c>
      <c r="S10" s="1"/>
      <c r="T10" s="2"/>
      <c r="U10" s="10">
        <f t="shared" si="2"/>
        <v>0.75262543757292877</v>
      </c>
      <c r="V10" s="11">
        <f t="shared" si="3"/>
        <v>0.68814432989690721</v>
      </c>
      <c r="W10" s="11">
        <f t="shared" si="4"/>
        <v>9.7323600973236016E-2</v>
      </c>
      <c r="X10" s="11">
        <f t="shared" si="5"/>
        <v>5.5961070559610707E-2</v>
      </c>
      <c r="Y10" s="16"/>
      <c r="Z10" s="6">
        <f t="shared" si="6"/>
        <v>3496.1240310077519</v>
      </c>
      <c r="AA10" s="6">
        <f t="shared" si="7"/>
        <v>3317.8294573643411</v>
      </c>
      <c r="AB10" s="6">
        <f t="shared" si="8"/>
        <v>3007.7519379844962</v>
      </c>
      <c r="AC10" s="6">
        <f t="shared" si="1"/>
        <v>2069.7674418604652</v>
      </c>
      <c r="AD10" s="16"/>
      <c r="AE10" s="6">
        <f t="shared" si="9"/>
        <v>2631.2718786464411</v>
      </c>
      <c r="AF10" s="6">
        <f t="shared" si="10"/>
        <v>2497.0828471411901</v>
      </c>
      <c r="AG10" s="6">
        <f t="shared" si="11"/>
        <v>2263.7106184364061</v>
      </c>
    </row>
    <row r="11" spans="2:33" ht="28.8" x14ac:dyDescent="0.3">
      <c r="G11" s="3" t="s">
        <v>23</v>
      </c>
      <c r="H11" s="7" t="s">
        <v>27</v>
      </c>
      <c r="I11" s="14" t="s">
        <v>37</v>
      </c>
      <c r="J11" s="1"/>
      <c r="K11" s="1"/>
      <c r="L11" s="5">
        <v>1421</v>
      </c>
      <c r="M11" s="5">
        <v>1816</v>
      </c>
      <c r="N11" s="4">
        <v>360000</v>
      </c>
      <c r="O11" s="4">
        <v>3970000</v>
      </c>
      <c r="P11" s="4">
        <v>332000</v>
      </c>
      <c r="Q11" s="4">
        <f t="shared" si="0"/>
        <v>4330000</v>
      </c>
      <c r="R11" s="4">
        <v>1504000</v>
      </c>
      <c r="S11" s="1"/>
      <c r="T11" s="2"/>
      <c r="U11" s="10">
        <f t="shared" si="2"/>
        <v>0.78248898678414092</v>
      </c>
      <c r="V11" s="11">
        <f t="shared" si="3"/>
        <v>0.41341396371632766</v>
      </c>
      <c r="W11" s="11">
        <f t="shared" si="4"/>
        <v>9.06801007556675E-2</v>
      </c>
      <c r="X11" s="11">
        <f t="shared" si="5"/>
        <v>8.3627204030226707E-2</v>
      </c>
      <c r="Y11" s="16"/>
      <c r="Z11" s="6">
        <f t="shared" si="6"/>
        <v>3047.1498944405348</v>
      </c>
      <c r="AA11" s="6">
        <f t="shared" si="7"/>
        <v>2813.5116115411683</v>
      </c>
      <c r="AB11" s="6">
        <f t="shared" si="8"/>
        <v>2560.1688951442648</v>
      </c>
      <c r="AC11" s="6">
        <f t="shared" si="1"/>
        <v>1058.4095707248416</v>
      </c>
      <c r="AD11" s="16"/>
      <c r="AE11" s="6">
        <f t="shared" si="9"/>
        <v>2384.361233480176</v>
      </c>
      <c r="AF11" s="6">
        <f t="shared" si="10"/>
        <v>2201.5418502202642</v>
      </c>
      <c r="AG11" s="6">
        <f t="shared" si="11"/>
        <v>2003.3039647577093</v>
      </c>
    </row>
    <row r="12" spans="2:33" ht="28.8" x14ac:dyDescent="0.3">
      <c r="G12" s="3" t="s">
        <v>24</v>
      </c>
      <c r="H12" s="7" t="s">
        <v>27</v>
      </c>
      <c r="I12" s="14" t="s">
        <v>38</v>
      </c>
      <c r="J12" s="1"/>
      <c r="K12" s="1"/>
      <c r="L12" s="5">
        <v>1445</v>
      </c>
      <c r="M12" s="5">
        <v>1501</v>
      </c>
      <c r="N12" s="4">
        <v>374000</v>
      </c>
      <c r="O12" s="4">
        <v>3464000</v>
      </c>
      <c r="P12" s="4">
        <v>298000</v>
      </c>
      <c r="Q12" s="4">
        <f t="shared" si="0"/>
        <v>3838000</v>
      </c>
      <c r="R12" s="4">
        <v>1856000</v>
      </c>
      <c r="S12" s="1"/>
      <c r="T12" s="2"/>
      <c r="U12" s="10">
        <f t="shared" si="2"/>
        <v>0.96269153897401727</v>
      </c>
      <c r="V12" s="11">
        <f t="shared" si="3"/>
        <v>0.58622867972204673</v>
      </c>
      <c r="W12" s="11">
        <f t="shared" si="4"/>
        <v>0.10796766743648961</v>
      </c>
      <c r="X12" s="11">
        <f t="shared" si="5"/>
        <v>8.6027713625866045E-2</v>
      </c>
      <c r="Y12" s="16"/>
      <c r="Z12" s="6">
        <f t="shared" si="6"/>
        <v>2656.0553633217992</v>
      </c>
      <c r="AA12" s="6">
        <f t="shared" si="7"/>
        <v>2449.8269896193769</v>
      </c>
      <c r="AB12" s="6">
        <f t="shared" si="8"/>
        <v>2191.0034602076125</v>
      </c>
      <c r="AC12" s="6">
        <f t="shared" si="1"/>
        <v>1284.4290657439446</v>
      </c>
      <c r="AD12" s="16"/>
      <c r="AE12" s="6">
        <f t="shared" si="9"/>
        <v>2556.9620253164558</v>
      </c>
      <c r="AF12" s="6">
        <f t="shared" si="10"/>
        <v>2358.4277148567621</v>
      </c>
      <c r="AG12" s="6">
        <f t="shared" si="11"/>
        <v>2109.2604930046637</v>
      </c>
    </row>
    <row r="13" spans="2:33" ht="57.6" x14ac:dyDescent="0.3">
      <c r="G13" s="3" t="s">
        <v>25</v>
      </c>
      <c r="H13" s="7" t="s">
        <v>27</v>
      </c>
      <c r="I13" s="23" t="s">
        <v>39</v>
      </c>
      <c r="J13" s="1"/>
      <c r="K13" s="1"/>
      <c r="L13" s="5">
        <v>1483</v>
      </c>
      <c r="M13" s="5">
        <v>1555</v>
      </c>
      <c r="N13" s="4">
        <v>383000</v>
      </c>
      <c r="O13" s="4">
        <v>3324000</v>
      </c>
      <c r="P13" s="4">
        <v>365000</v>
      </c>
      <c r="Q13" s="4">
        <f t="shared" si="0"/>
        <v>3707000</v>
      </c>
      <c r="R13" s="4">
        <v>2316000</v>
      </c>
      <c r="S13" s="1"/>
      <c r="T13" s="2"/>
      <c r="U13" s="10">
        <f t="shared" si="2"/>
        <v>0.95369774919614148</v>
      </c>
      <c r="V13" s="11">
        <f t="shared" si="3"/>
        <v>0.78269685704629943</v>
      </c>
      <c r="W13" s="11">
        <f t="shared" si="4"/>
        <v>0.11522262334536702</v>
      </c>
      <c r="X13" s="11">
        <f t="shared" si="5"/>
        <v>0.10980746089049338</v>
      </c>
      <c r="Y13" s="16"/>
      <c r="Z13" s="6">
        <f t="shared" si="6"/>
        <v>2499.662845583277</v>
      </c>
      <c r="AA13" s="6">
        <f t="shared" si="7"/>
        <v>2253.5401213755899</v>
      </c>
      <c r="AB13" s="6">
        <f t="shared" si="8"/>
        <v>1995.2798381658799</v>
      </c>
      <c r="AC13" s="6">
        <f t="shared" si="1"/>
        <v>1561.6992582602832</v>
      </c>
      <c r="AD13" s="16"/>
      <c r="AE13" s="6">
        <f t="shared" si="9"/>
        <v>2383.9228295819935</v>
      </c>
      <c r="AF13" s="6">
        <f t="shared" si="10"/>
        <v>2149.1961414790999</v>
      </c>
      <c r="AG13" s="6">
        <f t="shared" si="11"/>
        <v>1902.8938906752412</v>
      </c>
    </row>
    <row r="14" spans="2:33" x14ac:dyDescent="0.3">
      <c r="G14" s="3" t="s">
        <v>23</v>
      </c>
      <c r="H14" s="7" t="s">
        <v>27</v>
      </c>
      <c r="I14" s="14" t="s">
        <v>34</v>
      </c>
      <c r="J14" s="1"/>
      <c r="K14" s="1"/>
      <c r="L14" s="5">
        <v>987</v>
      </c>
      <c r="M14" s="5">
        <v>1281</v>
      </c>
      <c r="N14" s="4">
        <v>277000</v>
      </c>
      <c r="O14" s="4">
        <v>3393170</v>
      </c>
      <c r="P14" s="4">
        <v>198780</v>
      </c>
      <c r="Q14" s="4">
        <f t="shared" si="0"/>
        <v>3670170</v>
      </c>
      <c r="R14" s="4">
        <v>1920256</v>
      </c>
      <c r="S14" s="1"/>
      <c r="T14" s="2"/>
      <c r="U14" s="10">
        <f t="shared" si="2"/>
        <v>0.77049180327868849</v>
      </c>
      <c r="V14" s="11">
        <f t="shared" si="3"/>
        <v>0.60113386280322689</v>
      </c>
      <c r="W14" s="11">
        <f t="shared" si="4"/>
        <v>8.1634577695783E-2</v>
      </c>
      <c r="X14" s="11">
        <f t="shared" si="5"/>
        <v>5.8582387560894386E-2</v>
      </c>
      <c r="Y14" s="16"/>
      <c r="Z14" s="6">
        <f t="shared" si="6"/>
        <v>3718.5106382978724</v>
      </c>
      <c r="AA14" s="6">
        <f t="shared" si="7"/>
        <v>3517.1124620060791</v>
      </c>
      <c r="AB14" s="6">
        <f t="shared" si="8"/>
        <v>3236.4640324214793</v>
      </c>
      <c r="AC14" s="6">
        <f t="shared" si="1"/>
        <v>1945.5481256332321</v>
      </c>
      <c r="AD14" s="16"/>
      <c r="AE14" s="6">
        <f t="shared" si="9"/>
        <v>2865.0819672131147</v>
      </c>
      <c r="AF14" s="6">
        <f t="shared" si="10"/>
        <v>2709.9063231850118</v>
      </c>
      <c r="AG14" s="6">
        <f t="shared" si="11"/>
        <v>2493.6690085870414</v>
      </c>
    </row>
    <row r="15" spans="2:33" ht="28.8" x14ac:dyDescent="0.3">
      <c r="G15" s="3" t="s">
        <v>24</v>
      </c>
      <c r="H15" s="7" t="s">
        <v>27</v>
      </c>
      <c r="I15" s="23" t="s">
        <v>40</v>
      </c>
      <c r="J15" s="1"/>
      <c r="K15" s="1"/>
      <c r="L15" s="5">
        <v>1234</v>
      </c>
      <c r="M15" s="5">
        <v>1540</v>
      </c>
      <c r="N15" s="4">
        <v>415000</v>
      </c>
      <c r="O15" s="4">
        <v>2895000</v>
      </c>
      <c r="P15" s="4">
        <v>282000</v>
      </c>
      <c r="Q15" s="4">
        <f t="shared" si="0"/>
        <v>3310000</v>
      </c>
      <c r="R15" s="4">
        <v>1071524</v>
      </c>
      <c r="S15" s="1"/>
      <c r="T15" s="2"/>
      <c r="U15" s="10">
        <f t="shared" si="2"/>
        <v>0.80129870129870129</v>
      </c>
      <c r="V15" s="11">
        <f t="shared" si="3"/>
        <v>0.4100742441637964</v>
      </c>
      <c r="W15" s="11">
        <f t="shared" si="4"/>
        <v>0.14335060449050085</v>
      </c>
      <c r="X15" s="11">
        <f t="shared" si="5"/>
        <v>9.7409326424870463E-2</v>
      </c>
      <c r="Y15" s="16"/>
      <c r="Z15" s="6">
        <f t="shared" si="6"/>
        <v>2682.3338735818475</v>
      </c>
      <c r="AA15" s="6">
        <f t="shared" si="7"/>
        <v>2453.8087520259319</v>
      </c>
      <c r="AB15" s="6">
        <f t="shared" si="8"/>
        <v>2117.5040518638575</v>
      </c>
      <c r="AC15" s="6">
        <f t="shared" si="1"/>
        <v>868.33387358184768</v>
      </c>
      <c r="AD15" s="16"/>
      <c r="AE15" s="6">
        <f t="shared" si="9"/>
        <v>2149.3506493506493</v>
      </c>
      <c r="AF15" s="6">
        <f t="shared" si="10"/>
        <v>1966.2337662337663</v>
      </c>
      <c r="AG15" s="6">
        <f t="shared" si="11"/>
        <v>1696.7532467532467</v>
      </c>
    </row>
    <row r="16" spans="2:33" ht="28.8" x14ac:dyDescent="0.3">
      <c r="G16" s="3" t="s">
        <v>25</v>
      </c>
      <c r="H16" s="7" t="s">
        <v>27</v>
      </c>
      <c r="I16" s="14" t="s">
        <v>41</v>
      </c>
      <c r="J16" s="1"/>
      <c r="K16" s="1"/>
      <c r="L16" s="5">
        <v>1379</v>
      </c>
      <c r="M16" s="5">
        <v>1512</v>
      </c>
      <c r="N16" s="4">
        <v>159700</v>
      </c>
      <c r="O16" s="4">
        <v>3485300</v>
      </c>
      <c r="P16" s="4">
        <v>170363</v>
      </c>
      <c r="Q16" s="4">
        <f t="shared" si="0"/>
        <v>3645000</v>
      </c>
      <c r="R16" s="4">
        <v>2408391</v>
      </c>
      <c r="S16" s="1"/>
      <c r="T16" s="2"/>
      <c r="U16" s="10">
        <f t="shared" si="2"/>
        <v>0.91203703703703709</v>
      </c>
      <c r="V16" s="11">
        <f t="shared" si="3"/>
        <v>0.72652692947105779</v>
      </c>
      <c r="W16" s="11">
        <f t="shared" si="4"/>
        <v>4.5821019711359136E-2</v>
      </c>
      <c r="X16" s="11">
        <f t="shared" si="5"/>
        <v>4.8880440708116951E-2</v>
      </c>
      <c r="Y16" s="16"/>
      <c r="Z16" s="6">
        <f t="shared" si="6"/>
        <v>2643.2197244379986</v>
      </c>
      <c r="AA16" s="6">
        <f t="shared" si="7"/>
        <v>2519.6787527193619</v>
      </c>
      <c r="AB16" s="6">
        <f t="shared" si="8"/>
        <v>2403.8701957940539</v>
      </c>
      <c r="AC16" s="6">
        <f t="shared" si="1"/>
        <v>1746.4764321972443</v>
      </c>
      <c r="AD16" s="16"/>
      <c r="AE16" s="6">
        <f t="shared" si="9"/>
        <v>2410.7142857142858</v>
      </c>
      <c r="AF16" s="6">
        <f t="shared" si="10"/>
        <v>2298.0403439153438</v>
      </c>
      <c r="AG16" s="6">
        <f t="shared" si="11"/>
        <v>2192.4186507936506</v>
      </c>
    </row>
    <row r="17" spans="7:33" x14ac:dyDescent="0.3">
      <c r="G17" s="3" t="s">
        <v>23</v>
      </c>
      <c r="H17" s="7" t="s">
        <v>27</v>
      </c>
      <c r="I17" s="23" t="s">
        <v>42</v>
      </c>
      <c r="J17" s="1"/>
      <c r="K17" s="1"/>
      <c r="L17" s="5">
        <v>245.55</v>
      </c>
      <c r="M17" s="5">
        <v>277.56</v>
      </c>
      <c r="N17" s="4">
        <v>29572.3</v>
      </c>
      <c r="O17" s="4">
        <v>577347.41</v>
      </c>
      <c r="P17" s="4">
        <v>91767.9</v>
      </c>
      <c r="Q17" s="4">
        <f t="shared" si="0"/>
        <v>606919.71000000008</v>
      </c>
      <c r="R17" s="4">
        <v>73753.03</v>
      </c>
      <c r="S17" s="1"/>
      <c r="T17" s="2"/>
      <c r="U17" s="10">
        <f t="shared" si="2"/>
        <v>0.88467358408992658</v>
      </c>
      <c r="V17" s="11">
        <f t="shared" si="3"/>
        <v>0.15188661893908992</v>
      </c>
      <c r="W17" s="11">
        <f t="shared" si="4"/>
        <v>5.1220979756365408E-2</v>
      </c>
      <c r="X17" s="11">
        <f t="shared" si="5"/>
        <v>0.1589474524532811</v>
      </c>
      <c r="Y17" s="16"/>
      <c r="Z17" s="6">
        <f t="shared" si="6"/>
        <v>2471.6746487477094</v>
      </c>
      <c r="AA17" s="6">
        <f t="shared" si="7"/>
        <v>2097.9507635919367</v>
      </c>
      <c r="AB17" s="6">
        <f t="shared" si="8"/>
        <v>1977.5178578700875</v>
      </c>
      <c r="AC17" s="6">
        <f t="shared" si="1"/>
        <v>300.35850132355932</v>
      </c>
      <c r="AD17" s="16"/>
      <c r="AE17" s="6">
        <f t="shared" si="9"/>
        <v>2186.6252702118463</v>
      </c>
      <c r="AF17" s="6">
        <f t="shared" si="10"/>
        <v>1856.0016212710766</v>
      </c>
      <c r="AG17" s="6">
        <f t="shared" si="11"/>
        <v>1749.4578109237643</v>
      </c>
    </row>
    <row r="18" spans="7:33" ht="28.8" x14ac:dyDescent="0.3">
      <c r="G18" s="3" t="s">
        <v>24</v>
      </c>
      <c r="H18" s="7" t="s">
        <v>27</v>
      </c>
      <c r="I18" s="14" t="s">
        <v>43</v>
      </c>
      <c r="J18" s="1"/>
      <c r="K18" s="1"/>
      <c r="L18" s="5">
        <v>259</v>
      </c>
      <c r="M18" s="5">
        <v>270</v>
      </c>
      <c r="N18" s="4">
        <v>55440</v>
      </c>
      <c r="O18" s="4">
        <v>536193.14</v>
      </c>
      <c r="P18" s="4">
        <v>47458.2</v>
      </c>
      <c r="Q18" s="4">
        <f t="shared" si="0"/>
        <v>591633.14</v>
      </c>
      <c r="R18" s="4">
        <v>133697.35999999999</v>
      </c>
      <c r="S18" s="1"/>
      <c r="T18" s="2"/>
      <c r="U18" s="10">
        <f t="shared" si="2"/>
        <v>0.95925925925925926</v>
      </c>
      <c r="V18" s="11">
        <f t="shared" si="3"/>
        <v>0.27355801490272003</v>
      </c>
      <c r="W18" s="11">
        <f t="shared" si="4"/>
        <v>0.10339557869017123</v>
      </c>
      <c r="X18" s="11">
        <f t="shared" si="5"/>
        <v>8.8509524758186936E-2</v>
      </c>
      <c r="Y18" s="16"/>
      <c r="Z18" s="6">
        <f t="shared" si="6"/>
        <v>2284.297837837838</v>
      </c>
      <c r="AA18" s="6">
        <f t="shared" si="7"/>
        <v>2101.0615444015448</v>
      </c>
      <c r="AB18" s="6">
        <f t="shared" si="8"/>
        <v>1887.0074903474904</v>
      </c>
      <c r="AC18" s="6">
        <f t="shared" si="1"/>
        <v>516.2060231660231</v>
      </c>
      <c r="AD18" s="16"/>
      <c r="AE18" s="6">
        <f t="shared" si="9"/>
        <v>2191.2338518518518</v>
      </c>
      <c r="AF18" s="6">
        <f t="shared" si="10"/>
        <v>2015.4627407407409</v>
      </c>
      <c r="AG18" s="6">
        <f t="shared" si="11"/>
        <v>1810.1294074074074</v>
      </c>
    </row>
    <row r="19" spans="7:33" x14ac:dyDescent="0.3">
      <c r="G19" s="3" t="s">
        <v>25</v>
      </c>
      <c r="H19" s="8" t="s">
        <v>29</v>
      </c>
      <c r="I19" s="14" t="s">
        <v>44</v>
      </c>
      <c r="J19" s="1"/>
      <c r="K19" s="1"/>
      <c r="L19" s="5">
        <v>243.81</v>
      </c>
      <c r="M19" s="5">
        <v>243.81</v>
      </c>
      <c r="N19" s="4">
        <v>22131.17</v>
      </c>
      <c r="O19" s="4">
        <v>536998.32999999996</v>
      </c>
      <c r="P19" s="4">
        <v>52242.44</v>
      </c>
      <c r="Q19" s="4">
        <f t="shared" si="0"/>
        <v>559129.5</v>
      </c>
      <c r="R19" s="4">
        <v>124891.9</v>
      </c>
      <c r="S19" s="1"/>
      <c r="T19" s="2"/>
      <c r="U19" s="10">
        <f t="shared" si="2"/>
        <v>1</v>
      </c>
      <c r="V19" s="11">
        <f t="shared" si="3"/>
        <v>0.2576387467927414</v>
      </c>
      <c r="W19" s="11">
        <f t="shared" si="4"/>
        <v>4.121273524258446E-2</v>
      </c>
      <c r="X19" s="11">
        <f t="shared" si="5"/>
        <v>9.7286038114867149E-2</v>
      </c>
      <c r="Y19" s="16"/>
      <c r="Z19" s="6">
        <f t="shared" si="6"/>
        <v>2293.3001107419714</v>
      </c>
      <c r="AA19" s="6">
        <f t="shared" si="7"/>
        <v>2079.0248964357493</v>
      </c>
      <c r="AB19" s="6">
        <f t="shared" si="8"/>
        <v>1988.2526967720764</v>
      </c>
      <c r="AC19" s="6">
        <f t="shared" si="1"/>
        <v>512.25093310364628</v>
      </c>
      <c r="AD19" s="16"/>
      <c r="AE19" s="6">
        <f t="shared" si="9"/>
        <v>2293.3001107419714</v>
      </c>
      <c r="AF19" s="6">
        <f t="shared" si="10"/>
        <v>2079.0248964357493</v>
      </c>
      <c r="AG19" s="6">
        <f t="shared" si="11"/>
        <v>1988.2526967720764</v>
      </c>
    </row>
    <row r="20" spans="7:33" x14ac:dyDescent="0.3">
      <c r="G20" s="3" t="s">
        <v>23</v>
      </c>
      <c r="H20" s="8" t="s">
        <v>29</v>
      </c>
      <c r="I20" s="14" t="s">
        <v>32</v>
      </c>
      <c r="J20" s="1"/>
      <c r="K20" s="1"/>
      <c r="L20" s="5">
        <v>558.44000000000005</v>
      </c>
      <c r="M20" s="5">
        <v>668.24</v>
      </c>
      <c r="N20" s="4">
        <v>44000</v>
      </c>
      <c r="O20" s="4">
        <v>1537120.16</v>
      </c>
      <c r="P20" s="4">
        <v>310847.71999999997</v>
      </c>
      <c r="Q20" s="4">
        <f t="shared" si="0"/>
        <v>1581120.16</v>
      </c>
      <c r="R20" s="4">
        <v>819797</v>
      </c>
      <c r="S20" s="1"/>
      <c r="T20" s="2"/>
      <c r="U20" s="10">
        <f t="shared" si="2"/>
        <v>0.83568777684664197</v>
      </c>
      <c r="V20" s="11">
        <f t="shared" si="3"/>
        <v>0.66852762343741501</v>
      </c>
      <c r="W20" s="11">
        <f t="shared" si="4"/>
        <v>2.8624957986368483E-2</v>
      </c>
      <c r="X20" s="11">
        <f t="shared" si="5"/>
        <v>0.20222733920814623</v>
      </c>
      <c r="Y20" s="16"/>
      <c r="Z20" s="6">
        <f t="shared" si="6"/>
        <v>2831.3160948356131</v>
      </c>
      <c r="AA20" s="6">
        <f t="shared" si="7"/>
        <v>2274.680252130936</v>
      </c>
      <c r="AB20" s="6">
        <f t="shared" si="8"/>
        <v>2195.889334574887</v>
      </c>
      <c r="AC20" s="6">
        <f t="shared" si="1"/>
        <v>1468.0126781749157</v>
      </c>
      <c r="AD20" s="16"/>
      <c r="AE20" s="6">
        <f t="shared" si="9"/>
        <v>2366.0962528432897</v>
      </c>
      <c r="AF20" s="6">
        <f t="shared" si="10"/>
        <v>1900.9224829402608</v>
      </c>
      <c r="AG20" s="6">
        <f t="shared" si="11"/>
        <v>1835.0778762121392</v>
      </c>
    </row>
    <row r="21" spans="7:33" ht="72" x14ac:dyDescent="0.3">
      <c r="G21" s="3" t="s">
        <v>24</v>
      </c>
      <c r="H21" s="8" t="s">
        <v>29</v>
      </c>
      <c r="I21" s="14" t="s">
        <v>45</v>
      </c>
      <c r="J21" s="1"/>
      <c r="K21" s="1"/>
      <c r="L21" s="5">
        <v>569.79999999999995</v>
      </c>
      <c r="M21" s="5">
        <v>611.55999999999995</v>
      </c>
      <c r="N21" s="4">
        <v>153767.47</v>
      </c>
      <c r="O21" s="4">
        <v>1589827.93</v>
      </c>
      <c r="P21" s="4">
        <v>179890</v>
      </c>
      <c r="Q21" s="4">
        <f t="shared" si="0"/>
        <v>1743595.4</v>
      </c>
      <c r="R21" s="4">
        <v>816200</v>
      </c>
      <c r="S21" s="1"/>
      <c r="T21" s="2"/>
      <c r="U21" s="10">
        <f t="shared" si="2"/>
        <v>0.93171561253188573</v>
      </c>
      <c r="V21" s="11">
        <f t="shared" si="3"/>
        <v>0.57889073173597083</v>
      </c>
      <c r="W21" s="11">
        <f t="shared" si="4"/>
        <v>9.6719567632706019E-2</v>
      </c>
      <c r="X21" s="11">
        <f t="shared" si="5"/>
        <v>0.11315060995311613</v>
      </c>
      <c r="Y21" s="16"/>
      <c r="Z21" s="6">
        <f t="shared" si="6"/>
        <v>3060.0129870129872</v>
      </c>
      <c r="AA21" s="6">
        <f t="shared" si="7"/>
        <v>2744.3057213057214</v>
      </c>
      <c r="AB21" s="6">
        <f t="shared" si="8"/>
        <v>2474.4435415935418</v>
      </c>
      <c r="AC21" s="6">
        <f t="shared" si="1"/>
        <v>1432.4324324324325</v>
      </c>
      <c r="AD21" s="16"/>
      <c r="AE21" s="6">
        <f t="shared" si="9"/>
        <v>2851.0618745503302</v>
      </c>
      <c r="AF21" s="6">
        <f t="shared" si="10"/>
        <v>2556.9124861011187</v>
      </c>
      <c r="AG21" s="6">
        <f t="shared" si="11"/>
        <v>2305.4776800313953</v>
      </c>
    </row>
    <row r="22" spans="7:33" ht="28.8" x14ac:dyDescent="0.3">
      <c r="G22" s="3" t="s">
        <v>25</v>
      </c>
      <c r="H22" s="9" t="s">
        <v>28</v>
      </c>
      <c r="I22" s="14" t="s">
        <v>46</v>
      </c>
      <c r="J22" s="1"/>
      <c r="K22" s="1"/>
      <c r="L22" s="5">
        <v>440.8</v>
      </c>
      <c r="M22" s="5">
        <f>L22+188.8</f>
        <v>629.6</v>
      </c>
      <c r="N22" s="4">
        <v>70100</v>
      </c>
      <c r="O22" s="4">
        <v>1434670</v>
      </c>
      <c r="P22" s="4">
        <v>390595</v>
      </c>
      <c r="Q22" s="4">
        <f t="shared" si="0"/>
        <v>1504770</v>
      </c>
      <c r="R22" s="4">
        <v>889506</v>
      </c>
      <c r="S22" s="1"/>
      <c r="T22" s="2"/>
      <c r="U22" s="10">
        <f t="shared" si="2"/>
        <v>0.70012706480304954</v>
      </c>
      <c r="V22" s="11">
        <f t="shared" si="3"/>
        <v>0.85195603764097405</v>
      </c>
      <c r="W22" s="11">
        <f t="shared" si="4"/>
        <v>4.8861410637986435E-2</v>
      </c>
      <c r="X22" s="11">
        <f t="shared" si="5"/>
        <v>0.2722542466211742</v>
      </c>
      <c r="Y22" s="16"/>
      <c r="Z22" s="6">
        <f t="shared" si="6"/>
        <v>3413.7250453720508</v>
      </c>
      <c r="AA22" s="6">
        <f t="shared" si="7"/>
        <v>2527.6202359346644</v>
      </c>
      <c r="AB22" s="6">
        <f t="shared" si="8"/>
        <v>2368.5911978221416</v>
      </c>
      <c r="AC22" s="6">
        <f t="shared" si="1"/>
        <v>2017.9355716878401</v>
      </c>
      <c r="AD22" s="16"/>
      <c r="AE22" s="6">
        <f t="shared" si="9"/>
        <v>2390.041296060991</v>
      </c>
      <c r="AF22" s="6">
        <f t="shared" si="10"/>
        <v>1769.655336721728</v>
      </c>
      <c r="AG22" s="6">
        <f t="shared" si="11"/>
        <v>1658.3148030495552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83B6-9D48-440A-9EF0-232DFA49988E}">
  <dimension ref="F2:AC26"/>
  <sheetViews>
    <sheetView workbookViewId="0">
      <selection activeCell="E25" sqref="E25"/>
    </sheetView>
  </sheetViews>
  <sheetFormatPr baseColWidth="10" defaultRowHeight="14.4" x14ac:dyDescent="0.3"/>
  <sheetData>
    <row r="2" spans="6:29" ht="57.6" x14ac:dyDescent="0.3">
      <c r="F2" s="13" t="s">
        <v>49</v>
      </c>
      <c r="G2" s="41" t="s">
        <v>108</v>
      </c>
      <c r="H2" s="13" t="s">
        <v>107</v>
      </c>
      <c r="I2" s="13" t="s">
        <v>53</v>
      </c>
      <c r="J2" s="13" t="s">
        <v>109</v>
      </c>
      <c r="K2" s="13" t="s">
        <v>57</v>
      </c>
      <c r="L2" s="13" t="s">
        <v>105</v>
      </c>
      <c r="M2" s="13" t="s">
        <v>59</v>
      </c>
      <c r="N2" s="13" t="s">
        <v>61</v>
      </c>
      <c r="O2" s="13"/>
      <c r="P2" s="15" t="s">
        <v>65</v>
      </c>
      <c r="Q2" s="13" t="s">
        <v>69</v>
      </c>
      <c r="R2" s="13" t="s">
        <v>71</v>
      </c>
      <c r="S2" s="12" t="s">
        <v>73</v>
      </c>
      <c r="T2" s="13" t="s">
        <v>75</v>
      </c>
      <c r="U2" s="16" t="s">
        <v>49</v>
      </c>
      <c r="V2" s="13" t="s">
        <v>77</v>
      </c>
      <c r="W2" s="13" t="s">
        <v>79</v>
      </c>
      <c r="X2" s="12" t="s">
        <v>81</v>
      </c>
      <c r="Y2" s="13" t="s">
        <v>83</v>
      </c>
      <c r="Z2" s="16" t="s">
        <v>100</v>
      </c>
      <c r="AA2" s="13" t="s">
        <v>101</v>
      </c>
      <c r="AB2" s="13" t="s">
        <v>102</v>
      </c>
      <c r="AC2" s="12" t="s">
        <v>103</v>
      </c>
    </row>
    <row r="3" spans="6:29" x14ac:dyDescent="0.3">
      <c r="F3" s="1" t="s">
        <v>50</v>
      </c>
      <c r="G3" s="1" t="s">
        <v>52</v>
      </c>
      <c r="H3" s="1" t="s">
        <v>104</v>
      </c>
      <c r="I3" s="1" t="s">
        <v>54</v>
      </c>
      <c r="J3" s="1" t="s">
        <v>56</v>
      </c>
      <c r="K3" s="1" t="s">
        <v>58</v>
      </c>
      <c r="L3" s="1" t="s">
        <v>106</v>
      </c>
      <c r="M3" s="1" t="s">
        <v>60</v>
      </c>
      <c r="N3" s="1" t="s">
        <v>62</v>
      </c>
      <c r="O3" s="1"/>
      <c r="P3" s="2" t="s">
        <v>48</v>
      </c>
      <c r="Q3" s="1" t="s">
        <v>70</v>
      </c>
      <c r="R3" s="1" t="s">
        <v>72</v>
      </c>
      <c r="S3" s="1" t="s">
        <v>74</v>
      </c>
      <c r="T3" s="1" t="s">
        <v>76</v>
      </c>
      <c r="U3" s="16"/>
      <c r="V3" s="1" t="s">
        <v>78</v>
      </c>
      <c r="W3" s="1" t="s">
        <v>80</v>
      </c>
      <c r="X3" s="1" t="s">
        <v>82</v>
      </c>
      <c r="Y3" s="1" t="s">
        <v>84</v>
      </c>
      <c r="Z3" s="16"/>
      <c r="AA3" s="1" t="s">
        <v>87</v>
      </c>
      <c r="AB3" s="1" t="s">
        <v>89</v>
      </c>
      <c r="AC3" s="1" t="s">
        <v>91</v>
      </c>
    </row>
    <row r="4" spans="6:29" x14ac:dyDescent="0.3">
      <c r="F4" cm="1">
        <f t="array" ref="F4:N26">TRANSPOSE('BDD Antoine'!E13:AA21)</f>
        <v>6006</v>
      </c>
      <c r="G4">
        <v>7235</v>
      </c>
      <c r="H4">
        <v>0</v>
      </c>
      <c r="I4">
        <v>1342412.69</v>
      </c>
      <c r="J4">
        <v>14800997.720000001</v>
      </c>
      <c r="K4">
        <v>1167425.5899999999</v>
      </c>
      <c r="L4" t="e">
        <v>#DIV/0!</v>
      </c>
      <c r="M4">
        <v>16143410.41</v>
      </c>
      <c r="N4">
        <v>7475455.4000000004</v>
      </c>
      <c r="P4" s="15"/>
      <c r="U4" s="16"/>
      <c r="Z4" s="16"/>
    </row>
    <row r="5" spans="6:29" x14ac:dyDescent="0.3">
      <c r="F5">
        <v>6050</v>
      </c>
      <c r="G5">
        <v>7103</v>
      </c>
      <c r="H5">
        <v>0</v>
      </c>
      <c r="I5">
        <v>1490904</v>
      </c>
      <c r="J5">
        <v>14933450.773303866</v>
      </c>
      <c r="K5">
        <v>724760.68</v>
      </c>
      <c r="L5" t="e">
        <v>#DIV/0!</v>
      </c>
      <c r="M5">
        <v>16424354.773303866</v>
      </c>
      <c r="N5">
        <v>7701194.860496751</v>
      </c>
      <c r="P5" s="15"/>
      <c r="U5" s="16"/>
      <c r="Z5" s="16"/>
    </row>
    <row r="6" spans="6:29" x14ac:dyDescent="0.3">
      <c r="F6">
        <v>5286</v>
      </c>
      <c r="G6">
        <v>6402</v>
      </c>
      <c r="H6">
        <v>0</v>
      </c>
      <c r="I6">
        <v>905897</v>
      </c>
      <c r="J6">
        <v>16288683.519999996</v>
      </c>
      <c r="K6">
        <v>925803.15179371065</v>
      </c>
      <c r="L6" t="e">
        <v>#DIV/0!</v>
      </c>
      <c r="M6">
        <v>17194580.519999996</v>
      </c>
      <c r="N6">
        <v>7400417.0819450617</v>
      </c>
      <c r="P6" s="15"/>
      <c r="U6" s="16"/>
      <c r="Z6" s="16"/>
    </row>
    <row r="7" spans="6:29" x14ac:dyDescent="0.3">
      <c r="F7">
        <v>2188</v>
      </c>
      <c r="G7">
        <v>2256</v>
      </c>
      <c r="H7">
        <v>4902</v>
      </c>
      <c r="I7">
        <v>357400</v>
      </c>
      <c r="J7">
        <v>5022600</v>
      </c>
      <c r="K7">
        <v>255318.61000000002</v>
      </c>
      <c r="L7">
        <v>52.084579763361894</v>
      </c>
      <c r="M7">
        <v>5380000</v>
      </c>
      <c r="N7">
        <v>2837001.86</v>
      </c>
      <c r="P7" s="15"/>
      <c r="U7" s="16"/>
      <c r="Z7" s="16"/>
    </row>
    <row r="8" spans="6:29" x14ac:dyDescent="0.3">
      <c r="F8">
        <v>2161.48</v>
      </c>
      <c r="G8">
        <v>2300</v>
      </c>
      <c r="H8">
        <v>4902</v>
      </c>
      <c r="I8">
        <v>486024.6</v>
      </c>
      <c r="J8">
        <v>4458676.59</v>
      </c>
      <c r="K8">
        <v>339077.43737499998</v>
      </c>
      <c r="L8">
        <v>69.171243854549161</v>
      </c>
      <c r="M8">
        <v>4944701.1899999995</v>
      </c>
      <c r="N8">
        <v>290232.09999999998</v>
      </c>
      <c r="P8" s="15"/>
      <c r="U8" s="16"/>
      <c r="Z8" s="16"/>
    </row>
    <row r="9" spans="6:29" x14ac:dyDescent="0.3">
      <c r="F9">
        <v>1913.3</v>
      </c>
      <c r="G9">
        <v>2205</v>
      </c>
      <c r="H9">
        <v>4902</v>
      </c>
      <c r="I9">
        <v>438450</v>
      </c>
      <c r="J9">
        <v>4733099.3950099992</v>
      </c>
      <c r="K9">
        <v>489375.61678973329</v>
      </c>
      <c r="L9">
        <v>99.831827170488225</v>
      </c>
      <c r="M9">
        <v>5171549.3950099992</v>
      </c>
      <c r="N9">
        <v>0</v>
      </c>
      <c r="P9" s="15"/>
      <c r="U9" s="16"/>
      <c r="Z9" s="16"/>
    </row>
    <row r="10" spans="6:29" x14ac:dyDescent="0.3">
      <c r="F10">
        <v>474.24</v>
      </c>
      <c r="G10">
        <v>501.26</v>
      </c>
      <c r="H10">
        <v>1485</v>
      </c>
      <c r="I10">
        <v>58450</v>
      </c>
      <c r="J10">
        <v>1024873</v>
      </c>
      <c r="K10">
        <v>119591.51</v>
      </c>
      <c r="L10">
        <v>80.53300336700336</v>
      </c>
      <c r="M10">
        <v>1083323</v>
      </c>
      <c r="N10">
        <v>619825</v>
      </c>
      <c r="P10" s="15"/>
      <c r="U10" s="16"/>
      <c r="Z10" s="16"/>
    </row>
    <row r="11" spans="6:29" x14ac:dyDescent="0.3">
      <c r="F11">
        <v>480.16</v>
      </c>
      <c r="G11">
        <v>516.08000000000004</v>
      </c>
      <c r="H11">
        <v>1485</v>
      </c>
      <c r="I11">
        <v>51775</v>
      </c>
      <c r="J11">
        <v>982216</v>
      </c>
      <c r="K11">
        <v>117344</v>
      </c>
      <c r="L11">
        <v>79.019528619528614</v>
      </c>
      <c r="M11">
        <v>1033991</v>
      </c>
      <c r="N11">
        <v>641873</v>
      </c>
      <c r="P11" s="15"/>
      <c r="U11" s="16"/>
      <c r="Z11" s="16"/>
    </row>
    <row r="12" spans="6:29" x14ac:dyDescent="0.3">
      <c r="F12">
        <v>513.04</v>
      </c>
      <c r="G12">
        <v>547.29999999999995</v>
      </c>
      <c r="H12">
        <v>1485</v>
      </c>
      <c r="I12">
        <v>91371</v>
      </c>
      <c r="J12">
        <v>1203629</v>
      </c>
      <c r="K12">
        <v>137839</v>
      </c>
      <c r="L12">
        <v>92.820875420875424</v>
      </c>
      <c r="M12">
        <v>1295000</v>
      </c>
      <c r="N12">
        <v>624465</v>
      </c>
      <c r="P12" s="15"/>
      <c r="U12" s="16"/>
      <c r="Z12" s="16"/>
    </row>
    <row r="13" spans="6:29" x14ac:dyDescent="0.3">
      <c r="F13">
        <v>610</v>
      </c>
      <c r="G13">
        <v>1007</v>
      </c>
      <c r="H13">
        <v>0</v>
      </c>
      <c r="I13">
        <v>60000</v>
      </c>
      <c r="J13">
        <v>2070000</v>
      </c>
      <c r="K13">
        <v>275000</v>
      </c>
      <c r="L13" t="e">
        <v>#DIV/0!</v>
      </c>
      <c r="M13">
        <v>2130000</v>
      </c>
      <c r="N13">
        <v>1550000</v>
      </c>
      <c r="P13" s="15"/>
      <c r="U13" s="16"/>
      <c r="Z13" s="16"/>
    </row>
    <row r="14" spans="6:29" x14ac:dyDescent="0.3">
      <c r="F14">
        <v>645</v>
      </c>
      <c r="G14">
        <v>857</v>
      </c>
      <c r="H14">
        <v>0</v>
      </c>
      <c r="I14">
        <v>200000</v>
      </c>
      <c r="J14">
        <v>2055000</v>
      </c>
      <c r="K14">
        <v>115000</v>
      </c>
      <c r="L14" t="e">
        <v>#DIV/0!</v>
      </c>
      <c r="M14">
        <v>2255000</v>
      </c>
      <c r="N14">
        <v>1335000</v>
      </c>
      <c r="P14" s="15"/>
      <c r="U14" s="16"/>
      <c r="Z14" s="16"/>
    </row>
    <row r="15" spans="6:29" x14ac:dyDescent="0.3">
      <c r="F15">
        <v>987</v>
      </c>
      <c r="G15">
        <v>1281</v>
      </c>
      <c r="H15">
        <v>805</v>
      </c>
      <c r="I15">
        <v>277000</v>
      </c>
      <c r="J15">
        <v>2512000</v>
      </c>
      <c r="K15">
        <v>198780</v>
      </c>
      <c r="L15">
        <v>246.93167701863354</v>
      </c>
      <c r="M15">
        <v>2789000</v>
      </c>
      <c r="N15">
        <v>1281000</v>
      </c>
      <c r="P15" s="15"/>
      <c r="U15" s="16"/>
      <c r="Z15" s="16"/>
    </row>
    <row r="16" spans="6:29" x14ac:dyDescent="0.3">
      <c r="F16">
        <v>1234</v>
      </c>
      <c r="G16">
        <v>1540</v>
      </c>
      <c r="H16">
        <v>1000</v>
      </c>
      <c r="I16">
        <v>415000</v>
      </c>
      <c r="J16">
        <v>2895000</v>
      </c>
      <c r="K16">
        <v>282000</v>
      </c>
      <c r="L16">
        <v>282</v>
      </c>
      <c r="M16">
        <v>3310000</v>
      </c>
      <c r="N16">
        <v>1071524</v>
      </c>
      <c r="P16" s="15"/>
      <c r="U16" s="16"/>
      <c r="Z16" s="16"/>
    </row>
    <row r="17" spans="6:26" x14ac:dyDescent="0.3">
      <c r="F17">
        <v>1379</v>
      </c>
      <c r="G17">
        <v>1512</v>
      </c>
      <c r="H17">
        <v>1063</v>
      </c>
      <c r="I17">
        <v>159700</v>
      </c>
      <c r="J17">
        <v>3485300</v>
      </c>
      <c r="K17">
        <v>170363</v>
      </c>
      <c r="L17">
        <v>160.2662276575729</v>
      </c>
      <c r="M17">
        <v>3645000</v>
      </c>
      <c r="N17">
        <v>2408391</v>
      </c>
      <c r="P17" s="15"/>
      <c r="U17" s="16"/>
      <c r="Z17" s="16"/>
    </row>
    <row r="18" spans="6:26" x14ac:dyDescent="0.3">
      <c r="F18">
        <v>245.55</v>
      </c>
      <c r="G18">
        <v>277.56</v>
      </c>
      <c r="H18">
        <v>0</v>
      </c>
      <c r="I18">
        <v>29572.3</v>
      </c>
      <c r="J18">
        <v>577347.41</v>
      </c>
      <c r="K18">
        <v>91767.9</v>
      </c>
      <c r="L18" t="e">
        <v>#DIV/0!</v>
      </c>
      <c r="M18">
        <v>606919.71000000008</v>
      </c>
      <c r="N18">
        <v>73753.03</v>
      </c>
      <c r="P18" s="15"/>
      <c r="U18" s="16"/>
      <c r="Z18" s="16"/>
    </row>
    <row r="19" spans="6:26" x14ac:dyDescent="0.3">
      <c r="F19">
        <v>259</v>
      </c>
      <c r="G19">
        <v>270</v>
      </c>
      <c r="H19">
        <v>0</v>
      </c>
      <c r="I19">
        <v>55440</v>
      </c>
      <c r="J19">
        <v>536193.14</v>
      </c>
      <c r="K19">
        <v>47458.2</v>
      </c>
      <c r="L19" t="e">
        <v>#DIV/0!</v>
      </c>
      <c r="M19">
        <v>591633.14</v>
      </c>
      <c r="N19">
        <v>133697.35999999999</v>
      </c>
      <c r="P19" s="15"/>
      <c r="U19" s="16"/>
      <c r="Z19" s="16"/>
    </row>
    <row r="20" spans="6:26" x14ac:dyDescent="0.3">
      <c r="F20">
        <v>243.81</v>
      </c>
      <c r="G20">
        <v>243.81</v>
      </c>
      <c r="H20">
        <v>0</v>
      </c>
      <c r="I20">
        <v>22131.17</v>
      </c>
      <c r="J20">
        <v>536998.32999999996</v>
      </c>
      <c r="K20">
        <v>52242.44</v>
      </c>
      <c r="L20" t="e">
        <v>#DIV/0!</v>
      </c>
      <c r="M20">
        <v>559129.5</v>
      </c>
      <c r="N20">
        <v>124891.9</v>
      </c>
      <c r="P20" s="15"/>
      <c r="U20" s="16"/>
      <c r="Z20" s="16"/>
    </row>
    <row r="21" spans="6:26" x14ac:dyDescent="0.3">
      <c r="F21">
        <v>1421</v>
      </c>
      <c r="G21">
        <v>1816</v>
      </c>
      <c r="H21">
        <v>0</v>
      </c>
      <c r="I21">
        <v>360000</v>
      </c>
      <c r="J21">
        <v>3970000</v>
      </c>
      <c r="K21">
        <v>332000</v>
      </c>
      <c r="L21" t="e">
        <v>#DIV/0!</v>
      </c>
      <c r="M21">
        <v>4330000</v>
      </c>
      <c r="N21">
        <v>1504000</v>
      </c>
      <c r="P21" s="15"/>
      <c r="U21" s="16"/>
      <c r="Z21" s="16"/>
    </row>
    <row r="22" spans="6:26" x14ac:dyDescent="0.3">
      <c r="F22">
        <v>1445</v>
      </c>
      <c r="G22">
        <v>1501</v>
      </c>
      <c r="H22">
        <v>0</v>
      </c>
      <c r="I22">
        <v>374000</v>
      </c>
      <c r="J22">
        <v>3464000</v>
      </c>
      <c r="K22">
        <v>298000</v>
      </c>
      <c r="L22" t="e">
        <v>#DIV/0!</v>
      </c>
      <c r="M22">
        <v>3838000</v>
      </c>
      <c r="N22">
        <v>1856000</v>
      </c>
      <c r="P22" s="15"/>
      <c r="U22" s="16"/>
      <c r="Z22" s="16"/>
    </row>
    <row r="23" spans="6:26" x14ac:dyDescent="0.3">
      <c r="F23">
        <v>1483</v>
      </c>
      <c r="G23">
        <v>1555</v>
      </c>
      <c r="H23">
        <v>0</v>
      </c>
      <c r="I23">
        <v>383000</v>
      </c>
      <c r="J23">
        <v>3324000</v>
      </c>
      <c r="K23">
        <v>365000</v>
      </c>
      <c r="L23" t="e">
        <v>#DIV/0!</v>
      </c>
      <c r="M23">
        <v>3707000</v>
      </c>
      <c r="N23">
        <v>2316000</v>
      </c>
      <c r="P23" s="15"/>
      <c r="U23" s="16"/>
      <c r="Z23" s="16"/>
    </row>
    <row r="24" spans="6:26" x14ac:dyDescent="0.3">
      <c r="F24">
        <v>558.44000000000005</v>
      </c>
      <c r="G24">
        <v>668.24</v>
      </c>
      <c r="H24">
        <v>2800</v>
      </c>
      <c r="I24">
        <v>67750</v>
      </c>
      <c r="J24">
        <v>1602000</v>
      </c>
      <c r="K24">
        <v>350000</v>
      </c>
      <c r="L24">
        <v>125</v>
      </c>
      <c r="M24">
        <v>1669750</v>
      </c>
      <c r="N24">
        <v>777000</v>
      </c>
      <c r="P24" s="15"/>
      <c r="U24" s="16"/>
      <c r="Z24" s="16"/>
    </row>
    <row r="25" spans="6:26" x14ac:dyDescent="0.3">
      <c r="F25">
        <v>569.79999999999995</v>
      </c>
      <c r="G25">
        <v>611.55999999999995</v>
      </c>
      <c r="H25">
        <v>2800</v>
      </c>
      <c r="I25">
        <v>147400</v>
      </c>
      <c r="J25">
        <v>1555000</v>
      </c>
      <c r="K25">
        <v>192000</v>
      </c>
      <c r="L25">
        <v>68.571428571428569</v>
      </c>
      <c r="M25">
        <v>1702400</v>
      </c>
      <c r="N25">
        <v>1000000</v>
      </c>
      <c r="P25" s="15"/>
      <c r="U25" s="16"/>
      <c r="Z25" s="16"/>
    </row>
    <row r="26" spans="6:26" x14ac:dyDescent="0.3">
      <c r="F26">
        <v>440.8</v>
      </c>
      <c r="G26">
        <v>629.6</v>
      </c>
      <c r="H26">
        <v>2800</v>
      </c>
      <c r="I26">
        <v>70100</v>
      </c>
      <c r="J26">
        <v>1434670</v>
      </c>
      <c r="K26">
        <v>390595</v>
      </c>
      <c r="L26">
        <v>139.49821428571428</v>
      </c>
      <c r="M26">
        <v>1504770</v>
      </c>
      <c r="N26">
        <v>889506</v>
      </c>
      <c r="P26" s="15"/>
      <c r="U26" s="16"/>
      <c r="Z26" s="16"/>
    </row>
  </sheetData>
  <autoFilter ref="F2:N27" xr:uid="{FDFB83B6-9D48-440A-9EF0-232DFA49988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07D0-8F82-4DD7-92F4-251359A10AF7}">
  <dimension ref="E1:W26"/>
  <sheetViews>
    <sheetView topLeftCell="L6" zoomScale="84" workbookViewId="0">
      <selection activeCell="T34" sqref="T34"/>
    </sheetView>
  </sheetViews>
  <sheetFormatPr baseColWidth="10" defaultRowHeight="14.4" x14ac:dyDescent="0.3"/>
  <cols>
    <col min="6" max="6" width="17.21875" customWidth="1"/>
    <col min="8" max="8" width="17.21875" customWidth="1"/>
    <col min="14" max="14" width="14.44140625" customWidth="1"/>
    <col min="15" max="15" width="19.88671875" customWidth="1"/>
    <col min="16" max="17" width="23.5546875" customWidth="1"/>
  </cols>
  <sheetData>
    <row r="1" spans="5:23" ht="15" thickBot="1" x14ac:dyDescent="0.35">
      <c r="R1" s="72" t="s">
        <v>112</v>
      </c>
      <c r="S1" s="73"/>
      <c r="T1" s="73"/>
      <c r="U1" s="74" t="s">
        <v>113</v>
      </c>
      <c r="V1" s="75"/>
      <c r="W1" s="76"/>
    </row>
    <row r="2" spans="5:23" ht="43.2" x14ac:dyDescent="0.3">
      <c r="E2" s="13"/>
      <c r="F2" s="18" t="s">
        <v>0</v>
      </c>
      <c r="G2" s="12" t="s">
        <v>1</v>
      </c>
      <c r="H2" s="12" t="s">
        <v>8</v>
      </c>
      <c r="I2" s="12" t="s">
        <v>13</v>
      </c>
      <c r="J2" s="12" t="s">
        <v>17</v>
      </c>
      <c r="K2" s="12" t="s">
        <v>20</v>
      </c>
      <c r="M2" s="79" t="s">
        <v>100</v>
      </c>
      <c r="N2" s="80" t="s">
        <v>101</v>
      </c>
      <c r="O2" s="80" t="s">
        <v>102</v>
      </c>
      <c r="P2" s="81" t="s">
        <v>103</v>
      </c>
      <c r="Q2" s="12"/>
      <c r="R2" s="55" t="s">
        <v>101</v>
      </c>
      <c r="S2" s="56" t="s">
        <v>102</v>
      </c>
      <c r="T2" s="68" t="s">
        <v>103</v>
      </c>
      <c r="U2" s="55" t="s">
        <v>101</v>
      </c>
      <c r="V2" s="56" t="s">
        <v>102</v>
      </c>
      <c r="W2" s="57" t="s">
        <v>103</v>
      </c>
    </row>
    <row r="3" spans="5:23" ht="34.200000000000003" thickBot="1" x14ac:dyDescent="0.35">
      <c r="F3" s="18"/>
      <c r="G3" s="12"/>
      <c r="H3" s="12"/>
      <c r="I3" s="12"/>
      <c r="J3" s="12"/>
      <c r="K3" s="12"/>
      <c r="M3" s="89"/>
      <c r="N3" s="93" t="s">
        <v>87</v>
      </c>
      <c r="O3" s="93" t="s">
        <v>89</v>
      </c>
      <c r="P3" s="94" t="s">
        <v>91</v>
      </c>
      <c r="Q3" s="12"/>
      <c r="R3" s="97"/>
      <c r="S3" s="95"/>
      <c r="T3" s="96"/>
      <c r="U3" s="95"/>
      <c r="V3" s="95"/>
      <c r="W3" s="96"/>
    </row>
    <row r="4" spans="5:23" x14ac:dyDescent="0.3">
      <c r="F4" s="51" t="s">
        <v>93</v>
      </c>
      <c r="G4" s="47" t="s">
        <v>110</v>
      </c>
      <c r="H4" s="50" t="s">
        <v>94</v>
      </c>
      <c r="I4" s="50" t="s">
        <v>18</v>
      </c>
      <c r="J4" s="50">
        <v>300</v>
      </c>
      <c r="K4" s="3" t="s">
        <v>23</v>
      </c>
      <c r="L4" s="77" t="s">
        <v>98</v>
      </c>
      <c r="M4" s="82"/>
      <c r="N4" s="83" cm="1">
        <f t="array" ref="N4:P26">TRANSPOSE('BDD Antoine'!E34:AA36)</f>
        <v>2231.2937677954387</v>
      </c>
      <c r="O4" s="84">
        <v>2069.9357042156184</v>
      </c>
      <c r="P4" s="85">
        <v>1884.3914485141675</v>
      </c>
      <c r="Q4" s="47" t="s">
        <v>114</v>
      </c>
      <c r="R4" s="61">
        <f>N5</f>
        <v>2312.3123712943639</v>
      </c>
      <c r="S4" s="67">
        <f t="shared" ref="S4:T4" si="0">O5</f>
        <v>2210.2765160219437</v>
      </c>
      <c r="T4" s="67">
        <f t="shared" si="0"/>
        <v>2000.3787263556055</v>
      </c>
      <c r="U4" s="61">
        <f>AVERAGE(N4:N6)</f>
        <v>2409.8066761664541</v>
      </c>
      <c r="V4" s="67">
        <f>AVERAGE(O4:O6)</f>
        <v>2273.8048527630508</v>
      </c>
      <c r="W4" s="69">
        <f>AVERAGE(P4:P6)</f>
        <v>2094.8234420349145</v>
      </c>
    </row>
    <row r="5" spans="5:23" x14ac:dyDescent="0.3">
      <c r="F5" s="51"/>
      <c r="G5" s="48"/>
      <c r="H5" s="50"/>
      <c r="I5" s="50"/>
      <c r="J5" s="50"/>
      <c r="K5" s="62" t="s">
        <v>24</v>
      </c>
      <c r="L5" s="78" t="s">
        <v>32</v>
      </c>
      <c r="M5" s="82"/>
      <c r="N5" s="86">
        <v>2312.3123712943639</v>
      </c>
      <c r="O5" s="87">
        <v>2210.2765160219437</v>
      </c>
      <c r="P5" s="88">
        <v>2000.3787263556055</v>
      </c>
      <c r="Q5" s="48"/>
      <c r="R5" s="58"/>
      <c r="S5" s="59"/>
      <c r="T5" s="59"/>
      <c r="U5" s="58"/>
      <c r="V5" s="59"/>
      <c r="W5" s="60"/>
    </row>
    <row r="6" spans="5:23" x14ac:dyDescent="0.3">
      <c r="F6" s="51"/>
      <c r="G6" s="49"/>
      <c r="H6" s="50"/>
      <c r="I6" s="50"/>
      <c r="J6" s="50"/>
      <c r="K6" s="3" t="s">
        <v>25</v>
      </c>
      <c r="L6" s="77" t="s">
        <v>97</v>
      </c>
      <c r="M6" s="82"/>
      <c r="N6" s="83">
        <v>2685.8138894095587</v>
      </c>
      <c r="O6" s="84">
        <v>2541.2023380515907</v>
      </c>
      <c r="P6" s="85">
        <v>2399.7001512349711</v>
      </c>
      <c r="Q6" s="49"/>
      <c r="R6" s="58"/>
      <c r="S6" s="59"/>
      <c r="T6" s="59"/>
      <c r="U6" s="58"/>
      <c r="V6" s="59"/>
      <c r="W6" s="60"/>
    </row>
    <row r="7" spans="5:23" x14ac:dyDescent="0.3">
      <c r="F7" s="51" t="s">
        <v>95</v>
      </c>
      <c r="G7" s="47" t="s">
        <v>111</v>
      </c>
      <c r="H7" s="50" t="s">
        <v>96</v>
      </c>
      <c r="I7" s="50" t="s">
        <v>18</v>
      </c>
      <c r="J7" s="50">
        <v>160</v>
      </c>
      <c r="K7" s="3" t="s">
        <v>23</v>
      </c>
      <c r="L7" s="77" t="s">
        <v>35</v>
      </c>
      <c r="M7" s="82"/>
      <c r="N7" s="83">
        <v>2384.7517730496452</v>
      </c>
      <c r="O7" s="84">
        <v>2271.5786303191489</v>
      </c>
      <c r="P7" s="85">
        <v>2113.156644503546</v>
      </c>
      <c r="Q7" s="47" t="s">
        <v>111</v>
      </c>
      <c r="R7" s="61">
        <f>N8</f>
        <v>2149.8700826086956</v>
      </c>
      <c r="S7" s="67">
        <f t="shared" ref="S7:T7" si="1">O8</f>
        <v>2002.4451098369564</v>
      </c>
      <c r="T7" s="67">
        <f t="shared" si="1"/>
        <v>1791.1300663586958</v>
      </c>
      <c r="U7" s="61">
        <f>AVERAGE(N7:N9)</f>
        <v>2293.3319103154408</v>
      </c>
      <c r="V7" s="67">
        <f t="shared" ref="V7:W7" si="2">AVERAGE(O7:O9)</f>
        <v>2132.4861867368822</v>
      </c>
      <c r="W7" s="69">
        <f t="shared" si="2"/>
        <v>1942.9593311672727</v>
      </c>
    </row>
    <row r="8" spans="5:23" x14ac:dyDescent="0.3">
      <c r="F8" s="51"/>
      <c r="G8" s="48"/>
      <c r="H8" s="50"/>
      <c r="I8" s="50"/>
      <c r="J8" s="50"/>
      <c r="K8" s="62" t="s">
        <v>24</v>
      </c>
      <c r="L8" s="78" t="s">
        <v>99</v>
      </c>
      <c r="M8" s="82"/>
      <c r="N8" s="86">
        <v>2149.8700826086956</v>
      </c>
      <c r="O8" s="87">
        <v>2002.4451098369564</v>
      </c>
      <c r="P8" s="88">
        <v>1791.1300663586958</v>
      </c>
      <c r="Q8" s="48"/>
      <c r="R8" s="58"/>
      <c r="S8" s="59"/>
      <c r="T8" s="59"/>
      <c r="U8" s="58"/>
      <c r="V8" s="59"/>
      <c r="W8" s="60"/>
    </row>
    <row r="9" spans="5:23" x14ac:dyDescent="0.3">
      <c r="F9" s="51"/>
      <c r="G9" s="49"/>
      <c r="H9" s="50"/>
      <c r="I9" s="50"/>
      <c r="J9" s="50"/>
      <c r="K9" s="3" t="s">
        <v>25</v>
      </c>
      <c r="L9" s="77" t="s">
        <v>41</v>
      </c>
      <c r="M9" s="82"/>
      <c r="N9" s="83">
        <v>2345.3738752879813</v>
      </c>
      <c r="O9" s="84">
        <v>2123.4348200545423</v>
      </c>
      <c r="P9" s="85">
        <v>1924.5912826395765</v>
      </c>
      <c r="Q9" s="49"/>
      <c r="R9" s="58"/>
      <c r="S9" s="59"/>
      <c r="T9" s="59"/>
      <c r="U9" s="58"/>
      <c r="V9" s="59"/>
      <c r="W9" s="60"/>
    </row>
    <row r="10" spans="5:23" x14ac:dyDescent="0.3">
      <c r="F10" s="51" t="s">
        <v>2</v>
      </c>
      <c r="G10" s="44" t="s">
        <v>9</v>
      </c>
      <c r="H10" s="50" t="s">
        <v>14</v>
      </c>
      <c r="I10" s="50" t="s">
        <v>18</v>
      </c>
      <c r="J10" s="50">
        <v>8</v>
      </c>
      <c r="K10" s="3" t="s">
        <v>23</v>
      </c>
      <c r="L10" s="77" t="s">
        <v>31</v>
      </c>
      <c r="M10" s="82"/>
      <c r="N10" s="83">
        <v>2161.1997765630613</v>
      </c>
      <c r="O10" s="84">
        <v>1922.6179826836371</v>
      </c>
      <c r="P10" s="85">
        <v>1806.0118301879265</v>
      </c>
      <c r="Q10" s="44" t="s">
        <v>9</v>
      </c>
      <c r="R10" s="61">
        <f>N11</f>
        <v>2003.547899550457</v>
      </c>
      <c r="S10" s="67">
        <f t="shared" ref="S10:T10" si="3">O11</f>
        <v>1776.1722988683923</v>
      </c>
      <c r="T10" s="67">
        <f t="shared" si="3"/>
        <v>1675.8487056270344</v>
      </c>
      <c r="U10" s="61">
        <f>AVERAGE(N10:N12)</f>
        <v>2176.9696102910825</v>
      </c>
      <c r="V10" s="67">
        <f t="shared" ref="V10:W10" si="4">AVERAGE(O10:O12)</f>
        <v>1937.6995682401036</v>
      </c>
      <c r="W10" s="69">
        <f t="shared" si="4"/>
        <v>1809.7401006465243</v>
      </c>
    </row>
    <row r="11" spans="5:23" x14ac:dyDescent="0.3">
      <c r="F11" s="51"/>
      <c r="G11" s="45"/>
      <c r="H11" s="50"/>
      <c r="I11" s="50"/>
      <c r="J11" s="50"/>
      <c r="K11" s="62" t="s">
        <v>24</v>
      </c>
      <c r="L11" s="78" t="s">
        <v>32</v>
      </c>
      <c r="M11" s="82"/>
      <c r="N11" s="86">
        <v>2003.547899550457</v>
      </c>
      <c r="O11" s="87">
        <v>1776.1722988683923</v>
      </c>
      <c r="P11" s="88">
        <v>1675.8487056270344</v>
      </c>
      <c r="Q11" s="45"/>
      <c r="R11" s="58"/>
      <c r="S11" s="59"/>
      <c r="T11" s="59"/>
      <c r="U11" s="58"/>
      <c r="V11" s="59"/>
      <c r="W11" s="60"/>
    </row>
    <row r="12" spans="5:23" x14ac:dyDescent="0.3">
      <c r="F12" s="51"/>
      <c r="G12" s="46"/>
      <c r="H12" s="50"/>
      <c r="I12" s="50"/>
      <c r="J12" s="50"/>
      <c r="K12" s="3" t="s">
        <v>25</v>
      </c>
      <c r="L12" s="77" t="s">
        <v>33</v>
      </c>
      <c r="M12" s="82"/>
      <c r="N12" s="83">
        <v>2366.1611547597299</v>
      </c>
      <c r="O12" s="84">
        <v>2114.308423168281</v>
      </c>
      <c r="P12" s="85">
        <v>1947.359766124612</v>
      </c>
      <c r="Q12" s="46"/>
      <c r="R12" s="58"/>
      <c r="S12" s="59"/>
      <c r="T12" s="59"/>
      <c r="U12" s="58"/>
      <c r="V12" s="59"/>
      <c r="W12" s="60"/>
    </row>
    <row r="13" spans="5:23" x14ac:dyDescent="0.3">
      <c r="F13" s="44" t="s">
        <v>3</v>
      </c>
      <c r="G13" s="44" t="s">
        <v>10</v>
      </c>
      <c r="H13" s="52" t="s">
        <v>15</v>
      </c>
      <c r="I13" s="52" t="s">
        <v>18</v>
      </c>
      <c r="J13" s="52">
        <v>7</v>
      </c>
      <c r="K13" s="62" t="s">
        <v>24</v>
      </c>
      <c r="L13" s="78" t="s">
        <v>35</v>
      </c>
      <c r="M13" s="82"/>
      <c r="N13" s="86">
        <v>2115.19364448858</v>
      </c>
      <c r="O13" s="87">
        <v>1842.1052631578948</v>
      </c>
      <c r="P13" s="88">
        <v>1782.5223435948362</v>
      </c>
      <c r="Q13" s="44" t="s">
        <v>10</v>
      </c>
      <c r="R13" s="61">
        <f>N13</f>
        <v>2115.19364448858</v>
      </c>
      <c r="S13" s="67">
        <f t="shared" ref="S13:T13" si="5">O13</f>
        <v>1842.1052631578948</v>
      </c>
      <c r="T13" s="67">
        <f t="shared" si="5"/>
        <v>1782.5223435948362</v>
      </c>
      <c r="U13" s="61">
        <f>AVERAGE(N13:N14)</f>
        <v>2373.2327615675104</v>
      </c>
      <c r="V13" s="67">
        <f t="shared" ref="V13:W13" si="6">AVERAGE(O13:O14)</f>
        <v>2169.5940551495423</v>
      </c>
      <c r="W13" s="69">
        <f t="shared" si="6"/>
        <v>2023.116481015621</v>
      </c>
    </row>
    <row r="14" spans="5:23" x14ac:dyDescent="0.3">
      <c r="F14" s="46"/>
      <c r="G14" s="46"/>
      <c r="H14" s="53"/>
      <c r="I14" s="53"/>
      <c r="J14" s="53"/>
      <c r="K14" s="3" t="s">
        <v>25</v>
      </c>
      <c r="L14" s="77" t="s">
        <v>36</v>
      </c>
      <c r="M14" s="82"/>
      <c r="N14" s="83">
        <v>2631.2718786464411</v>
      </c>
      <c r="O14" s="84">
        <v>2497.0828471411901</v>
      </c>
      <c r="P14" s="85">
        <v>2263.7106184364061</v>
      </c>
      <c r="Q14" s="46"/>
      <c r="R14" s="58"/>
      <c r="S14" s="59"/>
      <c r="T14" s="59"/>
      <c r="U14" s="58"/>
      <c r="V14" s="59"/>
      <c r="W14" s="60"/>
    </row>
    <row r="15" spans="5:23" x14ac:dyDescent="0.3">
      <c r="F15" s="51" t="s">
        <v>5</v>
      </c>
      <c r="G15" s="44" t="s">
        <v>11</v>
      </c>
      <c r="H15" s="50" t="s">
        <v>16</v>
      </c>
      <c r="I15" s="50" t="s">
        <v>18</v>
      </c>
      <c r="J15" s="50" t="s">
        <v>21</v>
      </c>
      <c r="K15" s="3" t="s">
        <v>23</v>
      </c>
      <c r="L15" s="77" t="s">
        <v>34</v>
      </c>
      <c r="M15" s="82"/>
      <c r="N15" s="83">
        <v>2177.2053083528494</v>
      </c>
      <c r="O15" s="84">
        <v>2022.0296643247464</v>
      </c>
      <c r="P15" s="85">
        <v>1805.7923497267759</v>
      </c>
      <c r="Q15" s="44" t="s">
        <v>11</v>
      </c>
      <c r="R15" s="61">
        <f>N16</f>
        <v>2149.3506493506493</v>
      </c>
      <c r="S15" s="67">
        <f t="shared" ref="S15:T15" si="7">O16</f>
        <v>1966.2337662337663</v>
      </c>
      <c r="T15" s="67">
        <f t="shared" si="7"/>
        <v>1696.7532467532467</v>
      </c>
      <c r="U15" s="61">
        <f>AVERAGE(N15:N17)</f>
        <v>2245.7567478059282</v>
      </c>
      <c r="V15" s="67">
        <f t="shared" ref="V15:W15" si="8">AVERAGE(O15:O17)</f>
        <v>2095.4345914912851</v>
      </c>
      <c r="W15" s="69">
        <f t="shared" si="8"/>
        <v>1898.3214157578911</v>
      </c>
    </row>
    <row r="16" spans="5:23" x14ac:dyDescent="0.3">
      <c r="F16" s="51"/>
      <c r="G16" s="45"/>
      <c r="H16" s="50"/>
      <c r="I16" s="50"/>
      <c r="J16" s="50"/>
      <c r="K16" s="62" t="s">
        <v>24</v>
      </c>
      <c r="L16" s="78" t="s">
        <v>40</v>
      </c>
      <c r="M16" s="82"/>
      <c r="N16" s="86">
        <v>2149.3506493506493</v>
      </c>
      <c r="O16" s="87">
        <v>1966.2337662337663</v>
      </c>
      <c r="P16" s="88">
        <v>1696.7532467532467</v>
      </c>
      <c r="Q16" s="45"/>
      <c r="R16" s="58"/>
      <c r="S16" s="59"/>
      <c r="T16" s="59"/>
      <c r="U16" s="58"/>
      <c r="V16" s="59"/>
      <c r="W16" s="60"/>
    </row>
    <row r="17" spans="6:23" x14ac:dyDescent="0.3">
      <c r="F17" s="51"/>
      <c r="G17" s="46"/>
      <c r="H17" s="50"/>
      <c r="I17" s="50"/>
      <c r="J17" s="50"/>
      <c r="K17" s="3" t="s">
        <v>25</v>
      </c>
      <c r="L17" s="77" t="s">
        <v>41</v>
      </c>
      <c r="M17" s="82"/>
      <c r="N17" s="83">
        <v>2410.7142857142858</v>
      </c>
      <c r="O17" s="84">
        <v>2298.0403439153438</v>
      </c>
      <c r="P17" s="85">
        <v>2192.4186507936506</v>
      </c>
      <c r="Q17" s="46"/>
      <c r="R17" s="58"/>
      <c r="S17" s="59"/>
      <c r="T17" s="59"/>
      <c r="U17" s="58"/>
      <c r="V17" s="59"/>
      <c r="W17" s="60"/>
    </row>
    <row r="18" spans="6:23" x14ac:dyDescent="0.3">
      <c r="F18" s="51" t="s">
        <v>6</v>
      </c>
      <c r="G18" s="44" t="s">
        <v>11</v>
      </c>
      <c r="H18" s="63" t="s">
        <v>14</v>
      </c>
      <c r="I18" s="63" t="s">
        <v>19</v>
      </c>
      <c r="J18" s="63">
        <v>3</v>
      </c>
      <c r="K18" s="62" t="s">
        <v>23</v>
      </c>
      <c r="L18" s="78" t="s">
        <v>42</v>
      </c>
      <c r="M18" s="82"/>
      <c r="N18" s="86">
        <v>2186.6252702118463</v>
      </c>
      <c r="O18" s="87">
        <v>1856.0016212710766</v>
      </c>
      <c r="P18" s="88">
        <v>1749.4578109237643</v>
      </c>
      <c r="Q18" s="44" t="s">
        <v>11</v>
      </c>
      <c r="R18" s="61">
        <f>N18</f>
        <v>2186.6252702118463</v>
      </c>
      <c r="S18" s="67">
        <f t="shared" ref="S18:T18" si="9">O18</f>
        <v>1856.0016212710766</v>
      </c>
      <c r="T18" s="67">
        <f t="shared" si="9"/>
        <v>1749.4578109237643</v>
      </c>
      <c r="U18" s="61">
        <f t="shared" ref="U18" si="10">AVERAGE(N18:N20)</f>
        <v>2223.7197442685565</v>
      </c>
      <c r="V18" s="67">
        <f t="shared" ref="V18" si="11">AVERAGE(O18:O20)</f>
        <v>1983.4964194825225</v>
      </c>
      <c r="W18" s="69">
        <f t="shared" ref="W18" si="12">AVERAGE(P18:P20)</f>
        <v>1849.2799717010828</v>
      </c>
    </row>
    <row r="19" spans="6:23" x14ac:dyDescent="0.3">
      <c r="F19" s="51"/>
      <c r="G19" s="45"/>
      <c r="H19" s="64"/>
      <c r="I19" s="64"/>
      <c r="J19" s="64"/>
      <c r="K19" s="3" t="s">
        <v>24</v>
      </c>
      <c r="L19" s="77" t="s">
        <v>43</v>
      </c>
      <c r="M19" s="82"/>
      <c r="N19" s="83">
        <v>2191.2338518518518</v>
      </c>
      <c r="O19" s="84">
        <v>2015.4627407407409</v>
      </c>
      <c r="P19" s="85">
        <v>1810.1294074074074</v>
      </c>
      <c r="Q19" s="45"/>
      <c r="R19" s="58"/>
      <c r="S19" s="59"/>
      <c r="T19" s="59"/>
      <c r="U19" s="58"/>
      <c r="V19" s="59"/>
      <c r="W19" s="60"/>
    </row>
    <row r="20" spans="6:23" x14ac:dyDescent="0.3">
      <c r="F20" s="51"/>
      <c r="G20" s="46"/>
      <c r="H20" s="65"/>
      <c r="I20" s="65"/>
      <c r="J20" s="65"/>
      <c r="K20" s="3" t="s">
        <v>25</v>
      </c>
      <c r="L20" s="77" t="s">
        <v>44</v>
      </c>
      <c r="M20" s="82"/>
      <c r="N20" s="83">
        <v>2293.3001107419714</v>
      </c>
      <c r="O20" s="84">
        <v>2079.0248964357493</v>
      </c>
      <c r="P20" s="85">
        <v>1988.2526967720764</v>
      </c>
      <c r="Q20" s="46"/>
      <c r="R20" s="58"/>
      <c r="S20" s="59"/>
      <c r="T20" s="59"/>
      <c r="U20" s="58"/>
      <c r="V20" s="59"/>
      <c r="W20" s="60"/>
    </row>
    <row r="21" spans="6:23" x14ac:dyDescent="0.3">
      <c r="F21" s="51" t="s">
        <v>4</v>
      </c>
      <c r="G21" s="44" t="s">
        <v>11</v>
      </c>
      <c r="H21" s="50" t="s">
        <v>16</v>
      </c>
      <c r="I21" s="50" t="s">
        <v>18</v>
      </c>
      <c r="J21" s="50">
        <v>24</v>
      </c>
      <c r="K21" s="3" t="s">
        <v>23</v>
      </c>
      <c r="L21" s="77" t="s">
        <v>37</v>
      </c>
      <c r="M21" s="82"/>
      <c r="N21" s="83">
        <v>2384.361233480176</v>
      </c>
      <c r="O21" s="84">
        <v>2201.5418502202642</v>
      </c>
      <c r="P21" s="85">
        <v>2003.3039647577093</v>
      </c>
      <c r="Q21" s="44" t="s">
        <v>11</v>
      </c>
      <c r="R21" s="61">
        <f>N23</f>
        <v>2383.9228295819935</v>
      </c>
      <c r="S21" s="67">
        <f t="shared" ref="S21:T21" si="13">O23</f>
        <v>2149.1961414790999</v>
      </c>
      <c r="T21" s="67">
        <f t="shared" si="13"/>
        <v>1902.8938906752412</v>
      </c>
      <c r="U21" s="61">
        <f t="shared" ref="U21" si="14">AVERAGE(N21:N23)</f>
        <v>2441.7486961262089</v>
      </c>
      <c r="V21" s="67">
        <f t="shared" ref="V21" si="15">AVERAGE(O21:O23)</f>
        <v>2236.3885688520422</v>
      </c>
      <c r="W21" s="69">
        <f t="shared" ref="W21" si="16">AVERAGE(P21:P23)</f>
        <v>2005.1527828125381</v>
      </c>
    </row>
    <row r="22" spans="6:23" x14ac:dyDescent="0.3">
      <c r="F22" s="51"/>
      <c r="G22" s="45"/>
      <c r="H22" s="50"/>
      <c r="I22" s="50"/>
      <c r="J22" s="50"/>
      <c r="K22" s="3" t="s">
        <v>24</v>
      </c>
      <c r="L22" s="77" t="s">
        <v>38</v>
      </c>
      <c r="M22" s="82"/>
      <c r="N22" s="83">
        <v>2556.9620253164558</v>
      </c>
      <c r="O22" s="84">
        <v>2358.4277148567621</v>
      </c>
      <c r="P22" s="85">
        <v>2109.2604930046637</v>
      </c>
      <c r="Q22" s="45"/>
      <c r="R22" s="58"/>
      <c r="S22" s="59"/>
      <c r="T22" s="59"/>
      <c r="U22" s="58"/>
      <c r="V22" s="59"/>
      <c r="W22" s="60"/>
    </row>
    <row r="23" spans="6:23" ht="28.8" x14ac:dyDescent="0.3">
      <c r="F23" s="51"/>
      <c r="G23" s="46"/>
      <c r="H23" s="50"/>
      <c r="I23" s="50"/>
      <c r="J23" s="50"/>
      <c r="K23" s="62" t="s">
        <v>25</v>
      </c>
      <c r="L23" s="78" t="s">
        <v>39</v>
      </c>
      <c r="M23" s="82"/>
      <c r="N23" s="86">
        <v>2383.9228295819935</v>
      </c>
      <c r="O23" s="87">
        <v>2149.1961414790999</v>
      </c>
      <c r="P23" s="88">
        <v>1902.8938906752412</v>
      </c>
      <c r="Q23" s="46"/>
      <c r="R23" s="58"/>
      <c r="S23" s="59"/>
      <c r="T23" s="59"/>
      <c r="U23" s="58"/>
      <c r="V23" s="59"/>
      <c r="W23" s="60"/>
    </row>
    <row r="24" spans="6:23" x14ac:dyDescent="0.3">
      <c r="F24" s="51" t="s">
        <v>7</v>
      </c>
      <c r="G24" s="44" t="s">
        <v>12</v>
      </c>
      <c r="H24" s="50" t="s">
        <v>14</v>
      </c>
      <c r="I24" s="50" t="s">
        <v>18</v>
      </c>
      <c r="J24" s="50">
        <v>8</v>
      </c>
      <c r="K24" s="3" t="s">
        <v>23</v>
      </c>
      <c r="L24" s="77" t="s">
        <v>32</v>
      </c>
      <c r="M24" s="82"/>
      <c r="N24" s="83">
        <v>2498.7280019154796</v>
      </c>
      <c r="O24" s="84">
        <v>1974.9640847599665</v>
      </c>
      <c r="P24" s="85">
        <v>1873.5783550820065</v>
      </c>
      <c r="Q24" s="44" t="s">
        <v>12</v>
      </c>
      <c r="R24" s="61">
        <f>N25</f>
        <v>2783.7006998495654</v>
      </c>
      <c r="S24" s="67">
        <f t="shared" ref="S24:T24" si="17">O25</f>
        <v>2469.7494930996145</v>
      </c>
      <c r="T24" s="67">
        <f t="shared" si="17"/>
        <v>2228.7265354176207</v>
      </c>
      <c r="U24" s="61">
        <f t="shared" ref="U24" si="18">AVERAGE(N24:N26)</f>
        <v>2557.4899992753453</v>
      </c>
      <c r="V24" s="67">
        <f t="shared" ref="V24" si="19">AVERAGE(O24:O26)</f>
        <v>2071.4563048604364</v>
      </c>
      <c r="W24" s="69">
        <f t="shared" ref="W24" si="20">AVERAGE(P24:P26)</f>
        <v>1920.2065645163939</v>
      </c>
    </row>
    <row r="25" spans="6:23" ht="43.2" x14ac:dyDescent="0.3">
      <c r="F25" s="51"/>
      <c r="G25" s="45"/>
      <c r="H25" s="50"/>
      <c r="I25" s="50"/>
      <c r="J25" s="50"/>
      <c r="K25" s="62" t="s">
        <v>24</v>
      </c>
      <c r="L25" s="78" t="s">
        <v>45</v>
      </c>
      <c r="M25" s="82"/>
      <c r="N25" s="86">
        <v>2783.7006998495654</v>
      </c>
      <c r="O25" s="87">
        <v>2469.7494930996145</v>
      </c>
      <c r="P25" s="88">
        <v>2228.7265354176207</v>
      </c>
      <c r="Q25" s="45"/>
      <c r="R25" s="58"/>
      <c r="S25" s="59"/>
      <c r="T25" s="59"/>
      <c r="U25" s="58"/>
      <c r="V25" s="59"/>
      <c r="W25" s="60"/>
    </row>
    <row r="26" spans="6:23" ht="15" thickBot="1" x14ac:dyDescent="0.35">
      <c r="F26" s="51"/>
      <c r="G26" s="46"/>
      <c r="H26" s="50"/>
      <c r="I26" s="50"/>
      <c r="J26" s="50"/>
      <c r="K26" s="3" t="s">
        <v>25</v>
      </c>
      <c r="L26" s="77" t="s">
        <v>46</v>
      </c>
      <c r="M26" s="89"/>
      <c r="N26" s="90">
        <v>2390.041296060991</v>
      </c>
      <c r="O26" s="91">
        <v>1769.655336721728</v>
      </c>
      <c r="P26" s="92">
        <v>1658.3148030495552</v>
      </c>
      <c r="Q26" s="46"/>
      <c r="R26" s="66"/>
      <c r="S26" s="70"/>
      <c r="T26" s="70"/>
      <c r="U26" s="66"/>
      <c r="V26" s="70"/>
      <c r="W26" s="71"/>
    </row>
  </sheetData>
  <mergeCells count="98">
    <mergeCell ref="Q4:Q6"/>
    <mergeCell ref="Q7:Q9"/>
    <mergeCell ref="Q10:Q12"/>
    <mergeCell ref="Q13:Q14"/>
    <mergeCell ref="Q15:Q17"/>
    <mergeCell ref="Q18:Q20"/>
    <mergeCell ref="U24:U26"/>
    <mergeCell ref="V24:V26"/>
    <mergeCell ref="W24:W26"/>
    <mergeCell ref="H18:H20"/>
    <mergeCell ref="I18:I20"/>
    <mergeCell ref="J18:J20"/>
    <mergeCell ref="Q21:Q23"/>
    <mergeCell ref="Q24:Q26"/>
    <mergeCell ref="U18:U20"/>
    <mergeCell ref="V18:V20"/>
    <mergeCell ref="W18:W20"/>
    <mergeCell ref="U21:U23"/>
    <mergeCell ref="V21:V23"/>
    <mergeCell ref="W21:W23"/>
    <mergeCell ref="U13:U14"/>
    <mergeCell ref="V13:V14"/>
    <mergeCell ref="W13:W14"/>
    <mergeCell ref="U15:U17"/>
    <mergeCell ref="V15:V17"/>
    <mergeCell ref="W15:W17"/>
    <mergeCell ref="W4:W6"/>
    <mergeCell ref="U7:U9"/>
    <mergeCell ref="V7:V9"/>
    <mergeCell ref="W7:W9"/>
    <mergeCell ref="U10:U12"/>
    <mergeCell ref="V10:V12"/>
    <mergeCell ref="W10:W12"/>
    <mergeCell ref="R21:R23"/>
    <mergeCell ref="S21:S23"/>
    <mergeCell ref="T21:T23"/>
    <mergeCell ref="R24:R26"/>
    <mergeCell ref="S24:S26"/>
    <mergeCell ref="T24:T26"/>
    <mergeCell ref="R15:R17"/>
    <mergeCell ref="S15:S17"/>
    <mergeCell ref="T15:T17"/>
    <mergeCell ref="R18:R20"/>
    <mergeCell ref="S18:S20"/>
    <mergeCell ref="T18:T20"/>
    <mergeCell ref="R10:R12"/>
    <mergeCell ref="S10:S12"/>
    <mergeCell ref="T10:T12"/>
    <mergeCell ref="R13:R14"/>
    <mergeCell ref="S13:S14"/>
    <mergeCell ref="T13:T14"/>
    <mergeCell ref="R1:T1"/>
    <mergeCell ref="U1:W1"/>
    <mergeCell ref="R4:R6"/>
    <mergeCell ref="S4:S6"/>
    <mergeCell ref="T4:T6"/>
    <mergeCell ref="R7:R9"/>
    <mergeCell ref="S7:S9"/>
    <mergeCell ref="T7:T9"/>
    <mergeCell ref="U4:U6"/>
    <mergeCell ref="V4:V6"/>
    <mergeCell ref="F21:F23"/>
    <mergeCell ref="G21:G23"/>
    <mergeCell ref="H21:H23"/>
    <mergeCell ref="I21:I23"/>
    <mergeCell ref="J21:J23"/>
    <mergeCell ref="F24:F26"/>
    <mergeCell ref="G24:G26"/>
    <mergeCell ref="H24:H26"/>
    <mergeCell ref="I24:I26"/>
    <mergeCell ref="J24:J26"/>
    <mergeCell ref="F15:F17"/>
    <mergeCell ref="G15:G17"/>
    <mergeCell ref="H15:H17"/>
    <mergeCell ref="I15:I17"/>
    <mergeCell ref="J15:J17"/>
    <mergeCell ref="F18:F20"/>
    <mergeCell ref="G18:G20"/>
    <mergeCell ref="F10:F12"/>
    <mergeCell ref="G10:G12"/>
    <mergeCell ref="H10:H12"/>
    <mergeCell ref="I10:I12"/>
    <mergeCell ref="J10:J12"/>
    <mergeCell ref="F13:F14"/>
    <mergeCell ref="G13:G14"/>
    <mergeCell ref="H13:H14"/>
    <mergeCell ref="I13:I14"/>
    <mergeCell ref="J13:J14"/>
    <mergeCell ref="F4:F6"/>
    <mergeCell ref="G4:G6"/>
    <mergeCell ref="H4:H6"/>
    <mergeCell ref="I4:I6"/>
    <mergeCell ref="J4:J6"/>
    <mergeCell ref="F7:F9"/>
    <mergeCell ref="G7:G9"/>
    <mergeCell ref="H7:H9"/>
    <mergeCell ref="I7:I9"/>
    <mergeCell ref="J7:J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59299D8EFEC4E95AA83CD356D9EA6" ma:contentTypeVersion="14" ma:contentTypeDescription="Crée un document." ma:contentTypeScope="" ma:versionID="a3503aa2d775ec09223d8fdb2be6537c">
  <xsd:schema xmlns:xsd="http://www.w3.org/2001/XMLSchema" xmlns:xs="http://www.w3.org/2001/XMLSchema" xmlns:p="http://schemas.microsoft.com/office/2006/metadata/properties" xmlns:ns2="e6956ec4-9781-47ee-8811-2e98960705f5" xmlns:ns3="3b508aca-e2a2-4b8b-b489-5555c867d145" targetNamespace="http://schemas.microsoft.com/office/2006/metadata/properties" ma:root="true" ma:fieldsID="8f720ba74ddc93440b8a65aeb297ff72" ns2:_="" ns3:_="">
    <xsd:import namespace="e6956ec4-9781-47ee-8811-2e98960705f5"/>
    <xsd:import namespace="3b508aca-e2a2-4b8b-b489-5555c867d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56ec4-9781-47ee-8811-2e9896070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4dfc31b5-3b03-48b8-9678-c9c098e3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08aca-e2a2-4b8b-b489-5555c867d14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dde34f-febc-4012-979d-bfa9b10e6ac2}" ma:internalName="TaxCatchAll" ma:showField="CatchAllData" ma:web="3b508aca-e2a2-4b8b-b489-5555c867d1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956ec4-9781-47ee-8811-2e98960705f5">
      <Terms xmlns="http://schemas.microsoft.com/office/infopath/2007/PartnerControls"/>
    </lcf76f155ced4ddcb4097134ff3c332f>
    <TaxCatchAll xmlns="3b508aca-e2a2-4b8b-b489-5555c867d145" xsi:nil="true"/>
  </documentManagement>
</p:properties>
</file>

<file path=customXml/itemProps1.xml><?xml version="1.0" encoding="utf-8"?>
<ds:datastoreItem xmlns:ds="http://schemas.openxmlformats.org/officeDocument/2006/customXml" ds:itemID="{77CFE34C-A119-4B34-8B8E-B9A3A8F86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56ec4-9781-47ee-8811-2e98960705f5"/>
    <ds:schemaRef ds:uri="3b508aca-e2a2-4b8b-b489-5555c867d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D92059-CE96-4062-B681-93AE35058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3BAB9-6DD6-4FD9-A052-C292614BF26D}">
  <ds:schemaRefs>
    <ds:schemaRef ds:uri="http://schemas.microsoft.com/office/2006/metadata/properties"/>
    <ds:schemaRef ds:uri="http://schemas.microsoft.com/office/infopath/2007/PartnerControls"/>
    <ds:schemaRef ds:uri="e6956ec4-9781-47ee-8811-2e98960705f5"/>
    <ds:schemaRef ds:uri="3b508aca-e2a2-4b8b-b489-5555c867d1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Synthèse Graphe </vt:lpstr>
      <vt:lpstr>BDD Antoine</vt:lpstr>
      <vt:lpstr>Retournement</vt:lpstr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Devaud</dc:creator>
  <cp:keywords/>
  <dc:description/>
  <cp:lastModifiedBy>Jarod Lopez Magana</cp:lastModifiedBy>
  <cp:revision/>
  <dcterms:created xsi:type="dcterms:W3CDTF">2025-06-18T16:26:30Z</dcterms:created>
  <dcterms:modified xsi:type="dcterms:W3CDTF">2025-09-17T09:44:40Z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0x010100AC759299D8EFEC4E95AA83CD356D9EA6</vt:lpwstr>
  </property>
  <property fmtid="{D5CDD505-2E9C-101B-9397-08002B2CF9AE}" pid="3" name="MediaServiceImageTags">
    <vt:lpwstr/>
  </property>
</Properties>
</file>