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hmpark\PATH\Git\SJV\SJV-\"/>
    </mc:Choice>
  </mc:AlternateContent>
  <xr:revisionPtr revIDLastSave="0" documentId="13_ncr:1_{E1B7718E-72A0-4571-9780-BE0D086D6EC0}" xr6:coauthVersionLast="47" xr6:coauthVersionMax="47" xr10:uidLastSave="{00000000-0000-0000-0000-000000000000}"/>
  <bookViews>
    <workbookView xWindow="8625" yWindow="1335" windowWidth="17400" windowHeight="10815" tabRatio="622" activeTab="6"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Job_IndustryWeights" sheetId="26" r:id="rId8"/>
    <sheet name="Emissions" sheetId="24" r:id="rId9"/>
    <sheet name="Commodity Prices" sheetId="25" r:id="rId10"/>
    <sheet name="F2C Jobs old" sheetId="11" r:id="rId11"/>
    <sheet name="Infrastructure" sheetId="19" r:id="rId12"/>
    <sheet name="Unit Conversion" sheetId="18" r:id="rId13"/>
    <sheet name="Conversion" sheetId="15" r:id="rId14"/>
    <sheet name="Feedstock to Commodity Buildout" sheetId="7" r:id="rId15"/>
    <sheet name="Commodity to Use Buildout" sheetId="8" r:id="rId16"/>
    <sheet name="F2C_ver2" sheetId="20" r:id="rId17"/>
    <sheet name="Commodity To Use Matrix" sheetId="6" r:id="rId18"/>
    <sheet name="table from Julia (to be deleted" sheetId="16" r:id="rId19"/>
    <sheet name="Feedstock to Commodity Matrix" sheetId="4" r:id="rId20"/>
  </sheets>
  <definedNames>
    <definedName name="_xlnm._FilterDatabase" localSheetId="4" hidden="1">'C2U CI'!$A$1:$AA$16</definedName>
    <definedName name="_xlnm._FilterDatabase" localSheetId="2" hidden="1">'F2C CI'!$A$1:$I$61</definedName>
    <definedName name="_xlnm._FilterDatabase" localSheetId="0" hidden="1">'F2C Conversion'!$A$1:$Q$1</definedName>
    <definedName name="_xlnm._FilterDatabase" localSheetId="6" hidden="1">'F2C Jobs'!$A$1:$O$58</definedName>
    <definedName name="_xlnm._FilterDatabase" localSheetId="10" hidden="1">'F2C Jobs old'!$A$1:$J$13</definedName>
    <definedName name="_xlnm._FilterDatabase" localSheetId="1" hidden="1">'F2C Land'!$A$1:$K$19</definedName>
    <definedName name="_xlnm._FilterDatabase" localSheetId="5" hidden="1">'F2C Water'!$A$1:$L$41</definedName>
    <definedName name="_xlnm._FilterDatabase" localSheetId="12"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2" l="1"/>
  <c r="F50" i="12"/>
  <c r="F15" i="13" l="1"/>
  <c r="F14" i="13"/>
  <c r="E13" i="15"/>
  <c r="E14" i="15"/>
  <c r="E15" i="15"/>
  <c r="E16" i="15"/>
  <c r="E17" i="15"/>
  <c r="E18" i="15"/>
  <c r="E19" i="15"/>
  <c r="F12" i="15"/>
  <c r="G12" i="15"/>
  <c r="H12" i="15"/>
  <c r="I12" i="15"/>
  <c r="J12" i="15"/>
  <c r="K12" i="15"/>
  <c r="L12" i="15"/>
  <c r="M12" i="15"/>
  <c r="N12" i="15"/>
  <c r="O12" i="15"/>
  <c r="P12" i="15"/>
  <c r="Q12" i="15"/>
  <c r="R12" i="15"/>
  <c r="S12" i="15"/>
  <c r="T12" i="15"/>
  <c r="U12" i="15"/>
  <c r="V12" i="15"/>
  <c r="W12" i="15"/>
  <c r="X12" i="15"/>
  <c r="Y12" i="15"/>
  <c r="E12" i="15"/>
  <c r="M52" i="23"/>
  <c r="M51" i="23"/>
  <c r="M43" i="23"/>
  <c r="M42" i="23"/>
  <c r="M41" i="23"/>
  <c r="M30" i="23"/>
  <c r="M31" i="23"/>
  <c r="M29" i="23"/>
  <c r="M40" i="23"/>
  <c r="M39" i="23"/>
  <c r="M38" i="23"/>
  <c r="M9" i="23"/>
  <c r="M10" i="23"/>
  <c r="M49" i="23"/>
  <c r="M48" i="23"/>
  <c r="M47" i="23"/>
  <c r="M45" i="23"/>
  <c r="M46" i="23"/>
  <c r="M44" i="23"/>
  <c r="F23" i="25"/>
  <c r="F22" i="25"/>
  <c r="F18" i="25"/>
  <c r="F19" i="25"/>
  <c r="F20" i="25"/>
  <c r="F17" i="25"/>
  <c r="F15" i="25"/>
  <c r="F14" i="25"/>
  <c r="F13" i="25"/>
  <c r="F21" i="25"/>
  <c r="F7" i="25"/>
  <c r="F8" i="25"/>
  <c r="F9" i="25"/>
  <c r="F12" i="25"/>
  <c r="F11" i="25"/>
  <c r="F10" i="25"/>
  <c r="F6" i="25"/>
  <c r="F3" i="25"/>
  <c r="F2" i="25"/>
  <c r="F4" i="25"/>
  <c r="E3" i="24"/>
  <c r="E2" i="24"/>
  <c r="M55" i="23"/>
  <c r="M56" i="23"/>
  <c r="M57" i="23"/>
  <c r="M58" i="23"/>
  <c r="M54" i="23"/>
  <c r="M53" i="23"/>
  <c r="M50" i="23"/>
  <c r="M37" i="23"/>
  <c r="M36" i="23"/>
  <c r="M35" i="23"/>
  <c r="M34" i="23"/>
  <c r="M33" i="23"/>
  <c r="M32" i="23"/>
  <c r="M15" i="23"/>
  <c r="M16" i="23"/>
  <c r="M17" i="23"/>
  <c r="M18" i="23"/>
  <c r="M19" i="23"/>
  <c r="M20" i="23"/>
  <c r="M21" i="23"/>
  <c r="M22" i="23"/>
  <c r="M23" i="23"/>
  <c r="M24" i="23"/>
  <c r="M25" i="23"/>
  <c r="M14" i="23"/>
  <c r="M3" i="23"/>
  <c r="M27" i="23" s="1"/>
  <c r="M4" i="23"/>
  <c r="M28" i="23" s="1"/>
  <c r="M5" i="23"/>
  <c r="M6" i="23"/>
  <c r="M7" i="23"/>
  <c r="M8" i="23"/>
  <c r="M2" i="23"/>
  <c r="M26" i="23" s="1"/>
  <c r="O10" i="22" l="1"/>
  <c r="O11" i="22"/>
  <c r="O12" i="22"/>
  <c r="O9" i="22"/>
  <c r="O15" i="22"/>
  <c r="O14" i="22"/>
  <c r="O13" i="22"/>
  <c r="O8" i="22"/>
  <c r="O7" i="22"/>
  <c r="O5" i="22"/>
  <c r="O4" i="22"/>
  <c r="O3" i="22"/>
  <c r="O2" i="22"/>
  <c r="H15" i="10" l="1"/>
  <c r="H16" i="10" s="1"/>
  <c r="I15" i="10"/>
  <c r="I16" i="10" s="1"/>
  <c r="J15" i="10"/>
  <c r="J16" i="10" s="1"/>
  <c r="K15" i="10"/>
  <c r="K16" i="10" s="1"/>
  <c r="L15" i="10"/>
  <c r="M15" i="10"/>
  <c r="N15" i="10"/>
  <c r="O15" i="10"/>
  <c r="O16" i="10" s="1"/>
  <c r="P15" i="10"/>
  <c r="P16" i="10" s="1"/>
  <c r="Q15" i="10"/>
  <c r="Q16" i="10" s="1"/>
  <c r="R15" i="10"/>
  <c r="R16" i="10" s="1"/>
  <c r="S15" i="10"/>
  <c r="S16" i="10" s="1"/>
  <c r="T15" i="10"/>
  <c r="U15" i="10"/>
  <c r="U16" i="10" s="1"/>
  <c r="V15" i="10"/>
  <c r="V16" i="10" s="1"/>
  <c r="W15" i="10"/>
  <c r="W16" i="10" s="1"/>
  <c r="X15" i="10"/>
  <c r="X16" i="10" s="1"/>
  <c r="Y15" i="10"/>
  <c r="Y16" i="10" s="1"/>
  <c r="Z15" i="10"/>
  <c r="Z16" i="10" s="1"/>
  <c r="AA15" i="10"/>
  <c r="L16" i="10"/>
  <c r="M16" i="10"/>
  <c r="N16" i="10"/>
  <c r="T16" i="10"/>
  <c r="AA16" i="10"/>
  <c r="G15" i="10"/>
  <c r="G16" i="10" s="1"/>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F49" i="12" l="1"/>
  <c r="F29" i="12"/>
  <c r="F10" i="12"/>
  <c r="F9" i="12" s="1"/>
  <c r="F53" i="12"/>
  <c r="F33" i="12"/>
  <c r="F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<sst xmlns="http://schemas.openxmlformats.org/spreadsheetml/2006/main" count="2696" uniqueCount="388">
  <si>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</si>
  <si>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</si>
  <si>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</si>
  <si>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</si>
  <si>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</si>
  <si>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</si>
  <si>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</si>
  <si>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</si>
  <si>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</si>
  <si>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</si>
  <si>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</si>
  <si>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</si>
  <si>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</si>
  <si>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</si>
  <si>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</si>
  <si>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</si>
  <si>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</si>
  <si>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</si>
  <si>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</si>
  <si>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</si>
  <si>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</si>
  <si>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</si>
  <si>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</si>
  <si>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</si>
  <si>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</si>
  <si>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</si>
  <si>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</si>
  <si>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</si>
  <si>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</si>
  <si>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</si>
  <si>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</si>
  <si>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</si>
  <si>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</si>
  <si>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</si>
  <si>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</si>
  <si>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</si>
  <si>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</si>
  <si>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</si>
  <si>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</si>
  <si>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</si>
  <si>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</si>
  <si>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</si>
  <si>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</si>
  <si>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</si>
  <si>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</si>
  <si>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</si>
  <si>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</si>
  <si>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</si>
  <si>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</si>
  <si>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</si>
  <si>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</si>
  <si>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</si>
  <si>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</si>
  <si>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</si>
  <si>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</si>
  <si>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</si>
  <si>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</si>
  <si>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</si>
  <si>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</si>
  <si>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</si>
  <si>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</si>
  <si>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</si>
  <si>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</si>
  <si>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</si>
  <si>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</si>
  <si>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</si>
  <si>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</si>
  <si>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</si>
  <si>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</si>
  <si>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</si>
  <si>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</si>
  <si>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</si>
  <si>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</si>
  <si>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</si>
  <si>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</si>
  <si>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</si>
  <si>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</si>
  <si>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</si>
  <si>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</si>
  <si>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</si>
  <si>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</si>
  <si>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</si>
  <si>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</si>
  <si>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</si>
  <si>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</si>
  <si>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</si>
  <si>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</si>
  <si>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</si>
  <si>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</si>
  <si>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</si>
  <si>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</si>
  <si>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</si>
  <si>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</si>
  <si>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</si>
  <si>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</si>
  <si>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</si>
  <si>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</si>
  <si>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</si>
  <si>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</si>
  <si>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</si>
  <si>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</si>
  <si>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</si>
  <si>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</si>
  <si>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</si>
  <si>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</si>
  <si>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</si>
  <si>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</si>
  <si>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</si>
  <si>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</si>
  <si>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</si>
  <si>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</si>
  <si>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</si>
  <si>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</si>
  <si>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</si>
  <si>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</si>
  <si>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</si>
  <si>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</si>
  <si>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</si>
  <si>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</si>
  <si>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</si>
  <si>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</si>
  <si>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</si>
  <si>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</si>
  <si>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</si>
  <si>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</si>
  <si>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</si>
  <si>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</si>
  <si>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</si>
  <si>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</si>
  <si>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</si>
  <si>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</si>
  <si>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</si>
  <si>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</si>
  <si>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</si>
  <si>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</si>
  <si>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</si>
  <si>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</si>
  <si>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</si>
  <si>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</si>
  <si>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</si>
  <si>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</si>
  <si>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</si>
  <si>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</si>
  <si>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</si>
  <si>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</si>
  <si>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</si>
  <si>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</si>
  <si>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</si>
  <si>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</si>
  <si>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</si>
  <si>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</si>
  <si>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</si>
  <si>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</si>
  <si>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</si>
  <si>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</si>
  <si>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</si>
  <si>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</si>
  <si>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</si>
  <si>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</si>
  <si>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</si>
  <si>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</si>
  <si>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</si>
  <si>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</si>
  <si>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</si>
  <si>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</si>
  <si>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</si>
  <si>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</si>
  <si>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</si>
  <si>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</si>
  <si>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</si>
  <si>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</si>
  <si>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</si>
  <si>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</si>
  <si>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</si>
  <si>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</si>
  <si>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</si>
  <si>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</si>
  <si>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</si>
  <si>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</si>
  <si>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</si>
  <si>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</si>
  <si>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</si>
  <si>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</si>
  <si>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</si>
  <si>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</si>
  <si>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</si>
  <si>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</si>
  <si>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</si>
  <si>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</si>
  <si>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</si>
  <si>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</si>
  <si>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</si>
  <si>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</si>
  <si>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</si>
  <si>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</si>
  <si>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</si>
  <si>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</si>
  <si>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</si>
  <si>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</si>
  <si>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</si>
  <si>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</si>
  <si>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</si>
  <si>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</si>
  <si>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</si>
  <si>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</si>
  <si>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</si>
  <si>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</si>
  <si>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</si>
  <si>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</si>
  <si>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</si>
  <si>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</si>
  <si>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</si>
  <si>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</si>
  <si>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</si>
  <si>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</si>
  <si>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</si>
  <si>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</si>
  <si>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</si>
  <si>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</si>
  <si>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</si>
  <si>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</si>
  <si>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</si>
  <si>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</si>
  <si>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</si>
  <si>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</si>
  <si>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</si>
  <si>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</si>
  <si>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</si>
  <si>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</si>
  <si>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</si>
  <si>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</si>
  <si>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</si>
  <si>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</si>
  <si>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</si>
  <si>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</si>
  <si>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</si>
  <si>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</si>
  <si>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</si>
  <si>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</si>
  <si>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</si>
  <si>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</si>
  <si>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</si>
  <si>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</si>
  <si>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</si>
  <si>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</si>
  <si>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</si>
  <si>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</si>
  <si>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</si>
  <si>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</si>
  <si>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</si>
  <si>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</si>
  <si>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</si>
  <si>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</si>
  <si>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</si>
  <si>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</si>
  <si>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</si>
  <si>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</si>
  <si>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</si>
  <si>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</si>
  <si>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</si>
  <si>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</si>
  <si>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</si>
  <si>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</si>
  <si>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</si>
  <si>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</si>
  <si>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</si>
  <si>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</si>
  <si>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</si>
  <si>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</si>
  <si>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</si>
  <si>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</si>
  <si>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</si>
  <si>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</si>
  <si>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</si>
  <si>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</si>
  <si>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</si>
  <si>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</si>
  <si>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</si>
  <si>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</si>
  <si>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</si>
  <si>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</si>
  <si>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</si>
  <si>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</si>
  <si>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</si>
  <si>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</si>
  <si>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</si>
  <si>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</si>
  <si>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</si>
  <si>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</si>
  <si>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</si>
  <si>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</si>
  <si>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</si>
  <si>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</si>
  <si>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</si>
  <si>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</si>
  <si>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</si>
  <si>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</si>
  <si>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</si>
  <si>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</si>
  <si>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</si>
  <si>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</si>
  <si>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</si>
  <si>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</si>
  <si>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</si>
  <si>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</si>
  <si>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</si>
  <si>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Animal Fats</t>
  </si>
  <si>
    <t>Mil Ft3/day</t>
  </si>
  <si>
    <t>Bil. BTU</t>
  </si>
  <si>
    <t>Type of Energy</t>
  </si>
  <si>
    <t>Electrons</t>
  </si>
  <si>
    <t>Molecules</t>
  </si>
  <si>
    <t>Unit Greg</t>
  </si>
  <si>
    <t>Multiplier</t>
  </si>
  <si>
    <t>Technology</t>
  </si>
  <si>
    <t>Utility Solar</t>
  </si>
  <si>
    <t>Direct</t>
  </si>
  <si>
    <t>Indirect</t>
  </si>
  <si>
    <t>Induced</t>
  </si>
  <si>
    <t>Biomass Electric</t>
  </si>
  <si>
    <t>Woody Biomass/Cellulosic Biofuel</t>
  </si>
  <si>
    <t>SMR Hydrogen</t>
  </si>
  <si>
    <t>Other Ethanol/Non-Woody Biomass Fuel</t>
  </si>
  <si>
    <t>Value2</t>
  </si>
  <si>
    <t>Unit2</t>
  </si>
  <si>
    <t>notes</t>
  </si>
  <si>
    <t>Jobs per MW</t>
  </si>
  <si>
    <t>Jobs per MT</t>
  </si>
  <si>
    <t>2.37 metric ton per million cubic feet</t>
  </si>
  <si>
    <t>7.46 metric ton per billion BTU</t>
  </si>
  <si>
    <t>Bil BTUs</t>
  </si>
  <si>
    <t>Jobs per MCF</t>
  </si>
  <si>
    <t>0.965 million CF per 1 billion BTU</t>
  </si>
  <si>
    <t>Jobs per MG</t>
  </si>
  <si>
    <t>0.007 million gallons per 1 billion BTU (EIA Diesel fuel energy conversion)</t>
  </si>
  <si>
    <t xml:space="preserve"> </t>
  </si>
  <si>
    <t xml:space="preserve">Connelly, Elizabeth, Michael Penev, Anelia Milbrandt, Billy Roberts, Marc W. Melaina, and Nicholas Gilroy. "Resource assessment for hydrogen production." (2020).  </t>
  </si>
  <si>
    <t>analysis in the field of hydrogen production via biomass gasification, range from 0.31-8.63 kg CO2e /kg H2, with an average of 2.59 kg CO2e /kg H2. https://bof.fire.ca.gov/media/10190/introduction-to-the-hydrogen-market-in-california-draft-for-comment_ada.pdf</t>
  </si>
  <si>
    <t>8.6 kg co2/ kg h2</t>
  </si>
  <si>
    <t>https://bof.fire.ca.gov/media/10190/introduction-to-the-hydrogen-market-in-california-draft-for-comment_ada.pdf</t>
  </si>
  <si>
    <t>Introduction to the Hydrogen Market in California DRAFT for comment</t>
  </si>
  <si>
    <t>NREL resource assessment says "13 kg bone-dry biomass per kg hydrogen"  Melaina 
et al. (2012) reported production efficiency as requiring 13.0 kg bone dry biomass to produce 1 kg 
of hydrogen.</t>
  </si>
  <si>
    <t>0.31 kg co2/ kg h2</t>
  </si>
  <si>
    <t>2.6 kg biomass/ kg H2</t>
  </si>
  <si>
    <t>NOx Emission</t>
  </si>
  <si>
    <t>PM2.5 Emission</t>
  </si>
  <si>
    <t>DRAFT Mobile Emissions Toolkit for Analysis (META)</t>
  </si>
  <si>
    <t>34,752 tons NOx per billion-gallon diesel, 1billion Gallon is 126,832,800,000 MJ</t>
  </si>
  <si>
    <t>gNOx/MJ-diesel</t>
  </si>
  <si>
    <t>343 tons PM2.5 per billion-gallon diesel</t>
  </si>
  <si>
    <t>gPM2.5/MJ-diesel</t>
  </si>
  <si>
    <t>$ per MW</t>
  </si>
  <si>
    <t>$ per MT</t>
  </si>
  <si>
    <t>$ per MCF</t>
  </si>
  <si>
    <t>$ per Mgal</t>
  </si>
  <si>
    <t>reference</t>
  </si>
  <si>
    <t>6.2 cents per kWh, 2,628,000 kWh/MW (30% CF) * 1 $/100 cents</t>
  </si>
  <si>
    <t>$14 per kw-month</t>
  </si>
  <si>
    <t>20 cents per kWh, 6,044,400kWh/MW (69% CF)</t>
  </si>
  <si>
    <t>7.57 $ per kg</t>
  </si>
  <si>
    <t>46 $ per MMBTU, 0.000965 million cf per MMBTU(EIA)</t>
  </si>
  <si>
    <t>$9.4 per gallon</t>
  </si>
  <si>
    <t>3 cents per kWh, 2,628,000 kWh/MW (30% CF) * 1 $/100 cents</t>
  </si>
  <si>
    <t>$9 per kw-month</t>
  </si>
  <si>
    <t>12.8 cents per kWh, 6,044,400kWh/MW (69% CF)</t>
  </si>
  <si>
    <t>$8.3 per gallon</t>
  </si>
  <si>
    <t>45 $ per MMBTU, 0.000965 million cf per MMBTU(EIA)</t>
  </si>
  <si>
    <t>Annual RPS Report to the Legislature – November 2023</t>
  </si>
  <si>
    <t>Annual RPS Report to the Legislature – November 2024</t>
  </si>
  <si>
    <t xml:space="preserve">https://www.cpuc.ca.gov/-/media/cpuc-website/divisions/energy-division/documents/energy-storage/2023-05-31_lumen_energy-storage-procurement-study-report.pdf </t>
  </si>
  <si>
    <t>Platts, part of S&amp;P Global Commodity</t>
  </si>
  <si>
    <t xml:space="preserve">https://theicct.org/wp-content/uploads/2023/05/case-studies-california-rng-outlook-2030-may23.pdf </t>
  </si>
  <si>
    <t xml:space="preserve">Platts (2022) </t>
  </si>
  <si>
    <t>Global Air</t>
  </si>
  <si>
    <t>Gross Revenue</t>
  </si>
  <si>
    <t>0.014 per ton hydrogen annual</t>
  </si>
  <si>
    <t>Biomass Gas (Digestor Gas, Methane) and Biogenic Waste</t>
  </si>
  <si>
    <t>Median Wage</t>
  </si>
  <si>
    <t>SMR hydrogen + solar</t>
  </si>
  <si>
    <t>SMR hydrogen + solar (51.3kWh to produce 1 kg H2, 30% capacity factor is assumed, 123 metric ton per MW solar-year)</t>
  </si>
  <si>
    <t>Agriculture</t>
  </si>
  <si>
    <t>Utilities</t>
  </si>
  <si>
    <t>Other</t>
  </si>
  <si>
    <t>Professional Services</t>
  </si>
  <si>
    <t>Wholesale Trade</t>
  </si>
  <si>
    <t>Manufacturing</t>
  </si>
  <si>
    <t>Construction</t>
  </si>
  <si>
    <t>Productivity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</si>
</sst>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_);_(* \(#,##0\);_(* &quot;-&quot;??_);_(@_)"/>
    <numFmt numFmtId="165" formatCode="0.000"/>
    <numFmt numFmtId="166" formatCode="0.0000000000"/>
    <numFmt numFmtId="167" formatCode="0.0"/>
    <numFmt numFmtId="168" formatCode="_(* #,##0.0_);_(* \(#,##0.0\);_(* &quot;-&quot;??_);_(@_)"/>
    <numFmt numFmtId="169" formatCode="_(&quot;$&quot;* #,##0_);_(&quot;$&quot;* \(#,##0\);_(&quot;$&quot;* &quot;-&quot;??_);_(@_)"/>
    <numFmt numFmtId="170" formatCode="0.0000"/>
  </numFmts>
  <fonts count="14"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
      <b/>
      <sz val="12"/>
      <color rgb="FFFF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3" fillId="0" borderId="0" applyFont="0" applyFill="0" applyBorder="0" applyAlignment="0" applyProtection="0"/>
    <xf numFmtId="0" fontId="9" fillId="0" borderId="0" applyNumberForma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74">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3" fontId="0" fillId="2" borderId="0" xfId="0" applyNumberFormat="1" applyFill="1"/>
    <xf numFmtId="164" fontId="0" fillId="2" borderId="0" xfId="1" applyNumberFormat="1" applyFont="1" applyFill="1"/>
    <xf numFmtId="0" fontId="0" fillId="0" borderId="0" xfId="0" quotePrefix="1"/>
    <xf numFmtId="0" fontId="9" fillId="0" borderId="0" xfId="2" applyAlignment="1">
      <alignment vertical="center"/>
    </xf>
    <xf numFmtId="169" fontId="0" fillId="0" borderId="0" xfId="3" applyNumberFormat="1" applyFont="1"/>
    <xf numFmtId="170" fontId="0" fillId="0" borderId="0" xfId="0" applyNumberFormat="1"/>
    <xf numFmtId="165" fontId="0" fillId="0" borderId="0" xfId="0" quotePrefix="1" applyNumberFormat="1"/>
    <xf numFmtId="9" fontId="0" fillId="0" borderId="0" xfId="4" applyFont="1"/>
    <xf numFmtId="0" fontId="13" fillId="2" borderId="0" xfId="0" applyFont="1" applyFill="1"/>
    <xf numFmtId="0" fontId="0" fillId="10" borderId="0" xfId="0" applyFill="1"/>
  </cellXfs>
  <cellStyles count="5">
    <cellStyle name="Comma" xfId="1" builtinId="3"/>
    <cellStyle name="Currency" xfId="3" builtinId="4"/>
    <cellStyle name="Hyperlink" xfId="2"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cpuc.ca.gov/-/media/cpuc-website/divisions/office-of-governmental-affairs-division/reports/2023/2023-rps-annual-report-to-the-legislature.pdf" TargetMode="External"/><Relationship Id="rId13" Type="http://schemas.openxmlformats.org/officeDocument/2006/relationships/hyperlink" Target="https://www.cpuc.ca.gov/-/media/cpuc-website/divisions/energy-division/documents/energy-storage/2023-05-31_lumen_energy-storage-procurement-study-report.pdf" TargetMode="External"/><Relationship Id="rId18" Type="http://schemas.openxmlformats.org/officeDocument/2006/relationships/hyperlink" Target="https://theicct.org/wp-content/uploads/2023/05/case-studies-california-rng-outlook-2030-may23.pdf" TargetMode="External"/><Relationship Id="rId3" Type="http://schemas.openxmlformats.org/officeDocument/2006/relationships/hyperlink" Target="https://www.cpuc.ca.gov/-/media/cpuc-website/divisions/office-of-governmental-affairs-division/reports/2023/2023-rps-annual-report-to-the-legislature.pdf" TargetMode="External"/><Relationship Id="rId7" Type="http://schemas.openxmlformats.org/officeDocument/2006/relationships/hyperlink" Target="https://www.cpuc.ca.gov/-/media/cpuc-website/divisions/office-of-governmental-affairs-division/reports/2023/2023-rps-annual-report-to-the-legislature.pdf" TargetMode="External"/><Relationship Id="rId12" Type="http://schemas.openxmlformats.org/officeDocument/2006/relationships/hyperlink" Target="https://www.cpuc.ca.gov/-/media/cpuc-website/divisions/office-of-governmental-affairs-division/reports/2023/2023-rps-annual-report-to-the-legislature.pdf" TargetMode="External"/><Relationship Id="rId17" Type="http://schemas.openxmlformats.org/officeDocument/2006/relationships/hyperlink" Target="https://theicct.org/wp-content/uploads/2023/05/case-studies-california-rng-outlook-2030-may23.pdf" TargetMode="External"/><Relationship Id="rId2" Type="http://schemas.openxmlformats.org/officeDocument/2006/relationships/hyperlink" Target="https://www.cpuc.ca.gov/-/media/cpuc-website/divisions/office-of-governmental-affairs-division/reports/2023/2023-rps-annual-report-to-the-legislature.pdf" TargetMode="External"/><Relationship Id="rId16" Type="http://schemas.openxmlformats.org/officeDocument/2006/relationships/hyperlink" Target="https://www.spglobal.com/commodityinsights/en/market-insights/latest-news/energy-transition/020223-greener-than-green-hydrogen-project-nears-construction-phase-in-california" TargetMode="External"/><Relationship Id="rId20" Type="http://schemas.openxmlformats.org/officeDocument/2006/relationships/hyperlink" Target="https://www.globalair.com/airport/region.aspx" TargetMode="External"/><Relationship Id="rId1" Type="http://schemas.openxmlformats.org/officeDocument/2006/relationships/hyperlink" Target="https://www.cpuc.ca.gov/-/media/cpuc-website/divisions/office-of-governmental-affairs-division/reports/2023/2023-rps-annual-report-to-the-legislature.pdf" TargetMode="External"/><Relationship Id="rId6" Type="http://schemas.openxmlformats.org/officeDocument/2006/relationships/hyperlink" Target="https://www.cpuc.ca.gov/-/media/cpuc-website/divisions/office-of-governmental-affairs-division/reports/2023/2023-rps-annual-report-to-the-legislature.pdf" TargetMode="External"/><Relationship Id="rId11" Type="http://schemas.openxmlformats.org/officeDocument/2006/relationships/hyperlink" Target="https://www.cpuc.ca.gov/-/media/cpuc-website/divisions/office-of-governmental-affairs-division/reports/2023/2023-rps-annual-report-to-the-legislature.pdf" TargetMode="External"/><Relationship Id="rId5" Type="http://schemas.openxmlformats.org/officeDocument/2006/relationships/hyperlink" Target="https://www.cpuc.ca.gov/-/media/cpuc-website/divisions/office-of-governmental-affairs-division/reports/2023/2023-rps-annual-report-to-the-legislature.pdf" TargetMode="External"/><Relationship Id="rId15" Type="http://schemas.openxmlformats.org/officeDocument/2006/relationships/hyperlink" Target="https://www.spglobal.com/commodityinsights/en/market-insights/latest-news/energy-transition/020223-greener-than-green-hydrogen-project-nears-construction-phase-in-california" TargetMode="External"/><Relationship Id="rId10" Type="http://schemas.openxmlformats.org/officeDocument/2006/relationships/hyperlink" Target="https://www.cpuc.ca.gov/-/media/cpuc-website/divisions/office-of-governmental-affairs-division/reports/2023/2023-rps-annual-report-to-the-legislature.pdf" TargetMode="External"/><Relationship Id="rId19" Type="http://schemas.openxmlformats.org/officeDocument/2006/relationships/hyperlink" Target="https://www.spglobal.com/commodityinsights/en/market-insights/latest-news/agriculture/082422-sustainable-aviation-fuel-a-winner-as-us-renewable-fuel-producers-embrace-inflation-reduction-act" TargetMode="External"/><Relationship Id="rId4" Type="http://schemas.openxmlformats.org/officeDocument/2006/relationships/hyperlink" Target="https://www.cpuc.ca.gov/-/media/cpuc-website/divisions/office-of-governmental-affairs-division/reports/2023/2023-rps-annual-report-to-the-legislature.pdf" TargetMode="External"/><Relationship Id="rId9" Type="http://schemas.openxmlformats.org/officeDocument/2006/relationships/hyperlink" Target="https://www.cpuc.ca.gov/-/media/cpuc-website/divisions/office-of-governmental-affairs-division/reports/2023/2023-rps-annual-report-to-the-legislature.pdf" TargetMode="External"/><Relationship Id="rId14" Type="http://schemas.openxmlformats.org/officeDocument/2006/relationships/hyperlink" Target="https://www.cpuc.ca.gov/-/media/cpuc-website/divisions/energy-division/documents/energy-storage/2023-05-31_lumen_energy-storage-procurement-study-report.pdf"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8" Type="http://schemas.openxmlformats.org/officeDocument/2006/relationships/hyperlink" Target="https://bof.fire.ca.gov/media/10190/introduction-to-the-hydrogen-market-in-california-draft-for-comment_ada.pdf" TargetMode="External"/><Relationship Id="rId13" Type="http://schemas.openxmlformats.org/officeDocument/2006/relationships/hyperlink" Target="https://theicct.org/wp-content/uploads/2023/11/ID-37-%E2%80%93-SAF-Grand-Challenge-white-paper-letter-40036-v3.pdf" TargetMode="External"/><Relationship Id="rId3" Type="http://schemas.openxmlformats.org/officeDocument/2006/relationships/hyperlink" Target="https://www.iea.org/data-and-statistics/charts/comparison-of-the-emissions-intensity-of-different-hydrogen-production-routes-2021" TargetMode="External"/><Relationship Id="rId7" Type="http://schemas.openxmlformats.org/officeDocument/2006/relationships/hyperlink" Target="https://bof.fire.ca.gov/media/10190/introduction-to-the-hydrogen-market-in-california-draft-for-comment_ada.pdf" TargetMode="External"/><Relationship Id="rId12" Type="http://schemas.openxmlformats.org/officeDocument/2006/relationships/hyperlink" Target="https://bof.fire.ca.gov/media/10190/introduction-to-the-hydrogen-market-in-california-draft-for-comment_ada.pdf" TargetMode="External"/><Relationship Id="rId2" Type="http://schemas.openxmlformats.org/officeDocument/2006/relationships/hyperlink" Target="https://www.icao.int/environmental-protection/CORSIA/Documents/CORSIA_Eligible_Fuels/ICAO%20document%2006%20-%20Default%20Life%20Cycle%20Emissions%20-%20June%202022.pdf" TargetMode="External"/><Relationship Id="rId1" Type="http://schemas.openxmlformats.org/officeDocument/2006/relationships/hyperlink" Target="https://www.icao.int/environmental-protection/CORSIA/Documents/CORSIA_Eligible_Fuels/ICAO%20document%2006%20-%20Default%20Life%20Cycle%20Emissions%20-%20June%202022.pdf" TargetMode="External"/><Relationship Id="rId6" Type="http://schemas.openxmlformats.org/officeDocument/2006/relationships/hyperlink" Target="https://bof.fire.ca.gov/media/10190/introduction-to-the-hydrogen-market-in-california-draft-for-comment_ada.pdf" TargetMode="External"/><Relationship Id="rId11" Type="http://schemas.openxmlformats.org/officeDocument/2006/relationships/hyperlink" Target="https://bof.fire.ca.gov/media/10190/introduction-to-the-hydrogen-market-in-california-draft-for-comment_ada.pdf" TargetMode="External"/><Relationship Id="rId5" Type="http://schemas.openxmlformats.org/officeDocument/2006/relationships/hyperlink" Target="https://bof.fire.ca.gov/media/10190/introduction-to-the-hydrogen-market-in-california-draft-for-comment_ada.pdf" TargetMode="External"/><Relationship Id="rId10" Type="http://schemas.openxmlformats.org/officeDocument/2006/relationships/hyperlink" Target="https://bof.fire.ca.gov/media/10190/introduction-to-the-hydrogen-market-in-california-draft-for-comment_ada.pdf" TargetMode="External"/><Relationship Id="rId4" Type="http://schemas.openxmlformats.org/officeDocument/2006/relationships/hyperlink" Target="https://www.iea.org/data-and-statistics/charts/comparison-of-the-emissions-intensity-of-different-hydrogen-production-routes-2021" TargetMode="External"/><Relationship Id="rId9" Type="http://schemas.openxmlformats.org/officeDocument/2006/relationships/hyperlink" Target="https://bof.fire.ca.gov/media/10190/introduction-to-the-hydrogen-market-in-california-draft-for-comment_ada.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hyperlink" Target="https://arb.ca.gov/emfac/meta/on-road-hdv" TargetMode="External"/><Relationship Id="rId1" Type="http://schemas.openxmlformats.org/officeDocument/2006/relationships/hyperlink" Target="https://arb.ca.gov/emfac/meta/on-road-hd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107" workbookViewId="0">
      <selection activeCell="L11" sqref="L11"/>
    </sheetView>
  </sheetViews>
  <sheetFormatPr defaultColWidth="11" defaultRowHeight="15.75" x14ac:dyDescent="0.25"/>
  <cols>
    <col min="1" max="1" width="30.375" customWidth="1"/>
    <col min="2" max="2" width="17.125" customWidth="1"/>
    <col min="4" max="4" width="27.625" customWidth="1"/>
    <col min="5" max="5" width="0" hidden="1" customWidth="1"/>
    <col min="6" max="6" width="12.625" hidden="1" customWidth="1"/>
    <col min="7" max="7" width="0" hidden="1" customWidth="1"/>
    <col min="8" max="8" width="13" hidden="1" customWidth="1"/>
    <col min="9" max="9" width="0" hidden="1" customWidth="1"/>
    <col min="10" max="10" width="11" hidden="1" customWidth="1"/>
    <col min="11" max="11" width="18.875" customWidth="1"/>
    <col min="12" max="12" width="38.375" customWidth="1"/>
    <col min="14" max="14" width="11" bestFit="1" customWidth="1"/>
    <col min="15" max="15" width="38.25" bestFit="1" customWidth="1"/>
    <col min="16" max="16" width="27.5" bestFit="1" customWidth="1"/>
  </cols>
  <sheetData>
    <row r="1" spans="1:17" x14ac:dyDescent="0.25">
      <c r="A1" t="s">
        <v>0</v>
      </c>
      <c r="B1" t="s">
        <v>261</v>
      </c>
      <c r="C1" t="s">
        <v>1</v>
      </c>
      <c r="D1" t="s">
        <v>101</v>
      </c>
      <c r="E1" t="s">
        <v>102</v>
      </c>
      <c r="F1" t="s">
        <v>103</v>
      </c>
      <c r="G1" t="s">
        <v>104</v>
      </c>
      <c r="H1" t="s">
        <v>105</v>
      </c>
      <c r="I1" t="s">
        <v>97</v>
      </c>
      <c r="J1" t="s">
        <v>106</v>
      </c>
      <c r="K1" t="s">
        <v>287</v>
      </c>
      <c r="L1" t="s">
        <v>262</v>
      </c>
      <c r="M1" t="s">
        <v>263</v>
      </c>
      <c r="N1" t="s">
        <v>264</v>
      </c>
      <c r="O1" t="s">
        <v>295</v>
      </c>
      <c r="P1" t="s">
        <v>296</v>
      </c>
      <c r="Q1" t="s">
        <v>9</v>
      </c>
    </row>
    <row r="2" spans="1:17" x14ac:dyDescent="0.25">
      <c r="A2" t="s">
        <v>37</v>
      </c>
      <c r="B2" t="s">
        <v>265</v>
      </c>
      <c r="C2" t="s">
        <v>12</v>
      </c>
      <c r="D2" t="s">
        <v>111</v>
      </c>
      <c r="E2" t="s">
        <v>112</v>
      </c>
      <c r="F2" s="5">
        <f t="shared" ref="F2" si="0">H2*1000000000000</f>
        <v>3599.8225679871703</v>
      </c>
      <c r="G2" t="s">
        <v>113</v>
      </c>
      <c r="H2" s="37">
        <v>3.5998225679871703E-9</v>
      </c>
      <c r="I2" t="s">
        <v>114</v>
      </c>
      <c r="J2" s="40"/>
      <c r="K2" s="57">
        <v>100</v>
      </c>
      <c r="L2" s="58" t="s">
        <v>266</v>
      </c>
      <c r="M2" t="s">
        <v>267</v>
      </c>
      <c r="N2" t="s">
        <v>268</v>
      </c>
      <c r="O2" s="65">
        <f>198000*1000000</f>
        <v>198000000000</v>
      </c>
      <c r="P2" t="s">
        <v>297</v>
      </c>
      <c r="Q2" t="s">
        <v>298</v>
      </c>
    </row>
    <row r="3" spans="1:17" x14ac:dyDescent="0.25">
      <c r="A3" t="s">
        <v>36</v>
      </c>
      <c r="B3" t="s">
        <v>265</v>
      </c>
      <c r="C3" t="s">
        <v>12</v>
      </c>
      <c r="D3" t="s">
        <v>111</v>
      </c>
      <c r="E3" t="s">
        <v>112</v>
      </c>
      <c r="F3" s="5">
        <f>H3*1000000000000</f>
        <v>3599.8225679871703</v>
      </c>
      <c r="G3" t="s">
        <v>113</v>
      </c>
      <c r="H3" s="37">
        <v>3.5998225679871703E-9</v>
      </c>
      <c r="I3" t="s">
        <v>114</v>
      </c>
      <c r="J3" s="40">
        <v>0.25</v>
      </c>
      <c r="K3" s="57">
        <v>100</v>
      </c>
      <c r="L3" s="58" t="s">
        <v>266</v>
      </c>
      <c r="M3" t="s">
        <v>267</v>
      </c>
      <c r="N3" t="s">
        <v>268</v>
      </c>
      <c r="O3" s="65">
        <f>198000*1000000</f>
        <v>198000000000</v>
      </c>
      <c r="P3" t="s">
        <v>297</v>
      </c>
      <c r="Q3" t="s">
        <v>299</v>
      </c>
    </row>
    <row r="4" spans="1:17" x14ac:dyDescent="0.25">
      <c r="A4" t="s">
        <v>43</v>
      </c>
      <c r="B4" t="s">
        <v>269</v>
      </c>
      <c r="C4" t="s">
        <v>12</v>
      </c>
      <c r="D4" t="s">
        <v>111</v>
      </c>
      <c r="F4" s="5"/>
      <c r="H4" s="37"/>
      <c r="J4" s="40"/>
      <c r="K4" s="57">
        <f>K11*K16</f>
        <v>442.1052631578948</v>
      </c>
      <c r="L4" s="58" t="s">
        <v>270</v>
      </c>
      <c r="M4" t="s">
        <v>271</v>
      </c>
      <c r="N4" t="s">
        <v>268</v>
      </c>
      <c r="O4" s="65">
        <f>16/1.15*1000*1000000</f>
        <v>13913043478.260872</v>
      </c>
      <c r="P4" t="s">
        <v>300</v>
      </c>
      <c r="Q4" t="s">
        <v>301</v>
      </c>
    </row>
    <row r="5" spans="1:17" x14ac:dyDescent="0.25">
      <c r="A5" t="s">
        <v>42</v>
      </c>
      <c r="B5" t="s">
        <v>269</v>
      </c>
      <c r="C5" t="s">
        <v>12</v>
      </c>
      <c r="D5" t="s">
        <v>111</v>
      </c>
      <c r="F5" s="5"/>
      <c r="H5" s="37"/>
      <c r="J5" s="40"/>
      <c r="K5" s="57">
        <f>K12*K16</f>
        <v>420</v>
      </c>
      <c r="L5" s="58" t="s">
        <v>270</v>
      </c>
      <c r="M5" t="s">
        <v>271</v>
      </c>
      <c r="N5" t="s">
        <v>268</v>
      </c>
      <c r="O5" s="65">
        <f>O4</f>
        <v>13913043478.260872</v>
      </c>
      <c r="P5" t="s">
        <v>300</v>
      </c>
      <c r="Q5" t="s">
        <v>301</v>
      </c>
    </row>
    <row r="6" spans="1:17" x14ac:dyDescent="0.25">
      <c r="A6" t="s">
        <v>40</v>
      </c>
      <c r="B6" t="s">
        <v>130</v>
      </c>
      <c r="C6" t="s">
        <v>19</v>
      </c>
      <c r="D6" t="s">
        <v>116</v>
      </c>
      <c r="E6" t="s">
        <v>117</v>
      </c>
      <c r="F6" s="5">
        <f t="shared" ref="F6:F15" si="1">H6*1000000000000</f>
        <v>119999.99999999999</v>
      </c>
      <c r="G6" t="s">
        <v>118</v>
      </c>
      <c r="H6">
        <v>1.1999999999999999E-7</v>
      </c>
      <c r="I6" t="s">
        <v>119</v>
      </c>
      <c r="J6" s="40">
        <v>0.72</v>
      </c>
      <c r="K6" s="59">
        <f>1/0.167</f>
        <v>5.9880239520958076</v>
      </c>
      <c r="L6" s="58" t="s">
        <v>272</v>
      </c>
      <c r="M6" t="s">
        <v>273</v>
      </c>
      <c r="N6" s="40" t="s">
        <v>268</v>
      </c>
      <c r="O6" s="65">
        <v>1093000</v>
      </c>
      <c r="P6" t="s">
        <v>302</v>
      </c>
      <c r="Q6" t="s">
        <v>303</v>
      </c>
    </row>
    <row r="7" spans="1:17" x14ac:dyDescent="0.25">
      <c r="A7" t="s">
        <v>37</v>
      </c>
      <c r="B7" t="s">
        <v>265</v>
      </c>
      <c r="C7" t="s">
        <v>19</v>
      </c>
      <c r="D7" t="s">
        <v>116</v>
      </c>
      <c r="E7" t="s">
        <v>117</v>
      </c>
      <c r="F7" s="5">
        <f>H7*1000000000000</f>
        <v>119999.99999999999</v>
      </c>
      <c r="G7" t="s">
        <v>118</v>
      </c>
      <c r="H7">
        <v>1.1999999999999999E-7</v>
      </c>
      <c r="I7" t="s">
        <v>119</v>
      </c>
      <c r="J7" s="40">
        <v>0.44</v>
      </c>
      <c r="K7" s="57">
        <f>1/13*10^6</f>
        <v>76923.076923076922</v>
      </c>
      <c r="L7" s="58" t="s">
        <v>274</v>
      </c>
      <c r="M7" t="s">
        <v>275</v>
      </c>
      <c r="N7" t="s">
        <v>268</v>
      </c>
      <c r="O7" s="65">
        <f>198000*1000000</f>
        <v>198000000000</v>
      </c>
      <c r="P7" t="s">
        <v>297</v>
      </c>
    </row>
    <row r="8" spans="1:17" x14ac:dyDescent="0.25">
      <c r="A8" t="s">
        <v>36</v>
      </c>
      <c r="B8" t="s">
        <v>265</v>
      </c>
      <c r="C8" t="s">
        <v>19</v>
      </c>
      <c r="D8" t="s">
        <v>116</v>
      </c>
      <c r="E8" t="s">
        <v>117</v>
      </c>
      <c r="F8" s="5">
        <f>H8*1000000000000</f>
        <v>119999.99999999999</v>
      </c>
      <c r="G8" t="s">
        <v>118</v>
      </c>
      <c r="H8">
        <v>1.1999999999999999E-7</v>
      </c>
      <c r="I8" t="s">
        <v>119</v>
      </c>
      <c r="J8" s="40">
        <v>0.44</v>
      </c>
      <c r="K8" s="57">
        <f>1/13*10^6</f>
        <v>76923.076923076922</v>
      </c>
      <c r="L8" s="58" t="s">
        <v>274</v>
      </c>
      <c r="M8" t="s">
        <v>341</v>
      </c>
      <c r="N8" t="s">
        <v>268</v>
      </c>
      <c r="O8" s="65">
        <f>198000*1000000</f>
        <v>198000000000</v>
      </c>
      <c r="P8" t="s">
        <v>297</v>
      </c>
    </row>
    <row r="9" spans="1:17" x14ac:dyDescent="0.25">
      <c r="A9" t="s">
        <v>43</v>
      </c>
      <c r="B9" t="s">
        <v>269</v>
      </c>
      <c r="C9" t="s">
        <v>19</v>
      </c>
      <c r="D9" t="s">
        <v>116</v>
      </c>
      <c r="E9" t="s">
        <v>117</v>
      </c>
      <c r="F9" s="5">
        <f t="shared" ref="F9:F10" si="2">H9*1000000000000</f>
        <v>119999.99999999999</v>
      </c>
      <c r="G9" t="s">
        <v>118</v>
      </c>
      <c r="H9">
        <v>1.1999999999999999E-7</v>
      </c>
      <c r="I9" t="s">
        <v>119</v>
      </c>
      <c r="J9" s="40"/>
      <c r="K9" s="57">
        <f>1/3.29/1.6*10^6</f>
        <v>189969.60486322187</v>
      </c>
      <c r="L9" s="58" t="s">
        <v>276</v>
      </c>
      <c r="M9" s="53" t="s">
        <v>277</v>
      </c>
      <c r="N9" t="s">
        <v>268</v>
      </c>
      <c r="O9" s="65">
        <f>$O$4</f>
        <v>13913043478.260872</v>
      </c>
      <c r="P9" t="s">
        <v>300</v>
      </c>
      <c r="Q9" t="s">
        <v>301</v>
      </c>
    </row>
    <row r="10" spans="1:17" x14ac:dyDescent="0.25">
      <c r="A10" t="s">
        <v>42</v>
      </c>
      <c r="B10" t="s">
        <v>269</v>
      </c>
      <c r="C10" t="s">
        <v>19</v>
      </c>
      <c r="D10" t="s">
        <v>116</v>
      </c>
      <c r="E10" t="s">
        <v>117</v>
      </c>
      <c r="F10" s="5">
        <f t="shared" si="2"/>
        <v>119999.99999999999</v>
      </c>
      <c r="G10" t="s">
        <v>118</v>
      </c>
      <c r="H10">
        <v>1.1999999999999999E-7</v>
      </c>
      <c r="I10" t="s">
        <v>119</v>
      </c>
      <c r="J10" s="40"/>
      <c r="K10" s="57">
        <f>1/3.29/1.6*10^6</f>
        <v>189969.60486322187</v>
      </c>
      <c r="L10" s="58" t="s">
        <v>276</v>
      </c>
      <c r="M10" s="53" t="s">
        <v>278</v>
      </c>
      <c r="N10" t="s">
        <v>268</v>
      </c>
      <c r="O10" s="65">
        <f t="shared" ref="O10:O12" si="3">$O$4</f>
        <v>13913043478.260872</v>
      </c>
      <c r="P10" t="s">
        <v>300</v>
      </c>
      <c r="Q10" t="s">
        <v>301</v>
      </c>
    </row>
    <row r="11" spans="1:17" x14ac:dyDescent="0.25">
      <c r="A11" t="s">
        <v>43</v>
      </c>
      <c r="B11" t="s">
        <v>269</v>
      </c>
      <c r="C11" t="s">
        <v>38</v>
      </c>
      <c r="D11" t="s">
        <v>130</v>
      </c>
      <c r="E11" t="s">
        <v>57</v>
      </c>
      <c r="F11" s="5">
        <f t="shared" si="1"/>
        <v>1093000</v>
      </c>
      <c r="G11" t="s">
        <v>131</v>
      </c>
      <c r="H11">
        <v>1.093E-6</v>
      </c>
      <c r="I11" t="s">
        <v>132</v>
      </c>
      <c r="K11" s="57">
        <f>56*10^9*0.6/(1.9*10^6)</f>
        <v>17684.21052631579</v>
      </c>
      <c r="L11" s="58" t="s">
        <v>279</v>
      </c>
      <c r="M11" t="s">
        <v>280</v>
      </c>
      <c r="N11" t="s">
        <v>268</v>
      </c>
      <c r="O11" s="65">
        <f t="shared" si="3"/>
        <v>13913043478.260872</v>
      </c>
      <c r="P11" t="s">
        <v>300</v>
      </c>
      <c r="Q11" t="s">
        <v>301</v>
      </c>
    </row>
    <row r="12" spans="1:17" x14ac:dyDescent="0.25">
      <c r="A12" t="s">
        <v>42</v>
      </c>
      <c r="B12" t="s">
        <v>269</v>
      </c>
      <c r="C12" t="s">
        <v>38</v>
      </c>
      <c r="D12" t="s">
        <v>130</v>
      </c>
      <c r="E12" t="s">
        <v>57</v>
      </c>
      <c r="F12" s="5">
        <f t="shared" si="1"/>
        <v>1093000</v>
      </c>
      <c r="G12" t="s">
        <v>131</v>
      </c>
      <c r="H12">
        <v>1.093E-6</v>
      </c>
      <c r="I12" t="s">
        <v>132</v>
      </c>
      <c r="K12" s="2">
        <f>28000*0.6</f>
        <v>16800</v>
      </c>
      <c r="L12" s="58" t="s">
        <v>279</v>
      </c>
      <c r="M12" t="s">
        <v>281</v>
      </c>
      <c r="N12" t="s">
        <v>268</v>
      </c>
      <c r="O12" s="65">
        <f t="shared" si="3"/>
        <v>13913043478.260872</v>
      </c>
      <c r="P12" t="s">
        <v>300</v>
      </c>
      <c r="Q12" t="s">
        <v>301</v>
      </c>
    </row>
    <row r="13" spans="1:17" x14ac:dyDescent="0.25">
      <c r="A13" t="s">
        <v>306</v>
      </c>
      <c r="B13" t="s">
        <v>269</v>
      </c>
      <c r="C13" s="1" t="s">
        <v>46</v>
      </c>
      <c r="D13" t="s">
        <v>134</v>
      </c>
      <c r="E13" t="s">
        <v>135</v>
      </c>
      <c r="F13" s="5">
        <f t="shared" si="1"/>
        <v>142432539.75000003</v>
      </c>
      <c r="G13" t="s">
        <v>136</v>
      </c>
      <c r="H13">
        <v>1.4243253975000002E-4</v>
      </c>
      <c r="I13" t="s">
        <v>137</v>
      </c>
      <c r="K13" s="2">
        <v>294</v>
      </c>
      <c r="L13" s="58" t="s">
        <v>282</v>
      </c>
      <c r="M13" t="s">
        <v>283</v>
      </c>
      <c r="N13" t="s">
        <v>268</v>
      </c>
      <c r="O13" s="65">
        <f>37*1000*1000000</f>
        <v>37000000000</v>
      </c>
      <c r="P13" t="s">
        <v>304</v>
      </c>
      <c r="Q13" t="s">
        <v>305</v>
      </c>
    </row>
    <row r="14" spans="1:17" x14ac:dyDescent="0.25">
      <c r="A14" t="s">
        <v>37</v>
      </c>
      <c r="B14" t="s">
        <v>265</v>
      </c>
      <c r="C14" s="1" t="s">
        <v>46</v>
      </c>
      <c r="D14" t="s">
        <v>134</v>
      </c>
      <c r="E14" t="s">
        <v>135</v>
      </c>
      <c r="F14" s="5">
        <f t="shared" si="1"/>
        <v>142432539.75000003</v>
      </c>
      <c r="G14" t="s">
        <v>136</v>
      </c>
      <c r="H14">
        <v>1.4243253975000002E-4</v>
      </c>
      <c r="I14" t="s">
        <v>137</v>
      </c>
      <c r="K14" s="60">
        <v>56.1</v>
      </c>
      <c r="L14" s="58" t="s">
        <v>284</v>
      </c>
      <c r="M14" t="s">
        <v>285</v>
      </c>
      <c r="O14" s="65">
        <f t="shared" ref="O14:O15" si="4">198000*1000000</f>
        <v>198000000000</v>
      </c>
      <c r="P14" t="s">
        <v>297</v>
      </c>
      <c r="Q14" t="s">
        <v>299</v>
      </c>
    </row>
    <row r="15" spans="1:17" x14ac:dyDescent="0.25">
      <c r="A15" t="s">
        <v>36</v>
      </c>
      <c r="B15" t="s">
        <v>265</v>
      </c>
      <c r="C15" s="1" t="s">
        <v>46</v>
      </c>
      <c r="D15" t="s">
        <v>134</v>
      </c>
      <c r="E15" t="s">
        <v>135</v>
      </c>
      <c r="F15" s="5">
        <f t="shared" si="1"/>
        <v>142432539.75000003</v>
      </c>
      <c r="G15" t="s">
        <v>136</v>
      </c>
      <c r="H15">
        <v>1.4243253975000002E-4</v>
      </c>
      <c r="I15" t="s">
        <v>137</v>
      </c>
      <c r="K15" s="60">
        <v>62.7</v>
      </c>
      <c r="L15" s="58" t="s">
        <v>284</v>
      </c>
      <c r="M15" t="s">
        <v>286</v>
      </c>
      <c r="O15" s="65">
        <f t="shared" si="4"/>
        <v>198000000000</v>
      </c>
      <c r="P15" t="s">
        <v>297</v>
      </c>
      <c r="Q15" t="s">
        <v>299</v>
      </c>
    </row>
    <row r="16" spans="1:17" x14ac:dyDescent="0.25">
      <c r="A16" t="s">
        <v>38</v>
      </c>
      <c r="B16" t="s">
        <v>130</v>
      </c>
      <c r="C16" t="s">
        <v>12</v>
      </c>
      <c r="D16" t="s">
        <v>111</v>
      </c>
      <c r="E16" t="s">
        <v>112</v>
      </c>
      <c r="F16" s="5">
        <f>H16*1000000000000</f>
        <v>3599.8225679871703</v>
      </c>
      <c r="G16" t="s">
        <v>113</v>
      </c>
      <c r="H16" s="37">
        <v>3.5998225679871703E-9</v>
      </c>
      <c r="I16" t="s">
        <v>114</v>
      </c>
      <c r="J16" s="40"/>
      <c r="K16">
        <v>2.5000000000000001E-2</v>
      </c>
      <c r="L16" s="40" t="s">
        <v>256</v>
      </c>
    </row>
    <row r="17" spans="1:14" x14ac:dyDescent="0.25">
      <c r="A17" t="s">
        <v>38</v>
      </c>
      <c r="B17" t="s">
        <v>130</v>
      </c>
      <c r="C17" t="s">
        <v>19</v>
      </c>
      <c r="D17" t="s">
        <v>116</v>
      </c>
      <c r="E17" t="s">
        <v>117</v>
      </c>
      <c r="F17" s="5">
        <f>H17*1000000000000</f>
        <v>119999.99999999999</v>
      </c>
      <c r="G17" t="s">
        <v>118</v>
      </c>
      <c r="H17">
        <v>1.1999999999999999E-7</v>
      </c>
      <c r="I17" t="s">
        <v>119</v>
      </c>
      <c r="J17" s="40"/>
      <c r="K17">
        <v>0.16700000000000001</v>
      </c>
      <c r="L17" s="40" t="s">
        <v>125</v>
      </c>
      <c r="N17" s="61"/>
    </row>
    <row r="19" spans="1:14" x14ac:dyDescent="0.25">
      <c r="K19" s="62"/>
    </row>
    <row r="20" spans="1:14" x14ac:dyDescent="0.2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DEA3-76EA-4A12-96E2-2D18F90530EF}">
  <sheetPr>
    <tabColor theme="5" tint="0.79998168889431442"/>
  </sheetPr>
  <dimension ref="A1:H23"/>
  <sheetViews>
    <sheetView workbookViewId="0">
      <selection activeCell="F17" sqref="F17"/>
    </sheetView>
  </sheetViews>
  <sheetFormatPr defaultRowHeight="15.75" x14ac:dyDescent="0.25"/>
  <cols>
    <col min="2" max="2" width="21.875" bestFit="1" customWidth="1"/>
    <col min="3" max="3" width="15.5" bestFit="1" customWidth="1"/>
    <col min="5" max="5" width="9.875" bestFit="1" customWidth="1"/>
    <col min="6" max="6" width="13.75" bestFit="1" customWidth="1"/>
  </cols>
  <sheetData>
    <row r="1" spans="1:8" x14ac:dyDescent="0.25">
      <c r="A1" t="s">
        <v>0</v>
      </c>
      <c r="B1" s="1" t="s">
        <v>1</v>
      </c>
      <c r="C1" t="s">
        <v>2</v>
      </c>
      <c r="D1" t="s">
        <v>4</v>
      </c>
      <c r="E1" t="s">
        <v>97</v>
      </c>
      <c r="F1" t="s">
        <v>6</v>
      </c>
      <c r="G1" t="s">
        <v>325</v>
      </c>
      <c r="H1" t="s">
        <v>355</v>
      </c>
    </row>
    <row r="2" spans="1:8" x14ac:dyDescent="0.25">
      <c r="A2" t="s">
        <v>11</v>
      </c>
      <c r="B2" s="1" t="s">
        <v>12</v>
      </c>
      <c r="C2" t="s">
        <v>374</v>
      </c>
      <c r="D2" t="s">
        <v>15</v>
      </c>
      <c r="E2" t="s">
        <v>351</v>
      </c>
      <c r="F2" s="68">
        <f>6.2*10*8760*0.3</f>
        <v>162936</v>
      </c>
      <c r="G2" t="s">
        <v>356</v>
      </c>
      <c r="H2" s="36" t="s">
        <v>367</v>
      </c>
    </row>
    <row r="3" spans="1:8" x14ac:dyDescent="0.25">
      <c r="A3" t="s">
        <v>22</v>
      </c>
      <c r="B3" s="1" t="s">
        <v>12</v>
      </c>
      <c r="C3" t="s">
        <v>374</v>
      </c>
      <c r="D3" t="s">
        <v>15</v>
      </c>
      <c r="E3" t="s">
        <v>351</v>
      </c>
      <c r="F3" s="68">
        <f>6.2*10*8760*0.3</f>
        <v>162936</v>
      </c>
      <c r="G3" t="s">
        <v>356</v>
      </c>
      <c r="H3" s="36" t="s">
        <v>368</v>
      </c>
    </row>
    <row r="4" spans="1:8" x14ac:dyDescent="0.25">
      <c r="A4" t="s">
        <v>34</v>
      </c>
      <c r="B4" s="1" t="s">
        <v>12</v>
      </c>
      <c r="C4" t="s">
        <v>374</v>
      </c>
      <c r="D4" t="s">
        <v>15</v>
      </c>
      <c r="E4" t="s">
        <v>351</v>
      </c>
      <c r="F4" s="68">
        <f>14*12*1000</f>
        <v>168000</v>
      </c>
      <c r="G4" t="s">
        <v>357</v>
      </c>
      <c r="H4" s="36" t="s">
        <v>369</v>
      </c>
    </row>
    <row r="5" spans="1:8" x14ac:dyDescent="0.25">
      <c r="A5" t="s">
        <v>35</v>
      </c>
      <c r="B5" s="1" t="s">
        <v>12</v>
      </c>
      <c r="C5" t="s">
        <v>374</v>
      </c>
      <c r="D5" t="s">
        <v>15</v>
      </c>
      <c r="E5" t="s">
        <v>351</v>
      </c>
      <c r="F5" s="68"/>
    </row>
    <row r="6" spans="1:8" x14ac:dyDescent="0.25">
      <c r="A6" t="s">
        <v>36</v>
      </c>
      <c r="B6" s="1" t="s">
        <v>12</v>
      </c>
      <c r="C6" t="s">
        <v>374</v>
      </c>
      <c r="D6" t="s">
        <v>15</v>
      </c>
      <c r="E6" t="s">
        <v>351</v>
      </c>
      <c r="F6" s="68">
        <f>20*10*8760*0.69</f>
        <v>1208880</v>
      </c>
      <c r="G6" t="s">
        <v>358</v>
      </c>
      <c r="H6" s="36" t="s">
        <v>367</v>
      </c>
    </row>
    <row r="7" spans="1:8" x14ac:dyDescent="0.25">
      <c r="A7" t="s">
        <v>37</v>
      </c>
      <c r="B7" s="1" t="s">
        <v>12</v>
      </c>
      <c r="C7" t="s">
        <v>374</v>
      </c>
      <c r="D7" t="s">
        <v>15</v>
      </c>
      <c r="E7" t="s">
        <v>351</v>
      </c>
      <c r="F7" s="68">
        <f t="shared" ref="F7:F9" si="0">20*10*8760*0.69</f>
        <v>1208880</v>
      </c>
      <c r="G7" t="s">
        <v>358</v>
      </c>
      <c r="H7" s="36" t="s">
        <v>367</v>
      </c>
    </row>
    <row r="8" spans="1:8" x14ac:dyDescent="0.25">
      <c r="A8" t="s">
        <v>42</v>
      </c>
      <c r="B8" s="1" t="s">
        <v>12</v>
      </c>
      <c r="C8" t="s">
        <v>374</v>
      </c>
      <c r="D8" t="s">
        <v>15</v>
      </c>
      <c r="E8" t="s">
        <v>351</v>
      </c>
      <c r="F8" s="68">
        <f t="shared" si="0"/>
        <v>1208880</v>
      </c>
      <c r="G8" t="s">
        <v>358</v>
      </c>
      <c r="H8" s="36" t="s">
        <v>367</v>
      </c>
    </row>
    <row r="9" spans="1:8" x14ac:dyDescent="0.25">
      <c r="A9" t="s">
        <v>43</v>
      </c>
      <c r="B9" s="1" t="s">
        <v>12</v>
      </c>
      <c r="C9" t="s">
        <v>374</v>
      </c>
      <c r="D9" t="s">
        <v>15</v>
      </c>
      <c r="E9" t="s">
        <v>351</v>
      </c>
      <c r="F9" s="68">
        <f t="shared" si="0"/>
        <v>1208880</v>
      </c>
      <c r="G9" t="s">
        <v>358</v>
      </c>
      <c r="H9" s="36" t="s">
        <v>367</v>
      </c>
    </row>
    <row r="10" spans="1:8" x14ac:dyDescent="0.25">
      <c r="B10" s="55" t="s">
        <v>19</v>
      </c>
      <c r="C10" t="s">
        <v>374</v>
      </c>
      <c r="D10" s="55" t="s">
        <v>15</v>
      </c>
      <c r="E10" t="s">
        <v>352</v>
      </c>
      <c r="F10" s="68">
        <f>7.57*1000</f>
        <v>7570</v>
      </c>
      <c r="G10" s="55" t="s">
        <v>359</v>
      </c>
      <c r="H10" s="36" t="s">
        <v>370</v>
      </c>
    </row>
    <row r="11" spans="1:8" x14ac:dyDescent="0.25">
      <c r="B11" s="1" t="s">
        <v>38</v>
      </c>
      <c r="C11" t="s">
        <v>374</v>
      </c>
      <c r="D11" t="s">
        <v>15</v>
      </c>
      <c r="E11" t="s">
        <v>353</v>
      </c>
      <c r="F11" s="68">
        <f>46/0.000965</f>
        <v>47668.39378238342</v>
      </c>
      <c r="G11" t="s">
        <v>360</v>
      </c>
      <c r="H11" s="67" t="s">
        <v>371</v>
      </c>
    </row>
    <row r="12" spans="1:8" x14ac:dyDescent="0.25">
      <c r="B12" s="1" t="s">
        <v>46</v>
      </c>
      <c r="C12" t="s">
        <v>374</v>
      </c>
      <c r="D12" t="s">
        <v>15</v>
      </c>
      <c r="E12" t="s">
        <v>354</v>
      </c>
      <c r="F12" s="68">
        <f>9.4*1000000</f>
        <v>9400000</v>
      </c>
      <c r="G12" t="s">
        <v>361</v>
      </c>
      <c r="H12" s="36" t="s">
        <v>373</v>
      </c>
    </row>
    <row r="13" spans="1:8" x14ac:dyDescent="0.25">
      <c r="A13" t="s">
        <v>11</v>
      </c>
      <c r="B13" s="1" t="s">
        <v>12</v>
      </c>
      <c r="C13" t="s">
        <v>374</v>
      </c>
      <c r="D13" t="s">
        <v>24</v>
      </c>
      <c r="E13" t="s">
        <v>351</v>
      </c>
      <c r="F13" s="68">
        <f>3*10*8760*0.3</f>
        <v>78840</v>
      </c>
      <c r="G13" t="s">
        <v>362</v>
      </c>
      <c r="H13" s="36" t="s">
        <v>367</v>
      </c>
    </row>
    <row r="14" spans="1:8" x14ac:dyDescent="0.25">
      <c r="A14" t="s">
        <v>22</v>
      </c>
      <c r="B14" s="1" t="s">
        <v>12</v>
      </c>
      <c r="C14" t="s">
        <v>374</v>
      </c>
      <c r="D14" t="s">
        <v>24</v>
      </c>
      <c r="E14" t="s">
        <v>351</v>
      </c>
      <c r="F14" s="68">
        <f>3*10*8760*0.3</f>
        <v>78840</v>
      </c>
      <c r="G14" t="s">
        <v>362</v>
      </c>
      <c r="H14" s="36" t="s">
        <v>367</v>
      </c>
    </row>
    <row r="15" spans="1:8" x14ac:dyDescent="0.25">
      <c r="A15" t="s">
        <v>34</v>
      </c>
      <c r="B15" s="1" t="s">
        <v>12</v>
      </c>
      <c r="C15" t="s">
        <v>374</v>
      </c>
      <c r="D15" t="s">
        <v>24</v>
      </c>
      <c r="E15" t="s">
        <v>351</v>
      </c>
      <c r="F15" s="68">
        <f>9*12*1000</f>
        <v>108000</v>
      </c>
      <c r="G15" t="s">
        <v>363</v>
      </c>
      <c r="H15" s="36" t="s">
        <v>369</v>
      </c>
    </row>
    <row r="16" spans="1:8" x14ac:dyDescent="0.25">
      <c r="A16" t="s">
        <v>35</v>
      </c>
      <c r="B16" s="1" t="s">
        <v>12</v>
      </c>
      <c r="C16" t="s">
        <v>374</v>
      </c>
      <c r="D16" t="s">
        <v>24</v>
      </c>
      <c r="E16" t="s">
        <v>351</v>
      </c>
      <c r="F16" s="68"/>
    </row>
    <row r="17" spans="1:8" x14ac:dyDescent="0.25">
      <c r="A17" t="s">
        <v>36</v>
      </c>
      <c r="B17" s="1" t="s">
        <v>12</v>
      </c>
      <c r="C17" t="s">
        <v>374</v>
      </c>
      <c r="D17" t="s">
        <v>24</v>
      </c>
      <c r="E17" t="s">
        <v>351</v>
      </c>
      <c r="F17" s="68">
        <f>12.8*10*8760*0.69</f>
        <v>773683.19999999995</v>
      </c>
      <c r="G17" t="s">
        <v>364</v>
      </c>
      <c r="H17" s="36" t="s">
        <v>367</v>
      </c>
    </row>
    <row r="18" spans="1:8" x14ac:dyDescent="0.25">
      <c r="A18" t="s">
        <v>37</v>
      </c>
      <c r="B18" s="1" t="s">
        <v>12</v>
      </c>
      <c r="C18" t="s">
        <v>374</v>
      </c>
      <c r="D18" t="s">
        <v>24</v>
      </c>
      <c r="E18" t="s">
        <v>351</v>
      </c>
      <c r="F18" s="68">
        <f t="shared" ref="F18:F20" si="1">12.8*10*8760*0.69</f>
        <v>773683.19999999995</v>
      </c>
      <c r="G18" t="s">
        <v>364</v>
      </c>
      <c r="H18" s="36" t="s">
        <v>367</v>
      </c>
    </row>
    <row r="19" spans="1:8" x14ac:dyDescent="0.25">
      <c r="A19" t="s">
        <v>42</v>
      </c>
      <c r="B19" s="1" t="s">
        <v>12</v>
      </c>
      <c r="C19" t="s">
        <v>374</v>
      </c>
      <c r="D19" t="s">
        <v>24</v>
      </c>
      <c r="E19" t="s">
        <v>351</v>
      </c>
      <c r="F19" s="68">
        <f t="shared" si="1"/>
        <v>773683.19999999995</v>
      </c>
      <c r="G19" t="s">
        <v>364</v>
      </c>
      <c r="H19" s="36" t="s">
        <v>367</v>
      </c>
    </row>
    <row r="20" spans="1:8" x14ac:dyDescent="0.25">
      <c r="A20" t="s">
        <v>43</v>
      </c>
      <c r="B20" s="1" t="s">
        <v>12</v>
      </c>
      <c r="C20" t="s">
        <v>374</v>
      </c>
      <c r="D20" t="s">
        <v>24</v>
      </c>
      <c r="E20" t="s">
        <v>351</v>
      </c>
      <c r="F20" s="68">
        <f t="shared" si="1"/>
        <v>773683.19999999995</v>
      </c>
      <c r="G20" t="s">
        <v>364</v>
      </c>
      <c r="H20" s="36" t="s">
        <v>367</v>
      </c>
    </row>
    <row r="21" spans="1:8" x14ac:dyDescent="0.25">
      <c r="B21" s="55" t="s">
        <v>19</v>
      </c>
      <c r="C21" t="s">
        <v>374</v>
      </c>
      <c r="D21" t="s">
        <v>24</v>
      </c>
      <c r="E21" t="s">
        <v>352</v>
      </c>
      <c r="F21" s="68">
        <f>7.57*1000</f>
        <v>7570</v>
      </c>
      <c r="G21" s="55" t="s">
        <v>359</v>
      </c>
      <c r="H21" s="36" t="s">
        <v>370</v>
      </c>
    </row>
    <row r="22" spans="1:8" x14ac:dyDescent="0.25">
      <c r="B22" s="1" t="s">
        <v>38</v>
      </c>
      <c r="C22" t="s">
        <v>374</v>
      </c>
      <c r="D22" t="s">
        <v>24</v>
      </c>
      <c r="E22" t="s">
        <v>353</v>
      </c>
      <c r="F22" s="68">
        <f>45/0.000965</f>
        <v>46632.124352331608</v>
      </c>
      <c r="G22" t="s">
        <v>366</v>
      </c>
      <c r="H22" s="67" t="s">
        <v>371</v>
      </c>
    </row>
    <row r="23" spans="1:8" x14ac:dyDescent="0.25">
      <c r="B23" s="1" t="s">
        <v>46</v>
      </c>
      <c r="C23" t="s">
        <v>374</v>
      </c>
      <c r="D23" t="s">
        <v>24</v>
      </c>
      <c r="E23" t="s">
        <v>354</v>
      </c>
      <c r="F23" s="68">
        <f>8.3*1000000</f>
        <v>8300000.0000000009</v>
      </c>
      <c r="G23" t="s">
        <v>365</v>
      </c>
      <c r="H23" s="36" t="s">
        <v>372</v>
      </c>
    </row>
  </sheetData>
  <phoneticPr fontId="10" type="noConversion"/>
  <hyperlinks>
    <hyperlink ref="H2" r:id="rId1" display="https://www.cpuc.ca.gov/-/media/cpuc-website/divisions/office-of-governmental-affairs-division/reports/2023/2023-rps-annual-report-to-the-legislature.pdf" xr:uid="{0CE41F2F-7EFA-4077-BF74-D0AB32718B5F}"/>
    <hyperlink ref="H3" r:id="rId2" display="https://www.cpuc.ca.gov/-/media/cpuc-website/divisions/office-of-governmental-affairs-division/reports/2023/2023-rps-annual-report-to-the-legislature.pdf" xr:uid="{F99A5D1D-C6FF-4B64-94B0-018C1B342D4F}"/>
    <hyperlink ref="H6" r:id="rId3" display="https://www.cpuc.ca.gov/-/media/cpuc-website/divisions/office-of-governmental-affairs-division/reports/2023/2023-rps-annual-report-to-the-legislature.pdf" xr:uid="{44BFF6D9-DDE4-499D-A348-A4A8EDB735FC}"/>
    <hyperlink ref="H7" r:id="rId4" display="https://www.cpuc.ca.gov/-/media/cpuc-website/divisions/office-of-governmental-affairs-division/reports/2023/2023-rps-annual-report-to-the-legislature.pdf" xr:uid="{D67EF960-8A9E-4BA7-B6BA-28FF325ABE0B}"/>
    <hyperlink ref="H8" r:id="rId5" display="https://www.cpuc.ca.gov/-/media/cpuc-website/divisions/office-of-governmental-affairs-division/reports/2023/2023-rps-annual-report-to-the-legislature.pdf" xr:uid="{7AA67FA0-4A03-48F4-9880-E4D9AA7D3760}"/>
    <hyperlink ref="H9" r:id="rId6" display="https://www.cpuc.ca.gov/-/media/cpuc-website/divisions/office-of-governmental-affairs-division/reports/2023/2023-rps-annual-report-to-the-legislature.pdf" xr:uid="{D1497CEC-82A1-45A5-8CD6-BBC565E5A510}"/>
    <hyperlink ref="H13" r:id="rId7" display="https://www.cpuc.ca.gov/-/media/cpuc-website/divisions/office-of-governmental-affairs-division/reports/2023/2023-rps-annual-report-to-the-legislature.pdf" xr:uid="{D85DA533-F470-431E-8E93-AEA4954E99BC}"/>
    <hyperlink ref="H14" r:id="rId8" display="https://www.cpuc.ca.gov/-/media/cpuc-website/divisions/office-of-governmental-affairs-division/reports/2023/2023-rps-annual-report-to-the-legislature.pdf" xr:uid="{D47E081D-C74A-4C19-839B-ADC4A72393CE}"/>
    <hyperlink ref="H17" r:id="rId9" display="https://www.cpuc.ca.gov/-/media/cpuc-website/divisions/office-of-governmental-affairs-division/reports/2023/2023-rps-annual-report-to-the-legislature.pdf" xr:uid="{D1151395-2F3E-45AD-8C1A-9523F5AF18B3}"/>
    <hyperlink ref="H18" r:id="rId10" display="https://www.cpuc.ca.gov/-/media/cpuc-website/divisions/office-of-governmental-affairs-division/reports/2023/2023-rps-annual-report-to-the-legislature.pdf" xr:uid="{11B2FC45-C117-43E7-A9F3-332DB8A5F5F4}"/>
    <hyperlink ref="H19" r:id="rId11" display="https://www.cpuc.ca.gov/-/media/cpuc-website/divisions/office-of-governmental-affairs-division/reports/2023/2023-rps-annual-report-to-the-legislature.pdf" xr:uid="{B87028AC-7D3B-445E-AAF0-1D522C62E044}"/>
    <hyperlink ref="H20" r:id="rId12" display="https://www.cpuc.ca.gov/-/media/cpuc-website/divisions/office-of-governmental-affairs-division/reports/2023/2023-rps-annual-report-to-the-legislature.pdf" xr:uid="{81ECC266-91FC-4512-A0B8-4515E2FEDF4D}"/>
    <hyperlink ref="H4" r:id="rId13" xr:uid="{68FEC202-E742-4737-B7A2-31A76D9EF0DB}"/>
    <hyperlink ref="H15" r:id="rId14" xr:uid="{632353F9-78DC-4FBF-A6D8-1C272C63B788}"/>
    <hyperlink ref="H10" r:id="rId15" display="https://www.spglobal.com/commodityinsights/en/market-insights/latest-news/energy-transition/020223-greener-than-green-hydrogen-project-nears-construction-phase-in-california" xr:uid="{3061FACA-5E37-44B0-BCE6-909E7994D62B}"/>
    <hyperlink ref="H21" r:id="rId16" display="https://www.spglobal.com/commodityinsights/en/market-insights/latest-news/energy-transition/020223-greener-than-green-hydrogen-project-nears-construction-phase-in-california" xr:uid="{2AC46F89-B0A4-46B7-AE5B-A871E11EFAD3}"/>
    <hyperlink ref="H11" r:id="rId17" display="https://theicct.org/wp-content/uploads/2023/05/case-studies-california-rng-outlook-2030-may23.pdf" xr:uid="{A9337216-B567-4EF9-84FF-95EB2801414D}"/>
    <hyperlink ref="H22" r:id="rId18" display="https://theicct.org/wp-content/uploads/2023/05/case-studies-california-rng-outlook-2030-may23.pdf" xr:uid="{E86D63D0-DB42-43D8-A6B4-8A6F272B3354}"/>
    <hyperlink ref="H23" r:id="rId19" display="https://www.spglobal.com/commodityinsights/en/market-insights/latest-news/agriculture/082422-sustainable-aviation-fuel-a-winner-as-us-renewable-fuel-producers-embrace-inflation-reduction-act" xr:uid="{FC712674-2E7F-4722-BBDE-1F64A7B0DE33}"/>
    <hyperlink ref="H12" r:id="rId20" location=":~:text=These%20prices%20are%20the%20average,SAF)%20is%20%249.49%20per%20gallon" display="https://www.globalair.com/airport/region.aspx - :~:text=These%20prices%20are%20the%20average,SAF)%20is%20%249.49%20per%20gallon" xr:uid="{1802F9EE-6CF0-4F63-A30F-A15A0BC5E86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75" x14ac:dyDescent="0.25"/>
  <cols>
    <col min="1" max="1" width="11.125" bestFit="1" customWidth="1"/>
    <col min="2" max="2" width="12.25" bestFit="1" customWidth="1"/>
    <col min="3" max="3" width="17.125" bestFit="1" customWidth="1"/>
    <col min="4" max="4" width="27.875" bestFit="1" customWidth="1"/>
    <col min="5" max="5" width="13.375" bestFit="1" customWidth="1"/>
    <col min="6" max="6" width="7.625" bestFit="1" customWidth="1"/>
    <col min="7" max="7" width="12.75" bestFit="1" customWidth="1"/>
    <col min="8" max="8" width="13.875" bestFit="1" customWidth="1"/>
    <col min="9" max="9" width="68.375" bestFit="1" customWidth="1"/>
    <col min="10" max="10" width="9.875" bestFit="1" customWidth="1"/>
  </cols>
  <sheetData>
    <row r="1" spans="1:10" x14ac:dyDescent="0.25">
      <c r="A1" s="1" t="s">
        <v>0</v>
      </c>
      <c r="B1" s="1" t="s">
        <v>1</v>
      </c>
      <c r="C1" t="s">
        <v>2</v>
      </c>
      <c r="D1" t="s">
        <v>3</v>
      </c>
      <c r="E1" t="s">
        <v>5</v>
      </c>
      <c r="F1" t="s">
        <v>6</v>
      </c>
      <c r="G1" t="s">
        <v>7</v>
      </c>
      <c r="H1" t="s">
        <v>8</v>
      </c>
      <c r="I1" t="s">
        <v>9</v>
      </c>
      <c r="J1" t="s">
        <v>10</v>
      </c>
    </row>
    <row r="2" spans="1:10" x14ac:dyDescent="0.25">
      <c r="A2" s="1" t="s">
        <v>11</v>
      </c>
      <c r="B2" s="1" t="s">
        <v>12</v>
      </c>
      <c r="C2" t="s">
        <v>89</v>
      </c>
      <c r="D2" t="s">
        <v>90</v>
      </c>
      <c r="E2" t="s">
        <v>91</v>
      </c>
      <c r="F2">
        <v>3.4599999999999999E-2</v>
      </c>
    </row>
    <row r="3" spans="1:10" x14ac:dyDescent="0.25">
      <c r="A3" s="47" t="s">
        <v>11</v>
      </c>
      <c r="B3" s="47" t="s">
        <v>19</v>
      </c>
      <c r="C3" t="s">
        <v>89</v>
      </c>
      <c r="D3" t="s">
        <v>90</v>
      </c>
      <c r="E3" t="s">
        <v>91</v>
      </c>
      <c r="F3">
        <v>3.4599999999999999E-2</v>
      </c>
      <c r="G3" s="13"/>
      <c r="I3" s="13" t="s">
        <v>92</v>
      </c>
    </row>
    <row r="4" spans="1:10" x14ac:dyDescent="0.25">
      <c r="A4" s="1" t="s">
        <v>22</v>
      </c>
      <c r="B4" s="1" t="s">
        <v>12</v>
      </c>
      <c r="C4" t="s">
        <v>89</v>
      </c>
      <c r="D4" t="s">
        <v>90</v>
      </c>
      <c r="E4" t="s">
        <v>91</v>
      </c>
      <c r="F4">
        <v>2.3599999999999999E-2</v>
      </c>
    </row>
    <row r="5" spans="1:10" x14ac:dyDescent="0.25">
      <c r="A5" s="1" t="s">
        <v>11</v>
      </c>
      <c r="B5" s="1" t="s">
        <v>12</v>
      </c>
      <c r="C5" t="s">
        <v>89</v>
      </c>
      <c r="D5" t="s">
        <v>93</v>
      </c>
      <c r="E5" t="s">
        <v>91</v>
      </c>
      <c r="F5">
        <v>2.8199999999999999E-2</v>
      </c>
    </row>
    <row r="6" spans="1:10" x14ac:dyDescent="0.25">
      <c r="A6" s="1" t="s">
        <v>11</v>
      </c>
      <c r="B6" s="1" t="s">
        <v>19</v>
      </c>
      <c r="C6" t="s">
        <v>89</v>
      </c>
      <c r="D6" t="s">
        <v>93</v>
      </c>
      <c r="E6" t="s">
        <v>91</v>
      </c>
      <c r="F6">
        <v>2.8199999999999999E-2</v>
      </c>
    </row>
    <row r="7" spans="1:10" x14ac:dyDescent="0.25">
      <c r="A7" s="1" t="s">
        <v>22</v>
      </c>
      <c r="B7" s="1" t="s">
        <v>12</v>
      </c>
      <c r="C7" t="s">
        <v>89</v>
      </c>
      <c r="D7" t="s">
        <v>93</v>
      </c>
      <c r="E7" t="s">
        <v>91</v>
      </c>
      <c r="F7">
        <v>4.0899999999999999E-2</v>
      </c>
    </row>
    <row r="8" spans="1:10" x14ac:dyDescent="0.25">
      <c r="A8" s="1" t="s">
        <v>11</v>
      </c>
      <c r="B8" s="1" t="s">
        <v>12</v>
      </c>
      <c r="C8" t="s">
        <v>89</v>
      </c>
      <c r="D8" t="s">
        <v>94</v>
      </c>
      <c r="E8" t="s">
        <v>91</v>
      </c>
      <c r="F8">
        <v>3.3399999999999999E-2</v>
      </c>
    </row>
    <row r="9" spans="1:10" x14ac:dyDescent="0.25">
      <c r="A9" s="1" t="s">
        <v>11</v>
      </c>
      <c r="B9" s="1" t="s">
        <v>19</v>
      </c>
      <c r="C9" t="s">
        <v>89</v>
      </c>
      <c r="D9" t="s">
        <v>94</v>
      </c>
      <c r="E9" t="s">
        <v>91</v>
      </c>
      <c r="F9">
        <v>3.3399999999999999E-2</v>
      </c>
    </row>
    <row r="10" spans="1:10" x14ac:dyDescent="0.25">
      <c r="A10" s="1" t="s">
        <v>22</v>
      </c>
      <c r="B10" s="1" t="s">
        <v>12</v>
      </c>
      <c r="C10" t="s">
        <v>89</v>
      </c>
      <c r="D10" t="s">
        <v>94</v>
      </c>
      <c r="E10" t="s">
        <v>91</v>
      </c>
      <c r="F10">
        <v>0.02</v>
      </c>
    </row>
    <row r="11" spans="1:10" x14ac:dyDescent="0.25">
      <c r="A11" s="1" t="s">
        <v>11</v>
      </c>
      <c r="B11" s="1" t="s">
        <v>12</v>
      </c>
      <c r="C11" t="s">
        <v>89</v>
      </c>
      <c r="D11" t="s">
        <v>95</v>
      </c>
      <c r="E11" t="s">
        <v>91</v>
      </c>
      <c r="F11">
        <v>5.62E-3</v>
      </c>
    </row>
    <row r="12" spans="1:10" x14ac:dyDescent="0.25">
      <c r="A12" s="1" t="s">
        <v>11</v>
      </c>
      <c r="B12" s="1" t="s">
        <v>19</v>
      </c>
      <c r="C12" t="s">
        <v>89</v>
      </c>
      <c r="D12" t="s">
        <v>95</v>
      </c>
      <c r="E12" t="s">
        <v>91</v>
      </c>
      <c r="F12">
        <v>5.62E-3</v>
      </c>
    </row>
    <row r="13" spans="1:10" x14ac:dyDescent="0.25">
      <c r="A13" s="1" t="s">
        <v>22</v>
      </c>
      <c r="B13" s="1" t="s">
        <v>12</v>
      </c>
      <c r="C13" t="s">
        <v>89</v>
      </c>
      <c r="D13" t="s">
        <v>95</v>
      </c>
      <c r="E13" t="s">
        <v>91</v>
      </c>
      <c r="F13">
        <v>1.1299999999999999E-3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75" x14ac:dyDescent="0.25"/>
  <cols>
    <col min="1" max="1" width="13" customWidth="1"/>
    <col min="2" max="2" width="11.875" bestFit="1" customWidth="1"/>
    <col min="3" max="3" width="22.5" customWidth="1"/>
    <col min="4" max="4" width="29.5" customWidth="1"/>
  </cols>
  <sheetData>
    <row r="1" spans="1:5" x14ac:dyDescent="0.25">
      <c r="A1" t="s">
        <v>1</v>
      </c>
      <c r="B1" t="s">
        <v>96</v>
      </c>
      <c r="C1" t="s">
        <v>97</v>
      </c>
      <c r="D1" t="s">
        <v>54</v>
      </c>
      <c r="E1" t="s">
        <v>9</v>
      </c>
    </row>
    <row r="2" spans="1:5" x14ac:dyDescent="0.25">
      <c r="A2" t="s">
        <v>12</v>
      </c>
      <c r="B2">
        <v>83.81</v>
      </c>
      <c r="C2" t="s">
        <v>98</v>
      </c>
      <c r="D2" s="36" t="s">
        <v>99</v>
      </c>
      <c r="E2" s="13" t="s">
        <v>100</v>
      </c>
    </row>
    <row r="3" spans="1:5" x14ac:dyDescent="0.2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B20" sqref="B20"/>
    </sheetView>
  </sheetViews>
  <sheetFormatPr defaultRowHeight="15.75" x14ac:dyDescent="0.25"/>
  <cols>
    <col min="1" max="1" width="20.625" bestFit="1" customWidth="1"/>
    <col min="2" max="2" width="22" bestFit="1" customWidth="1"/>
    <col min="3" max="3" width="23.75" customWidth="1"/>
    <col min="4" max="4" width="9" customWidth="1"/>
    <col min="5" max="5" width="15.25" customWidth="1"/>
    <col min="6" max="6" width="11.125" customWidth="1"/>
    <col min="7" max="7" width="17.75" customWidth="1"/>
    <col min="8" max="8" width="10.5" customWidth="1"/>
    <col min="9" max="9" width="14.375" customWidth="1"/>
    <col min="10" max="10" width="20" customWidth="1"/>
    <col min="11" max="11" width="43.5" customWidth="1"/>
    <col min="12" max="12" width="14.375" customWidth="1"/>
    <col min="13" max="13" width="19.125" bestFit="1" customWidth="1"/>
    <col min="14" max="15" width="10.5" customWidth="1"/>
    <col min="16" max="16" width="31.5" bestFit="1" customWidth="1"/>
  </cols>
  <sheetData>
    <row r="1" spans="1:37" x14ac:dyDescent="0.25">
      <c r="A1" t="s">
        <v>0</v>
      </c>
      <c r="B1" t="s">
        <v>1</v>
      </c>
      <c r="C1" t="s">
        <v>101</v>
      </c>
      <c r="D1" t="s">
        <v>102</v>
      </c>
      <c r="E1" t="s">
        <v>103</v>
      </c>
      <c r="F1" t="s">
        <v>104</v>
      </c>
      <c r="G1" t="s">
        <v>105</v>
      </c>
      <c r="H1" t="s">
        <v>97</v>
      </c>
      <c r="I1" t="s">
        <v>106</v>
      </c>
      <c r="J1" t="s">
        <v>107</v>
      </c>
      <c r="K1" t="s">
        <v>108</v>
      </c>
      <c r="L1" t="s">
        <v>109</v>
      </c>
      <c r="M1" t="s">
        <v>248</v>
      </c>
      <c r="N1" t="s">
        <v>249</v>
      </c>
      <c r="O1" t="s">
        <v>109</v>
      </c>
      <c r="P1" t="s">
        <v>110</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25">
      <c r="A2" t="s">
        <v>11</v>
      </c>
      <c r="B2" t="s">
        <v>12</v>
      </c>
      <c r="C2" t="s">
        <v>111</v>
      </c>
      <c r="D2" t="s">
        <v>112</v>
      </c>
      <c r="E2" s="5">
        <f>G2*1000000000000</f>
        <v>3599.8225679871703</v>
      </c>
      <c r="F2" t="s">
        <v>113</v>
      </c>
      <c r="G2" s="37">
        <v>3.5998225679871703E-9</v>
      </c>
      <c r="H2" t="s">
        <v>114</v>
      </c>
      <c r="P2" s="39" t="s">
        <v>115</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25">
      <c r="A3" t="s">
        <v>11</v>
      </c>
      <c r="B3" t="s">
        <v>19</v>
      </c>
      <c r="C3" t="s">
        <v>116</v>
      </c>
      <c r="D3" t="s">
        <v>117</v>
      </c>
      <c r="E3" s="5">
        <f t="shared" ref="E3:E17" si="0">G3*1000000000000</f>
        <v>119999.99999999999</v>
      </c>
      <c r="F3" t="s">
        <v>118</v>
      </c>
      <c r="G3" s="7">
        <v>1.1999999999999999E-7</v>
      </c>
      <c r="H3" t="s">
        <v>119</v>
      </c>
      <c r="I3" s="41">
        <v>0.64900000000000002</v>
      </c>
      <c r="J3">
        <v>51.3</v>
      </c>
      <c r="K3" s="41" t="s">
        <v>120</v>
      </c>
      <c r="L3" s="42" t="s">
        <v>121</v>
      </c>
      <c r="O3" t="s">
        <v>122</v>
      </c>
    </row>
    <row r="4" spans="1:37" x14ac:dyDescent="0.25">
      <c r="A4" t="s">
        <v>22</v>
      </c>
      <c r="B4" t="s">
        <v>12</v>
      </c>
      <c r="C4" t="s">
        <v>111</v>
      </c>
      <c r="D4" t="s">
        <v>112</v>
      </c>
      <c r="E4" s="5">
        <f t="shared" si="0"/>
        <v>3599.8225679871703</v>
      </c>
      <c r="F4" t="s">
        <v>113</v>
      </c>
      <c r="G4" s="37">
        <v>3.5998225679871703E-9</v>
      </c>
      <c r="H4" t="s">
        <v>114</v>
      </c>
      <c r="P4" s="39" t="s">
        <v>115</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25">
      <c r="A5" t="s">
        <v>34</v>
      </c>
      <c r="B5" t="s">
        <v>12</v>
      </c>
      <c r="C5" t="s">
        <v>111</v>
      </c>
      <c r="D5" t="s">
        <v>112</v>
      </c>
      <c r="E5" s="5">
        <f t="shared" si="0"/>
        <v>3599.8225679871703</v>
      </c>
      <c r="F5" t="s">
        <v>113</v>
      </c>
      <c r="G5" s="37">
        <v>3.5998225679871703E-9</v>
      </c>
      <c r="H5" t="s">
        <v>114</v>
      </c>
      <c r="P5" s="39" t="s">
        <v>115</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25">
      <c r="A6" t="s">
        <v>35</v>
      </c>
      <c r="B6" t="s">
        <v>12</v>
      </c>
      <c r="C6" t="s">
        <v>111</v>
      </c>
      <c r="D6" t="s">
        <v>112</v>
      </c>
      <c r="E6" s="5">
        <f t="shared" si="0"/>
        <v>3599.8225679871703</v>
      </c>
      <c r="F6" t="s">
        <v>113</v>
      </c>
      <c r="G6" s="37">
        <v>3.5998225679871703E-9</v>
      </c>
      <c r="H6" t="s">
        <v>114</v>
      </c>
      <c r="P6" s="39" t="s">
        <v>115</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25">
      <c r="A7" t="s">
        <v>36</v>
      </c>
      <c r="B7" t="s">
        <v>12</v>
      </c>
      <c r="C7" t="s">
        <v>111</v>
      </c>
      <c r="D7" t="s">
        <v>112</v>
      </c>
      <c r="E7" s="5">
        <f>G7*1000000000000</f>
        <v>3599.8225679871703</v>
      </c>
      <c r="F7" t="s">
        <v>113</v>
      </c>
      <c r="G7" s="37">
        <v>3.5998225679871703E-9</v>
      </c>
      <c r="H7" t="s">
        <v>114</v>
      </c>
      <c r="I7" s="40">
        <v>0.25</v>
      </c>
      <c r="J7" s="12"/>
      <c r="K7" s="40"/>
      <c r="L7" s="40"/>
      <c r="M7">
        <v>19800</v>
      </c>
      <c r="N7" t="s">
        <v>123</v>
      </c>
      <c r="O7" t="s">
        <v>124</v>
      </c>
      <c r="P7" s="39" t="s">
        <v>115</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25">
      <c r="A8" t="s">
        <v>37</v>
      </c>
      <c r="B8" t="s">
        <v>12</v>
      </c>
      <c r="C8" t="s">
        <v>111</v>
      </c>
      <c r="D8" t="s">
        <v>112</v>
      </c>
      <c r="E8" s="5">
        <f t="shared" ref="E8:E9" si="1">G8*1000000000000</f>
        <v>3599.8225679871703</v>
      </c>
      <c r="F8" t="s">
        <v>113</v>
      </c>
      <c r="G8" s="37">
        <v>3.5998225679871703E-9</v>
      </c>
      <c r="H8" t="s">
        <v>114</v>
      </c>
      <c r="I8" s="40"/>
      <c r="J8" s="12"/>
      <c r="K8" s="40"/>
      <c r="L8" s="40"/>
      <c r="P8" s="39" t="s">
        <v>115</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25">
      <c r="A9" t="s">
        <v>38</v>
      </c>
      <c r="B9" t="s">
        <v>12</v>
      </c>
      <c r="C9" t="s">
        <v>111</v>
      </c>
      <c r="D9" t="s">
        <v>112</v>
      </c>
      <c r="E9" s="5">
        <f t="shared" si="1"/>
        <v>3599.8225679871703</v>
      </c>
      <c r="F9" t="s">
        <v>113</v>
      </c>
      <c r="G9" s="37">
        <v>3.5998225679871703E-9</v>
      </c>
      <c r="H9" t="s">
        <v>114</v>
      </c>
      <c r="I9" s="40"/>
      <c r="J9" s="12">
        <v>2.5000000000000001E-2</v>
      </c>
      <c r="K9" s="40" t="s">
        <v>256</v>
      </c>
      <c r="L9" s="40"/>
      <c r="P9" s="39" t="s">
        <v>115</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25">
      <c r="A10" t="s">
        <v>40</v>
      </c>
      <c r="B10" t="s">
        <v>19</v>
      </c>
      <c r="C10" t="s">
        <v>116</v>
      </c>
      <c r="D10" t="s">
        <v>117</v>
      </c>
      <c r="E10" s="5">
        <f t="shared" si="0"/>
        <v>119999.99999999999</v>
      </c>
      <c r="F10" t="s">
        <v>118</v>
      </c>
      <c r="G10">
        <v>1.1999999999999999E-7</v>
      </c>
      <c r="H10" t="s">
        <v>119</v>
      </c>
      <c r="I10" s="40">
        <v>0.72</v>
      </c>
      <c r="J10">
        <v>0.16700000000000001</v>
      </c>
      <c r="K10" s="40" t="s">
        <v>125</v>
      </c>
      <c r="L10" s="43" t="s">
        <v>252</v>
      </c>
      <c r="O10" s="36" t="s">
        <v>127</v>
      </c>
    </row>
    <row r="11" spans="1:37" x14ac:dyDescent="0.25">
      <c r="A11" t="s">
        <v>38</v>
      </c>
      <c r="B11" t="s">
        <v>19</v>
      </c>
      <c r="C11" t="s">
        <v>116</v>
      </c>
      <c r="D11" t="s">
        <v>117</v>
      </c>
      <c r="E11" s="5">
        <f t="shared" ref="E11" si="2">G11*1000000000000</f>
        <v>119999.99999999999</v>
      </c>
      <c r="F11" t="s">
        <v>118</v>
      </c>
      <c r="G11">
        <v>1.1999999999999999E-7</v>
      </c>
      <c r="H11" t="s">
        <v>119</v>
      </c>
      <c r="I11" s="40"/>
      <c r="J11" s="12">
        <v>0.16700000000000001</v>
      </c>
      <c r="K11" s="40" t="s">
        <v>125</v>
      </c>
      <c r="L11" s="43"/>
      <c r="O11" s="36"/>
    </row>
    <row r="12" spans="1:37" x14ac:dyDescent="0.25">
      <c r="A12" t="s">
        <v>37</v>
      </c>
      <c r="B12" t="s">
        <v>19</v>
      </c>
      <c r="C12" t="s">
        <v>116</v>
      </c>
      <c r="D12" t="s">
        <v>117</v>
      </c>
      <c r="E12" s="5">
        <f t="shared" si="0"/>
        <v>119999.99999999999</v>
      </c>
      <c r="F12" t="s">
        <v>118</v>
      </c>
      <c r="G12">
        <v>1.1999999999999999E-7</v>
      </c>
      <c r="H12" t="s">
        <v>119</v>
      </c>
      <c r="I12" s="40">
        <v>0.44</v>
      </c>
      <c r="J12">
        <v>13</v>
      </c>
      <c r="K12" s="40" t="s">
        <v>128</v>
      </c>
      <c r="L12" s="43" t="s">
        <v>126</v>
      </c>
      <c r="M12">
        <v>19800</v>
      </c>
      <c r="N12" t="s">
        <v>123</v>
      </c>
      <c r="O12" t="s">
        <v>129</v>
      </c>
    </row>
    <row r="13" spans="1:37" x14ac:dyDescent="0.25">
      <c r="A13" t="s">
        <v>36</v>
      </c>
      <c r="B13" t="s">
        <v>19</v>
      </c>
      <c r="C13" t="s">
        <v>116</v>
      </c>
      <c r="D13" t="s">
        <v>117</v>
      </c>
      <c r="E13" s="5">
        <f t="shared" si="0"/>
        <v>119999.99999999999</v>
      </c>
      <c r="F13" t="s">
        <v>118</v>
      </c>
      <c r="G13">
        <v>1.1999999999999999E-7</v>
      </c>
      <c r="H13" t="s">
        <v>119</v>
      </c>
      <c r="I13" s="40">
        <v>0.44</v>
      </c>
      <c r="J13">
        <v>13</v>
      </c>
      <c r="K13" s="40" t="s">
        <v>128</v>
      </c>
      <c r="L13" s="43" t="s">
        <v>126</v>
      </c>
      <c r="M13">
        <v>19800</v>
      </c>
      <c r="N13" t="s">
        <v>123</v>
      </c>
      <c r="O13" t="s">
        <v>129</v>
      </c>
    </row>
    <row r="14" spans="1:37" x14ac:dyDescent="0.25">
      <c r="A14" t="s">
        <v>43</v>
      </c>
      <c r="B14" t="s">
        <v>38</v>
      </c>
      <c r="C14" t="s">
        <v>130</v>
      </c>
      <c r="D14" t="s">
        <v>57</v>
      </c>
      <c r="E14" s="5">
        <f t="shared" si="0"/>
        <v>1093000</v>
      </c>
      <c r="F14" t="s">
        <v>131</v>
      </c>
      <c r="G14">
        <v>1.093E-6</v>
      </c>
      <c r="H14" t="s">
        <v>132</v>
      </c>
      <c r="J14" s="12">
        <v>50</v>
      </c>
      <c r="K14" s="40" t="s">
        <v>255</v>
      </c>
      <c r="M14">
        <v>19800</v>
      </c>
      <c r="N14" t="s">
        <v>123</v>
      </c>
    </row>
    <row r="15" spans="1:37" x14ac:dyDescent="0.25">
      <c r="A15" t="s">
        <v>42</v>
      </c>
      <c r="B15" t="s">
        <v>38</v>
      </c>
      <c r="C15" t="s">
        <v>130</v>
      </c>
      <c r="D15" t="s">
        <v>57</v>
      </c>
      <c r="E15" s="5">
        <f t="shared" si="0"/>
        <v>1093000</v>
      </c>
      <c r="F15" t="s">
        <v>131</v>
      </c>
      <c r="G15">
        <v>1.093E-6</v>
      </c>
      <c r="H15" t="s">
        <v>132</v>
      </c>
      <c r="J15" s="12">
        <v>20000</v>
      </c>
      <c r="K15" s="40" t="s">
        <v>133</v>
      </c>
      <c r="M15">
        <v>19800</v>
      </c>
      <c r="N15" t="s">
        <v>123</v>
      </c>
    </row>
    <row r="16" spans="1:37" x14ac:dyDescent="0.25">
      <c r="A16" t="s">
        <v>45</v>
      </c>
      <c r="B16" s="1" t="s">
        <v>46</v>
      </c>
      <c r="C16" t="s">
        <v>134</v>
      </c>
      <c r="D16" t="s">
        <v>135</v>
      </c>
      <c r="E16" s="5">
        <f t="shared" si="0"/>
        <v>142432539.75000003</v>
      </c>
      <c r="F16" t="s">
        <v>136</v>
      </c>
      <c r="G16">
        <v>1.4243253975000002E-4</v>
      </c>
      <c r="H16" t="s">
        <v>137</v>
      </c>
      <c r="J16" s="12">
        <v>1</v>
      </c>
      <c r="K16" s="40" t="s">
        <v>247</v>
      </c>
      <c r="L16" t="s">
        <v>245</v>
      </c>
    </row>
    <row r="17" spans="1:15" x14ac:dyDescent="0.25">
      <c r="A17" t="s">
        <v>48</v>
      </c>
      <c r="B17" s="1" t="s">
        <v>46</v>
      </c>
      <c r="C17" t="s">
        <v>134</v>
      </c>
      <c r="D17" t="s">
        <v>135</v>
      </c>
      <c r="E17" s="5">
        <f t="shared" si="0"/>
        <v>142432539.75000003</v>
      </c>
      <c r="F17" t="s">
        <v>136</v>
      </c>
      <c r="G17">
        <v>1.4243253975000002E-4</v>
      </c>
      <c r="H17" t="s">
        <v>137</v>
      </c>
      <c r="J17" s="12">
        <v>1</v>
      </c>
      <c r="K17" s="40" t="s">
        <v>247</v>
      </c>
      <c r="L17" t="s">
        <v>245</v>
      </c>
    </row>
    <row r="18" spans="1:15" x14ac:dyDescent="0.25">
      <c r="A18" t="s">
        <v>37</v>
      </c>
      <c r="B18" s="1" t="s">
        <v>46</v>
      </c>
      <c r="C18" t="s">
        <v>134</v>
      </c>
      <c r="D18" t="s">
        <v>135</v>
      </c>
      <c r="E18" s="5">
        <f t="shared" ref="E18:E19" si="3">G18*1000000000000</f>
        <v>142432539.75000003</v>
      </c>
      <c r="F18" t="s">
        <v>136</v>
      </c>
      <c r="G18">
        <v>1.4243253975000002E-4</v>
      </c>
      <c r="H18" t="s">
        <v>137</v>
      </c>
      <c r="J18" s="5">
        <v>16181.229773462785</v>
      </c>
      <c r="K18" s="40" t="s">
        <v>246</v>
      </c>
      <c r="L18" t="s">
        <v>250</v>
      </c>
      <c r="O18" s="53"/>
    </row>
    <row r="19" spans="1:15" x14ac:dyDescent="0.25">
      <c r="A19" t="s">
        <v>36</v>
      </c>
      <c r="B19" s="1" t="s">
        <v>46</v>
      </c>
      <c r="C19" t="s">
        <v>134</v>
      </c>
      <c r="D19" t="s">
        <v>135</v>
      </c>
      <c r="E19" s="5">
        <f t="shared" si="3"/>
        <v>142432539.75000003</v>
      </c>
      <c r="F19" t="s">
        <v>136</v>
      </c>
      <c r="G19">
        <v>1.4243253975000002E-4</v>
      </c>
      <c r="H19" t="s">
        <v>137</v>
      </c>
      <c r="J19" s="5">
        <v>14492.753623188406</v>
      </c>
      <c r="K19" s="40" t="s">
        <v>246</v>
      </c>
      <c r="L19" t="s">
        <v>251</v>
      </c>
      <c r="O19" s="53"/>
    </row>
    <row r="23" spans="1:15" x14ac:dyDescent="0.25">
      <c r="L23">
        <v>1000</v>
      </c>
      <c r="M23" t="s">
        <v>253</v>
      </c>
      <c r="N23" t="s">
        <v>254</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19"/>
  <sheetViews>
    <sheetView workbookViewId="0">
      <selection activeCell="B19" sqref="B19"/>
    </sheetView>
  </sheetViews>
  <sheetFormatPr defaultRowHeight="15.75" x14ac:dyDescent="0.25"/>
  <cols>
    <col min="1" max="1" width="14.625" customWidth="1"/>
    <col min="2" max="2" width="30.375" customWidth="1"/>
    <col min="3" max="3" width="8.375" customWidth="1"/>
    <col min="4" max="4" width="23.875" customWidth="1"/>
    <col min="5" max="25" width="8.25" customWidth="1"/>
  </cols>
  <sheetData>
    <row r="1" spans="1:25" x14ac:dyDescent="0.25">
      <c r="A1" t="s">
        <v>0</v>
      </c>
      <c r="B1" t="s">
        <v>1</v>
      </c>
      <c r="C1" t="s">
        <v>101</v>
      </c>
      <c r="D1" t="s">
        <v>110</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25">
      <c r="A2" t="s">
        <v>11</v>
      </c>
      <c r="B2" t="s">
        <v>12</v>
      </c>
      <c r="C2" t="s">
        <v>111</v>
      </c>
      <c r="D2" t="s">
        <v>115</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25">
      <c r="A3" t="s">
        <v>22</v>
      </c>
      <c r="B3" t="s">
        <v>12</v>
      </c>
      <c r="C3" t="s">
        <v>111</v>
      </c>
      <c r="D3" t="s">
        <v>115</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25">
      <c r="A4" s="12" t="s">
        <v>34</v>
      </c>
      <c r="B4" s="12" t="s">
        <v>12</v>
      </c>
      <c r="C4" s="12" t="s">
        <v>111</v>
      </c>
      <c r="D4" s="12" t="s">
        <v>115</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25">
      <c r="A5" s="12" t="s">
        <v>35</v>
      </c>
      <c r="B5" s="12" t="s">
        <v>12</v>
      </c>
      <c r="C5" s="12" t="s">
        <v>111</v>
      </c>
      <c r="D5" s="12" t="s">
        <v>115</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25">
      <c r="A6" s="12" t="s">
        <v>36</v>
      </c>
      <c r="B6" s="12" t="s">
        <v>12</v>
      </c>
      <c r="C6" s="12" t="s">
        <v>111</v>
      </c>
      <c r="D6" s="12" t="s">
        <v>115</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25">
      <c r="A7" s="12" t="s">
        <v>37</v>
      </c>
      <c r="B7" s="12" t="s">
        <v>12</v>
      </c>
      <c r="C7" s="12" t="s">
        <v>111</v>
      </c>
      <c r="D7" s="12" t="s">
        <v>115</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25">
      <c r="A8" s="12" t="s">
        <v>43</v>
      </c>
      <c r="B8" s="12" t="s">
        <v>12</v>
      </c>
      <c r="C8" s="12" t="s">
        <v>111</v>
      </c>
      <c r="D8" s="12" t="s">
        <v>115</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25">
      <c r="A9" t="s">
        <v>42</v>
      </c>
      <c r="B9" s="12" t="s">
        <v>12</v>
      </c>
      <c r="C9" s="12" t="s">
        <v>111</v>
      </c>
      <c r="D9" s="12" t="s">
        <v>115</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row r="12" spans="1:25" x14ac:dyDescent="0.25">
      <c r="E12" s="71">
        <f>E2/8760</f>
        <v>0.26187622965636759</v>
      </c>
      <c r="F12" s="71">
        <f t="shared" ref="F12:Y12" si="0">F2/8760</f>
        <v>0.25572607372904549</v>
      </c>
      <c r="G12" s="71">
        <f t="shared" si="0"/>
        <v>0.24957591780172336</v>
      </c>
      <c r="H12" s="71">
        <f t="shared" si="0"/>
        <v>0.24342576187440126</v>
      </c>
      <c r="I12" s="71">
        <f t="shared" si="0"/>
        <v>0.23727560594707917</v>
      </c>
      <c r="J12" s="71">
        <f t="shared" si="0"/>
        <v>0.23112545001975709</v>
      </c>
      <c r="K12" s="71">
        <f t="shared" si="0"/>
        <v>0.224975294092435</v>
      </c>
      <c r="L12" s="71">
        <f t="shared" si="0"/>
        <v>0.21882513816511293</v>
      </c>
      <c r="M12" s="71">
        <f t="shared" si="0"/>
        <v>0.21267498223779085</v>
      </c>
      <c r="N12" s="71">
        <f t="shared" si="0"/>
        <v>0.20652482631046878</v>
      </c>
      <c r="O12" s="71">
        <f t="shared" si="0"/>
        <v>0.20037467038314669</v>
      </c>
      <c r="P12" s="71">
        <f t="shared" si="0"/>
        <v>0.19422451445582462</v>
      </c>
      <c r="Q12" s="71">
        <f t="shared" si="0"/>
        <v>0.18807435852850254</v>
      </c>
      <c r="R12" s="71">
        <f t="shared" si="0"/>
        <v>0.18192420260118047</v>
      </c>
      <c r="S12" s="71">
        <f t="shared" si="0"/>
        <v>0.17577404667385838</v>
      </c>
      <c r="T12" s="71">
        <f t="shared" si="0"/>
        <v>0.1696238907465363</v>
      </c>
      <c r="U12" s="71">
        <f t="shared" si="0"/>
        <v>0.16347373481921423</v>
      </c>
      <c r="V12" s="71">
        <f t="shared" si="0"/>
        <v>0.15732357889189214</v>
      </c>
      <c r="W12" s="71">
        <f t="shared" si="0"/>
        <v>0.15117342296457006</v>
      </c>
      <c r="X12" s="71">
        <f t="shared" si="0"/>
        <v>0.14502326703724799</v>
      </c>
      <c r="Y12" s="71">
        <f t="shared" si="0"/>
        <v>0.13887311110992592</v>
      </c>
    </row>
    <row r="13" spans="1:25" x14ac:dyDescent="0.25">
      <c r="E13" s="71">
        <f t="shared" ref="E13:E19" si="1">E3/8760</f>
        <v>0.28570875457778422</v>
      </c>
    </row>
    <row r="14" spans="1:25" x14ac:dyDescent="0.25">
      <c r="E14" s="71">
        <f t="shared" si="1"/>
        <v>0.13368702269483454</v>
      </c>
    </row>
    <row r="15" spans="1:25" x14ac:dyDescent="0.25">
      <c r="E15" s="71">
        <f t="shared" si="1"/>
        <v>0.19073300751397604</v>
      </c>
    </row>
    <row r="16" spans="1:25" x14ac:dyDescent="0.25">
      <c r="E16" s="71">
        <f t="shared" si="1"/>
        <v>0.68893673866789151</v>
      </c>
    </row>
    <row r="17" spans="5:5" x14ac:dyDescent="0.25">
      <c r="E17" s="71">
        <f t="shared" si="1"/>
        <v>0.68893673866789151</v>
      </c>
    </row>
    <row r="18" spans="5:5" x14ac:dyDescent="0.25">
      <c r="E18" s="71">
        <f t="shared" si="1"/>
        <v>0.68893673866789151</v>
      </c>
    </row>
    <row r="19" spans="5:5" x14ac:dyDescent="0.25">
      <c r="E19" s="71">
        <f t="shared" si="1"/>
        <v>0.68893673866789151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A4" workbookViewId="0">
      <selection activeCell="C24" sqref="C24"/>
    </sheetView>
  </sheetViews>
  <sheetFormatPr defaultColWidth="11" defaultRowHeight="15.75" x14ac:dyDescent="0.25"/>
  <cols>
    <col min="1" max="1" width="22.125" customWidth="1"/>
    <col min="2" max="2" width="31.875" bestFit="1" customWidth="1"/>
    <col min="3" max="4" width="21.625" bestFit="1" customWidth="1"/>
    <col min="5" max="5" width="15.625" bestFit="1" customWidth="1"/>
  </cols>
  <sheetData>
    <row r="1" spans="1:27" x14ac:dyDescent="0.25">
      <c r="A1" t="s">
        <v>288</v>
      </c>
      <c r="B1" t="s">
        <v>0</v>
      </c>
      <c r="C1" t="s">
        <v>140</v>
      </c>
      <c r="D1" t="s">
        <v>1</v>
      </c>
      <c r="E1" t="s">
        <v>101</v>
      </c>
      <c r="F1" t="s">
        <v>102</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289</v>
      </c>
      <c r="B2" t="s">
        <v>11</v>
      </c>
      <c r="C2" t="s">
        <v>141</v>
      </c>
      <c r="D2" t="s">
        <v>12</v>
      </c>
      <c r="E2" t="s">
        <v>111</v>
      </c>
      <c r="F2" t="s">
        <v>112</v>
      </c>
      <c r="G2" s="64">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25">
      <c r="A3" t="s">
        <v>289</v>
      </c>
      <c r="B3" t="s">
        <v>22</v>
      </c>
      <c r="C3" t="s">
        <v>142</v>
      </c>
      <c r="D3" t="s">
        <v>12</v>
      </c>
      <c r="E3" t="s">
        <v>111</v>
      </c>
      <c r="F3" t="s">
        <v>112</v>
      </c>
      <c r="G3" s="64">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25">
      <c r="A4" t="s">
        <v>290</v>
      </c>
      <c r="B4" t="s">
        <v>34</v>
      </c>
      <c r="C4" t="s">
        <v>143</v>
      </c>
      <c r="D4" t="s">
        <v>12</v>
      </c>
      <c r="E4" t="s">
        <v>111</v>
      </c>
      <c r="F4" t="s">
        <v>112</v>
      </c>
      <c r="G4" s="64">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25">
      <c r="A5" t="s">
        <v>290</v>
      </c>
      <c r="B5" t="s">
        <v>35</v>
      </c>
      <c r="C5" t="s">
        <v>144</v>
      </c>
      <c r="D5" t="s">
        <v>12</v>
      </c>
      <c r="E5" t="s">
        <v>111</v>
      </c>
      <c r="F5" t="s">
        <v>112</v>
      </c>
      <c r="G5" s="64">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25">
      <c r="A6" t="s">
        <v>138</v>
      </c>
      <c r="B6" t="s">
        <v>36</v>
      </c>
      <c r="C6" t="s">
        <v>145</v>
      </c>
      <c r="D6" t="s">
        <v>12</v>
      </c>
      <c r="E6" t="s">
        <v>111</v>
      </c>
      <c r="F6" t="s">
        <v>112</v>
      </c>
      <c r="G6" s="64">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25">
      <c r="A7" t="s">
        <v>138</v>
      </c>
      <c r="B7" t="s">
        <v>37</v>
      </c>
      <c r="C7" t="s">
        <v>145</v>
      </c>
      <c r="D7" t="s">
        <v>12</v>
      </c>
      <c r="E7" t="s">
        <v>111</v>
      </c>
      <c r="F7" t="s">
        <v>112</v>
      </c>
      <c r="G7" s="64">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25">
      <c r="A8" t="s">
        <v>138</v>
      </c>
      <c r="B8" s="13" t="s">
        <v>43</v>
      </c>
      <c r="C8" t="s">
        <v>291</v>
      </c>
      <c r="D8" t="s">
        <v>12</v>
      </c>
      <c r="E8" t="s">
        <v>111</v>
      </c>
      <c r="F8" t="s">
        <v>112</v>
      </c>
      <c r="G8" s="64">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25">
      <c r="A9" t="s">
        <v>138</v>
      </c>
      <c r="B9" s="13" t="s">
        <v>42</v>
      </c>
      <c r="C9" t="s">
        <v>291</v>
      </c>
      <c r="D9" t="s">
        <v>12</v>
      </c>
      <c r="E9" t="s">
        <v>111</v>
      </c>
      <c r="F9" t="s">
        <v>112</v>
      </c>
      <c r="G9" s="64">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25">
      <c r="A10" t="s">
        <v>289</v>
      </c>
      <c r="B10" t="s">
        <v>11</v>
      </c>
      <c r="C10" t="s">
        <v>147</v>
      </c>
      <c r="D10" t="s">
        <v>19</v>
      </c>
      <c r="E10" t="s">
        <v>116</v>
      </c>
      <c r="F10" t="s">
        <v>117</v>
      </c>
      <c r="G10" s="64">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4">
        <v>4.9689440993788822E-4</v>
      </c>
    </row>
    <row r="11" spans="1:27" x14ac:dyDescent="0.25">
      <c r="A11" t="s">
        <v>56</v>
      </c>
      <c r="B11" t="s">
        <v>40</v>
      </c>
      <c r="C11" t="s">
        <v>148</v>
      </c>
      <c r="D11" t="s">
        <v>19</v>
      </c>
      <c r="E11" t="s">
        <v>116</v>
      </c>
      <c r="F11" t="s">
        <v>117</v>
      </c>
      <c r="G11" s="64">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4">
        <v>310000</v>
      </c>
    </row>
    <row r="12" spans="1:27" x14ac:dyDescent="0.25">
      <c r="A12" t="s">
        <v>138</v>
      </c>
      <c r="B12" t="s">
        <v>37</v>
      </c>
      <c r="C12" t="s">
        <v>149</v>
      </c>
      <c r="D12" t="s">
        <v>19</v>
      </c>
      <c r="E12" t="s">
        <v>116</v>
      </c>
      <c r="F12" t="s">
        <v>117</v>
      </c>
      <c r="G12" s="64">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4">
        <v>11000</v>
      </c>
    </row>
    <row r="13" spans="1:27" x14ac:dyDescent="0.25">
      <c r="A13" t="s">
        <v>138</v>
      </c>
      <c r="B13" t="s">
        <v>36</v>
      </c>
      <c r="C13" t="s">
        <v>149</v>
      </c>
      <c r="D13" t="s">
        <v>19</v>
      </c>
      <c r="E13" t="s">
        <v>116</v>
      </c>
      <c r="F13" t="s">
        <v>117</v>
      </c>
      <c r="G13" s="64">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4">
        <v>83854.869455332082</v>
      </c>
    </row>
    <row r="14" spans="1:27" x14ac:dyDescent="0.25">
      <c r="A14" t="s">
        <v>138</v>
      </c>
      <c r="B14" t="s">
        <v>43</v>
      </c>
      <c r="C14" t="s">
        <v>292</v>
      </c>
      <c r="D14" t="s">
        <v>19</v>
      </c>
      <c r="E14" t="s">
        <v>116</v>
      </c>
      <c r="F14" t="s">
        <v>117</v>
      </c>
      <c r="G14" s="64">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4">
        <v>20</v>
      </c>
    </row>
    <row r="15" spans="1:27" x14ac:dyDescent="0.25">
      <c r="A15" t="s">
        <v>138</v>
      </c>
      <c r="B15" t="s">
        <v>42</v>
      </c>
      <c r="C15" t="s">
        <v>292</v>
      </c>
      <c r="D15" t="s">
        <v>19</v>
      </c>
      <c r="E15" t="s">
        <v>116</v>
      </c>
      <c r="F15" t="s">
        <v>117</v>
      </c>
      <c r="G15" s="64">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4">
        <v>20</v>
      </c>
    </row>
    <row r="16" spans="1:27" x14ac:dyDescent="0.25">
      <c r="A16" t="s">
        <v>138</v>
      </c>
      <c r="B16" s="13" t="s">
        <v>43</v>
      </c>
      <c r="C16" t="s">
        <v>151</v>
      </c>
      <c r="D16" t="s">
        <v>38</v>
      </c>
      <c r="E16" t="s">
        <v>130</v>
      </c>
      <c r="F16" t="s">
        <v>57</v>
      </c>
      <c r="G16" s="64">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4">
        <v>39760971.535051085</v>
      </c>
    </row>
    <row r="17" spans="1:27" x14ac:dyDescent="0.25">
      <c r="A17" t="s">
        <v>138</v>
      </c>
      <c r="B17" s="13" t="s">
        <v>42</v>
      </c>
      <c r="C17" t="s">
        <v>151</v>
      </c>
      <c r="D17" t="s">
        <v>38</v>
      </c>
      <c r="E17" t="s">
        <v>130</v>
      </c>
      <c r="F17" t="s">
        <v>57</v>
      </c>
      <c r="G17" s="64">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4">
        <v>2572768.7463856577</v>
      </c>
    </row>
    <row r="18" spans="1:27" x14ac:dyDescent="0.25">
      <c r="A18" t="s">
        <v>138</v>
      </c>
      <c r="B18" t="s">
        <v>37</v>
      </c>
      <c r="C18" t="s">
        <v>154</v>
      </c>
      <c r="D18" t="s">
        <v>46</v>
      </c>
      <c r="E18" t="s">
        <v>134</v>
      </c>
      <c r="F18" t="s">
        <v>135</v>
      </c>
      <c r="G18" s="64">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25">
      <c r="A19" t="s">
        <v>138</v>
      </c>
      <c r="B19" t="s">
        <v>36</v>
      </c>
      <c r="C19" t="s">
        <v>154</v>
      </c>
      <c r="D19" t="s">
        <v>46</v>
      </c>
      <c r="E19" t="s">
        <v>134</v>
      </c>
      <c r="F19" t="s">
        <v>135</v>
      </c>
      <c r="G19" s="64">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25">
      <c r="A20" t="s">
        <v>138</v>
      </c>
      <c r="B20" s="2" t="s">
        <v>293</v>
      </c>
      <c r="C20" t="s">
        <v>153</v>
      </c>
      <c r="D20" t="s">
        <v>46</v>
      </c>
      <c r="E20" t="s">
        <v>134</v>
      </c>
      <c r="F20" t="s">
        <v>135</v>
      </c>
      <c r="G20" s="64">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75" x14ac:dyDescent="0.25"/>
  <cols>
    <col min="1" max="1" width="21.75" bestFit="1" customWidth="1"/>
    <col min="2" max="2" width="21.125" customWidth="1"/>
  </cols>
  <sheetData>
    <row r="1" spans="1:23" x14ac:dyDescent="0.25">
      <c r="A1" t="s">
        <v>1</v>
      </c>
      <c r="B1" t="s">
        <v>159</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25">
      <c r="A2" t="s">
        <v>12</v>
      </c>
      <c r="B2" t="s">
        <v>60</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25">
      <c r="A3" t="s">
        <v>19</v>
      </c>
      <c r="B3" t="s">
        <v>61</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25">
      <c r="A4" t="s">
        <v>19</v>
      </c>
      <c r="B4" t="s">
        <v>65</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25">
      <c r="A5" t="s">
        <v>38</v>
      </c>
      <c r="B5" t="s">
        <v>55</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25">
      <c r="A6" s="1" t="s">
        <v>46</v>
      </c>
      <c r="B6" t="s">
        <v>67</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75" x14ac:dyDescent="0.25"/>
  <cols>
    <col min="1" max="1" width="25.75" customWidth="1"/>
    <col min="2" max="2" width="20.75" customWidth="1"/>
    <col min="3" max="3" width="20.625" bestFit="1" customWidth="1"/>
    <col min="4" max="4" width="46.875" bestFit="1" customWidth="1"/>
    <col min="5" max="5" width="20.375" customWidth="1"/>
    <col min="6" max="6" width="15.375" customWidth="1"/>
  </cols>
  <sheetData>
    <row r="1" spans="1:7" x14ac:dyDescent="0.25">
      <c r="A1" s="32" t="s">
        <v>155</v>
      </c>
      <c r="B1" s="32" t="s">
        <v>156</v>
      </c>
      <c r="C1" s="50" t="s">
        <v>0</v>
      </c>
      <c r="D1" s="50" t="s">
        <v>140</v>
      </c>
      <c r="E1" s="50" t="s">
        <v>157</v>
      </c>
      <c r="F1" t="s">
        <v>101</v>
      </c>
      <c r="G1" t="s">
        <v>102</v>
      </c>
    </row>
    <row r="2" spans="1:7" x14ac:dyDescent="0.25">
      <c r="A2" s="14" t="s">
        <v>11</v>
      </c>
      <c r="B2" s="49"/>
      <c r="C2" s="51" t="s">
        <v>11</v>
      </c>
      <c r="D2" s="51" t="s">
        <v>141</v>
      </c>
      <c r="E2" s="51" t="s">
        <v>12</v>
      </c>
      <c r="F2" t="s">
        <v>111</v>
      </c>
      <c r="G2" t="s">
        <v>112</v>
      </c>
    </row>
    <row r="3" spans="1:7" x14ac:dyDescent="0.25">
      <c r="A3" s="14" t="s">
        <v>22</v>
      </c>
      <c r="B3" s="49"/>
      <c r="C3" s="51" t="s">
        <v>22</v>
      </c>
      <c r="D3" s="51" t="s">
        <v>142</v>
      </c>
      <c r="E3" s="51" t="s">
        <v>12</v>
      </c>
      <c r="F3" t="s">
        <v>111</v>
      </c>
      <c r="G3" t="s">
        <v>112</v>
      </c>
    </row>
    <row r="4" spans="1:7" x14ac:dyDescent="0.25">
      <c r="A4" s="14" t="s">
        <v>34</v>
      </c>
      <c r="B4" s="49"/>
      <c r="C4" s="51" t="s">
        <v>34</v>
      </c>
      <c r="D4" s="51" t="s">
        <v>143</v>
      </c>
      <c r="E4" s="51" t="s">
        <v>12</v>
      </c>
      <c r="F4" t="s">
        <v>111</v>
      </c>
      <c r="G4" t="s">
        <v>112</v>
      </c>
    </row>
    <row r="5" spans="1:7" x14ac:dyDescent="0.25">
      <c r="A5" s="14" t="s">
        <v>35</v>
      </c>
      <c r="B5" s="49"/>
      <c r="C5" s="51" t="s">
        <v>35</v>
      </c>
      <c r="D5" s="51" t="s">
        <v>144</v>
      </c>
      <c r="E5" s="51" t="s">
        <v>12</v>
      </c>
      <c r="F5" t="s">
        <v>111</v>
      </c>
      <c r="G5" t="s">
        <v>112</v>
      </c>
    </row>
    <row r="6" spans="1:7" x14ac:dyDescent="0.25">
      <c r="A6" s="14" t="s">
        <v>138</v>
      </c>
      <c r="B6" s="14"/>
      <c r="C6" s="51" t="s">
        <v>36</v>
      </c>
      <c r="D6" s="51" t="s">
        <v>145</v>
      </c>
      <c r="E6" s="51" t="s">
        <v>12</v>
      </c>
      <c r="F6" t="s">
        <v>111</v>
      </c>
      <c r="G6" t="s">
        <v>112</v>
      </c>
    </row>
    <row r="7" spans="1:7" x14ac:dyDescent="0.25">
      <c r="A7" s="14" t="s">
        <v>138</v>
      </c>
      <c r="B7" s="14"/>
      <c r="C7" s="51" t="s">
        <v>37</v>
      </c>
      <c r="D7" s="51" t="s">
        <v>145</v>
      </c>
      <c r="E7" s="51" t="s">
        <v>12</v>
      </c>
      <c r="F7" t="s">
        <v>111</v>
      </c>
      <c r="G7" t="s">
        <v>112</v>
      </c>
    </row>
    <row r="8" spans="1:7" x14ac:dyDescent="0.25">
      <c r="A8" s="14" t="s">
        <v>38</v>
      </c>
      <c r="B8" s="16"/>
      <c r="C8" s="51" t="s">
        <v>38</v>
      </c>
      <c r="D8" s="51" t="s">
        <v>146</v>
      </c>
      <c r="E8" s="51" t="s">
        <v>12</v>
      </c>
      <c r="F8" t="s">
        <v>111</v>
      </c>
      <c r="G8" t="s">
        <v>112</v>
      </c>
    </row>
    <row r="9" spans="1:7" x14ac:dyDescent="0.25">
      <c r="A9" s="14" t="s">
        <v>11</v>
      </c>
      <c r="B9" s="14"/>
      <c r="C9" s="51" t="s">
        <v>11</v>
      </c>
      <c r="D9" s="51" t="s">
        <v>147</v>
      </c>
      <c r="E9" s="51" t="s">
        <v>19</v>
      </c>
      <c r="F9" t="s">
        <v>116</v>
      </c>
      <c r="G9" t="s">
        <v>117</v>
      </c>
    </row>
    <row r="10" spans="1:7" x14ac:dyDescent="0.25">
      <c r="A10" s="14" t="s">
        <v>56</v>
      </c>
      <c r="B10" s="14"/>
      <c r="C10" s="51" t="s">
        <v>40</v>
      </c>
      <c r="D10" s="51" t="s">
        <v>148</v>
      </c>
      <c r="E10" s="51" t="s">
        <v>19</v>
      </c>
      <c r="F10" t="s">
        <v>116</v>
      </c>
      <c r="G10" t="s">
        <v>117</v>
      </c>
    </row>
    <row r="11" spans="1:7" x14ac:dyDescent="0.25">
      <c r="A11" s="14" t="s">
        <v>138</v>
      </c>
      <c r="B11" s="14"/>
      <c r="C11" s="51" t="s">
        <v>37</v>
      </c>
      <c r="D11" s="51" t="s">
        <v>149</v>
      </c>
      <c r="E11" s="51" t="s">
        <v>19</v>
      </c>
      <c r="F11" t="s">
        <v>116</v>
      </c>
      <c r="G11" t="s">
        <v>117</v>
      </c>
    </row>
    <row r="12" spans="1:7" x14ac:dyDescent="0.25">
      <c r="A12" s="14" t="s">
        <v>138</v>
      </c>
      <c r="B12" s="14"/>
      <c r="C12" s="51" t="s">
        <v>36</v>
      </c>
      <c r="D12" s="51" t="s">
        <v>149</v>
      </c>
      <c r="E12" s="51" t="s">
        <v>19</v>
      </c>
      <c r="F12" t="s">
        <v>116</v>
      </c>
      <c r="G12" t="s">
        <v>117</v>
      </c>
    </row>
    <row r="13" spans="1:7" x14ac:dyDescent="0.25">
      <c r="A13" s="14" t="s">
        <v>38</v>
      </c>
      <c r="B13" s="14"/>
      <c r="C13" s="51" t="s">
        <v>38</v>
      </c>
      <c r="D13" s="51" t="s">
        <v>150</v>
      </c>
      <c r="E13" s="51" t="s">
        <v>19</v>
      </c>
      <c r="F13" t="s">
        <v>116</v>
      </c>
      <c r="G13" t="s">
        <v>117</v>
      </c>
    </row>
    <row r="14" spans="1:7" x14ac:dyDescent="0.25">
      <c r="A14" s="14" t="s">
        <v>138</v>
      </c>
      <c r="B14" s="14"/>
      <c r="C14" s="51" t="s">
        <v>43</v>
      </c>
      <c r="D14" s="51" t="s">
        <v>151</v>
      </c>
      <c r="E14" s="51" t="s">
        <v>38</v>
      </c>
      <c r="F14" t="s">
        <v>130</v>
      </c>
      <c r="G14" t="s">
        <v>57</v>
      </c>
    </row>
    <row r="15" spans="1:7" x14ac:dyDescent="0.25">
      <c r="A15" s="14" t="s">
        <v>138</v>
      </c>
      <c r="B15" s="14"/>
      <c r="C15" s="51" t="s">
        <v>42</v>
      </c>
      <c r="D15" s="51" t="s">
        <v>151</v>
      </c>
      <c r="E15" s="51" t="s">
        <v>38</v>
      </c>
      <c r="F15" t="s">
        <v>130</v>
      </c>
      <c r="G15" t="s">
        <v>57</v>
      </c>
    </row>
    <row r="16" spans="1:7" x14ac:dyDescent="0.25">
      <c r="A16" s="14" t="s">
        <v>158</v>
      </c>
      <c r="B16" s="14"/>
      <c r="C16" s="51" t="s">
        <v>152</v>
      </c>
      <c r="D16" s="51" t="s">
        <v>153</v>
      </c>
      <c r="E16" s="52" t="s">
        <v>46</v>
      </c>
      <c r="F16" t="s">
        <v>134</v>
      </c>
      <c r="G16" t="s">
        <v>135</v>
      </c>
    </row>
    <row r="17" spans="1:7" x14ac:dyDescent="0.25">
      <c r="A17" s="14" t="s">
        <v>158</v>
      </c>
      <c r="B17" s="14"/>
      <c r="C17" s="51" t="s">
        <v>48</v>
      </c>
      <c r="D17" s="51" t="s">
        <v>153</v>
      </c>
      <c r="E17" s="52" t="s">
        <v>46</v>
      </c>
      <c r="F17" t="s">
        <v>134</v>
      </c>
      <c r="G17" t="s">
        <v>135</v>
      </c>
    </row>
    <row r="18" spans="1:7" x14ac:dyDescent="0.25">
      <c r="A18" s="14" t="s">
        <v>138</v>
      </c>
      <c r="B18" s="14"/>
      <c r="C18" s="51" t="s">
        <v>37</v>
      </c>
      <c r="D18" s="51" t="s">
        <v>154</v>
      </c>
      <c r="E18" s="52" t="s">
        <v>46</v>
      </c>
      <c r="F18" t="s">
        <v>134</v>
      </c>
      <c r="G18" t="s">
        <v>135</v>
      </c>
    </row>
    <row r="19" spans="1:7" x14ac:dyDescent="0.25">
      <c r="A19" s="14" t="s">
        <v>138</v>
      </c>
      <c r="B19" s="14"/>
      <c r="C19" s="51" t="s">
        <v>36</v>
      </c>
      <c r="D19" s="51" t="s">
        <v>154</v>
      </c>
      <c r="E19" s="52" t="s">
        <v>46</v>
      </c>
      <c r="F19" t="s">
        <v>134</v>
      </c>
      <c r="G19" t="s">
        <v>135</v>
      </c>
    </row>
    <row r="23" spans="1:7" x14ac:dyDescent="0.25">
      <c r="A23" s="50" t="s">
        <v>157</v>
      </c>
      <c r="B23" s="32" t="s">
        <v>50</v>
      </c>
    </row>
    <row r="24" spans="1:7" x14ac:dyDescent="0.25">
      <c r="A24" s="51" t="s">
        <v>12</v>
      </c>
      <c r="B24" s="14" t="s">
        <v>60</v>
      </c>
    </row>
    <row r="25" spans="1:7" x14ac:dyDescent="0.25">
      <c r="A25" s="51" t="s">
        <v>19</v>
      </c>
      <c r="B25" s="14" t="s">
        <v>61</v>
      </c>
    </row>
    <row r="26" spans="1:7" x14ac:dyDescent="0.25">
      <c r="A26" s="51" t="s">
        <v>19</v>
      </c>
      <c r="B26" s="14" t="s">
        <v>65</v>
      </c>
    </row>
    <row r="27" spans="1:7" x14ac:dyDescent="0.25">
      <c r="A27" s="51" t="s">
        <v>38</v>
      </c>
      <c r="B27" s="14" t="s">
        <v>12</v>
      </c>
    </row>
    <row r="28" spans="1:7" x14ac:dyDescent="0.25">
      <c r="A28" s="51" t="s">
        <v>38</v>
      </c>
      <c r="B28" s="14" t="s">
        <v>19</v>
      </c>
    </row>
    <row r="29" spans="1:7" x14ac:dyDescent="0.25">
      <c r="A29" s="51" t="s">
        <v>38</v>
      </c>
      <c r="B29" s="14" t="s">
        <v>55</v>
      </c>
    </row>
    <row r="30" spans="1:7" x14ac:dyDescent="0.25">
      <c r="A30" s="51" t="s">
        <v>68</v>
      </c>
      <c r="B30" s="14" t="s">
        <v>67</v>
      </c>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75" x14ac:dyDescent="0.25"/>
  <cols>
    <col min="1" max="1" width="23.375" customWidth="1"/>
    <col min="2" max="2" width="20" customWidth="1"/>
    <col min="3" max="3" width="18" customWidth="1"/>
    <col min="4" max="4" width="16.625" customWidth="1"/>
    <col min="6" max="6" width="14.5" customWidth="1"/>
    <col min="7" max="7" width="14" customWidth="1"/>
  </cols>
  <sheetData>
    <row r="1" spans="1:9" x14ac:dyDescent="0.25">
      <c r="A1" t="s">
        <v>1</v>
      </c>
      <c r="B1" t="s">
        <v>160</v>
      </c>
      <c r="C1" t="s">
        <v>161</v>
      </c>
      <c r="D1" t="s">
        <v>65</v>
      </c>
      <c r="E1" t="s">
        <v>162</v>
      </c>
      <c r="F1" t="s">
        <v>163</v>
      </c>
      <c r="G1" t="s">
        <v>164</v>
      </c>
      <c r="H1" t="s">
        <v>165</v>
      </c>
      <c r="I1" t="s">
        <v>71</v>
      </c>
    </row>
    <row r="2" spans="1:9" x14ac:dyDescent="0.25">
      <c r="A2" t="s">
        <v>56</v>
      </c>
      <c r="B2">
        <v>1</v>
      </c>
      <c r="I2" s="2">
        <v>1</v>
      </c>
    </row>
    <row r="3" spans="1:9" x14ac:dyDescent="0.25">
      <c r="A3" t="s">
        <v>12</v>
      </c>
      <c r="B3">
        <v>1</v>
      </c>
      <c r="H3" s="2">
        <v>1</v>
      </c>
    </row>
    <row r="4" spans="1:9" x14ac:dyDescent="0.25">
      <c r="A4" t="s">
        <v>19</v>
      </c>
      <c r="B4" s="2">
        <v>1</v>
      </c>
      <c r="D4">
        <v>1</v>
      </c>
      <c r="E4">
        <v>1</v>
      </c>
      <c r="F4">
        <v>1</v>
      </c>
    </row>
    <row r="5" spans="1:9" x14ac:dyDescent="0.25">
      <c r="A5" t="s">
        <v>68</v>
      </c>
      <c r="C5" s="2">
        <v>1</v>
      </c>
    </row>
    <row r="6" spans="1:9" x14ac:dyDescent="0.25">
      <c r="A6" t="s">
        <v>166</v>
      </c>
      <c r="G6">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75" x14ac:dyDescent="0.25"/>
  <cols>
    <col min="1" max="1" width="47.875" customWidth="1"/>
    <col min="2" max="2" width="30.125" bestFit="1" customWidth="1"/>
    <col min="3" max="3" width="27" customWidth="1"/>
    <col min="4" max="4" width="40.875" customWidth="1"/>
    <col min="5" max="5" width="30.625" customWidth="1"/>
    <col min="6" max="6" width="9" customWidth="1"/>
  </cols>
  <sheetData>
    <row r="1" spans="1:11" x14ac:dyDescent="0.25">
      <c r="A1" s="14" t="s">
        <v>0</v>
      </c>
      <c r="B1" s="14" t="s">
        <v>1</v>
      </c>
      <c r="C1" s="14" t="s">
        <v>157</v>
      </c>
      <c r="D1" s="15" t="s">
        <v>159</v>
      </c>
      <c r="F1" s="14" t="s">
        <v>0</v>
      </c>
      <c r="G1" s="14" t="s">
        <v>1</v>
      </c>
      <c r="I1" t="s">
        <v>1</v>
      </c>
      <c r="J1" t="s">
        <v>159</v>
      </c>
      <c r="K1" t="s">
        <v>167</v>
      </c>
    </row>
    <row r="2" spans="1:11" x14ac:dyDescent="0.25">
      <c r="A2" s="14" t="s">
        <v>56</v>
      </c>
      <c r="B2" s="14" t="s">
        <v>19</v>
      </c>
      <c r="C2" s="14" t="s">
        <v>168</v>
      </c>
      <c r="D2" s="15"/>
      <c r="F2" s="14" t="s">
        <v>169</v>
      </c>
      <c r="G2" s="14" t="s">
        <v>170</v>
      </c>
      <c r="I2" s="7" t="s">
        <v>56</v>
      </c>
      <c r="J2" s="7" t="s">
        <v>171</v>
      </c>
      <c r="K2" s="7" t="s">
        <v>172</v>
      </c>
    </row>
    <row r="3" spans="1:11" x14ac:dyDescent="0.25">
      <c r="A3" s="14" t="s">
        <v>152</v>
      </c>
      <c r="B3" s="14" t="s">
        <v>68</v>
      </c>
      <c r="C3" s="14" t="s">
        <v>173</v>
      </c>
      <c r="D3" s="15"/>
      <c r="F3" s="14" t="s">
        <v>174</v>
      </c>
      <c r="G3" s="14" t="s">
        <v>170</v>
      </c>
      <c r="I3" s="7" t="s">
        <v>56</v>
      </c>
      <c r="J3" s="7" t="s">
        <v>175</v>
      </c>
      <c r="K3" s="7" t="s">
        <v>172</v>
      </c>
    </row>
    <row r="4" spans="1:11" x14ac:dyDescent="0.25">
      <c r="A4" s="14" t="s">
        <v>11</v>
      </c>
      <c r="B4" s="14" t="s">
        <v>12</v>
      </c>
      <c r="C4" s="14" t="s">
        <v>176</v>
      </c>
      <c r="D4" s="15"/>
      <c r="F4" s="14" t="s">
        <v>177</v>
      </c>
      <c r="G4" s="14" t="s">
        <v>170</v>
      </c>
      <c r="I4" t="s">
        <v>56</v>
      </c>
      <c r="J4" t="s">
        <v>178</v>
      </c>
      <c r="K4" t="s">
        <v>179</v>
      </c>
    </row>
    <row r="5" spans="1:11" x14ac:dyDescent="0.25">
      <c r="A5" s="14" t="s">
        <v>11</v>
      </c>
      <c r="B5" s="14" t="s">
        <v>19</v>
      </c>
      <c r="C5" s="14" t="s">
        <v>180</v>
      </c>
      <c r="D5" s="15"/>
      <c r="F5" s="14" t="s">
        <v>181</v>
      </c>
      <c r="G5" s="14" t="s">
        <v>170</v>
      </c>
      <c r="I5" s="7" t="s">
        <v>56</v>
      </c>
      <c r="J5" s="7" t="s">
        <v>71</v>
      </c>
      <c r="K5" s="7" t="s">
        <v>172</v>
      </c>
    </row>
    <row r="6" spans="1:11" x14ac:dyDescent="0.25">
      <c r="A6" s="14" t="s">
        <v>22</v>
      </c>
      <c r="B6" s="14" t="s">
        <v>12</v>
      </c>
      <c r="C6" s="14" t="s">
        <v>176</v>
      </c>
      <c r="D6" s="15"/>
      <c r="F6" s="16" t="s">
        <v>182</v>
      </c>
      <c r="G6" s="16" t="s">
        <v>183</v>
      </c>
      <c r="I6" s="7" t="s">
        <v>56</v>
      </c>
      <c r="J6" s="7" t="s">
        <v>184</v>
      </c>
      <c r="K6" s="7" t="s">
        <v>172</v>
      </c>
    </row>
    <row r="7" spans="1:11" x14ac:dyDescent="0.25">
      <c r="A7" s="14" t="s">
        <v>37</v>
      </c>
      <c r="B7" s="14"/>
      <c r="C7" s="14"/>
      <c r="D7" s="15"/>
      <c r="F7" s="14" t="s">
        <v>182</v>
      </c>
      <c r="G7" s="14" t="s">
        <v>19</v>
      </c>
      <c r="I7" t="s">
        <v>56</v>
      </c>
      <c r="J7" t="s">
        <v>35</v>
      </c>
      <c r="K7" t="s">
        <v>179</v>
      </c>
    </row>
    <row r="8" spans="1:11" x14ac:dyDescent="0.25">
      <c r="A8" s="14" t="s">
        <v>36</v>
      </c>
      <c r="B8" s="14"/>
      <c r="C8" s="14"/>
      <c r="D8" s="15"/>
      <c r="F8" s="16" t="s">
        <v>37</v>
      </c>
      <c r="G8" s="16" t="s">
        <v>183</v>
      </c>
      <c r="I8" t="s">
        <v>183</v>
      </c>
      <c r="J8" t="s">
        <v>171</v>
      </c>
      <c r="K8" t="s">
        <v>179</v>
      </c>
    </row>
    <row r="9" spans="1:11" x14ac:dyDescent="0.25">
      <c r="A9" s="14" t="s">
        <v>177</v>
      </c>
      <c r="B9" s="14" t="s">
        <v>170</v>
      </c>
      <c r="C9" s="14"/>
      <c r="D9" s="15"/>
      <c r="F9" s="14" t="s">
        <v>37</v>
      </c>
      <c r="G9" s="14" t="s">
        <v>19</v>
      </c>
      <c r="I9" t="s">
        <v>183</v>
      </c>
      <c r="J9" t="s">
        <v>175</v>
      </c>
      <c r="K9" t="s">
        <v>179</v>
      </c>
    </row>
    <row r="10" spans="1:11" x14ac:dyDescent="0.25">
      <c r="A10" s="14" t="s">
        <v>177</v>
      </c>
      <c r="B10" s="14" t="s">
        <v>185</v>
      </c>
      <c r="C10" s="14"/>
      <c r="D10" s="15"/>
      <c r="F10" s="16" t="s">
        <v>36</v>
      </c>
      <c r="G10" s="16" t="s">
        <v>183</v>
      </c>
      <c r="I10" t="s">
        <v>183</v>
      </c>
      <c r="J10" t="s">
        <v>178</v>
      </c>
      <c r="K10" t="s">
        <v>179</v>
      </c>
    </row>
    <row r="11" spans="1:11" x14ac:dyDescent="0.25">
      <c r="A11" s="14" t="s">
        <v>181</v>
      </c>
      <c r="B11" s="14" t="s">
        <v>170</v>
      </c>
      <c r="C11" s="14"/>
      <c r="D11" s="15"/>
      <c r="F11" s="14" t="s">
        <v>36</v>
      </c>
      <c r="G11" s="14" t="s">
        <v>19</v>
      </c>
      <c r="I11" t="s">
        <v>183</v>
      </c>
      <c r="J11" t="s">
        <v>71</v>
      </c>
      <c r="K11" t="s">
        <v>179</v>
      </c>
    </row>
    <row r="12" spans="1:11" x14ac:dyDescent="0.25">
      <c r="A12" s="14" t="s">
        <v>181</v>
      </c>
      <c r="B12" s="14" t="s">
        <v>185</v>
      </c>
      <c r="C12" s="14"/>
      <c r="D12" s="15"/>
      <c r="I12" t="s">
        <v>183</v>
      </c>
      <c r="J12" t="s">
        <v>184</v>
      </c>
      <c r="K12" t="s">
        <v>172</v>
      </c>
    </row>
    <row r="13" spans="1:11" x14ac:dyDescent="0.25">
      <c r="A13" s="14"/>
      <c r="B13" s="14"/>
      <c r="C13" s="14"/>
      <c r="D13" s="15"/>
      <c r="I13" t="s">
        <v>183</v>
      </c>
      <c r="J13" t="s">
        <v>35</v>
      </c>
      <c r="K13" t="s">
        <v>179</v>
      </c>
    </row>
    <row r="14" spans="1:11" x14ac:dyDescent="0.25">
      <c r="A14" s="14"/>
      <c r="B14" s="14"/>
      <c r="C14" s="14"/>
      <c r="D14" s="15"/>
      <c r="I14" s="7" t="s">
        <v>19</v>
      </c>
      <c r="J14" s="7" t="s">
        <v>171</v>
      </c>
      <c r="K14" s="7" t="s">
        <v>172</v>
      </c>
    </row>
    <row r="15" spans="1:11" x14ac:dyDescent="0.25">
      <c r="A15" s="17" t="s">
        <v>186</v>
      </c>
      <c r="B15" s="17" t="s">
        <v>187</v>
      </c>
      <c r="C15" s="17" t="s">
        <v>188</v>
      </c>
      <c r="D15" s="18" t="s">
        <v>189</v>
      </c>
      <c r="E15" s="19"/>
      <c r="F15" s="19"/>
      <c r="G15" s="19"/>
      <c r="H15" s="19"/>
      <c r="I15" t="s">
        <v>19</v>
      </c>
      <c r="J15" t="s">
        <v>178</v>
      </c>
      <c r="K15" t="s">
        <v>179</v>
      </c>
    </row>
    <row r="16" spans="1:11" ht="47.25" x14ac:dyDescent="0.25">
      <c r="A16" s="20" t="s">
        <v>169</v>
      </c>
      <c r="B16" s="20" t="s">
        <v>190</v>
      </c>
      <c r="C16" s="20" t="s">
        <v>38</v>
      </c>
      <c r="D16" s="21" t="s">
        <v>191</v>
      </c>
      <c r="I16" s="7" t="s">
        <v>19</v>
      </c>
      <c r="J16" s="7" t="s">
        <v>71</v>
      </c>
      <c r="K16" s="7" t="s">
        <v>192</v>
      </c>
    </row>
    <row r="17" spans="1:11" ht="63" x14ac:dyDescent="0.25">
      <c r="A17" s="20" t="s">
        <v>174</v>
      </c>
      <c r="B17" s="22" t="s">
        <v>193</v>
      </c>
      <c r="C17" s="22" t="s">
        <v>194</v>
      </c>
      <c r="D17" s="21" t="s">
        <v>195</v>
      </c>
      <c r="I17" s="7" t="s">
        <v>19</v>
      </c>
      <c r="J17" s="7" t="s">
        <v>184</v>
      </c>
      <c r="K17" s="7" t="s">
        <v>196</v>
      </c>
    </row>
    <row r="18" spans="1:11" ht="63" x14ac:dyDescent="0.25">
      <c r="A18" s="20" t="s">
        <v>177</v>
      </c>
      <c r="B18" s="22" t="s">
        <v>193</v>
      </c>
      <c r="C18" s="22" t="s">
        <v>194</v>
      </c>
      <c r="D18" s="21" t="s">
        <v>195</v>
      </c>
      <c r="I18" t="s">
        <v>19</v>
      </c>
      <c r="J18" t="s">
        <v>35</v>
      </c>
      <c r="K18" t="s">
        <v>197</v>
      </c>
    </row>
    <row r="19" spans="1:11" ht="63" x14ac:dyDescent="0.25">
      <c r="A19" s="20" t="s">
        <v>181</v>
      </c>
      <c r="B19" s="22" t="s">
        <v>193</v>
      </c>
      <c r="C19" s="22" t="s">
        <v>194</v>
      </c>
      <c r="D19" s="21" t="s">
        <v>195</v>
      </c>
    </row>
    <row r="20" spans="1:11" ht="78.75" x14ac:dyDescent="0.25">
      <c r="A20" s="23" t="s">
        <v>182</v>
      </c>
      <c r="B20" s="24" t="s">
        <v>198</v>
      </c>
      <c r="C20" s="24" t="s">
        <v>199</v>
      </c>
      <c r="D20" s="25" t="s">
        <v>200</v>
      </c>
    </row>
    <row r="21" spans="1:11" ht="78.75" x14ac:dyDescent="0.25">
      <c r="A21" s="23" t="s">
        <v>37</v>
      </c>
      <c r="B21" s="24" t="s">
        <v>198</v>
      </c>
      <c r="C21" s="24" t="s">
        <v>199</v>
      </c>
      <c r="D21" s="25" t="s">
        <v>200</v>
      </c>
    </row>
    <row r="22" spans="1:11" ht="78.75" x14ac:dyDescent="0.25">
      <c r="A22" s="23" t="s">
        <v>36</v>
      </c>
      <c r="B22" s="24" t="s">
        <v>198</v>
      </c>
      <c r="C22" s="24" t="s">
        <v>199</v>
      </c>
      <c r="D22" s="25" t="s">
        <v>200</v>
      </c>
    </row>
    <row r="30" spans="1:11" x14ac:dyDescent="0.25">
      <c r="A30" s="26" t="s">
        <v>201</v>
      </c>
    </row>
    <row r="31" spans="1:11" x14ac:dyDescent="0.25">
      <c r="A31" s="32" t="s">
        <v>0</v>
      </c>
      <c r="B31" s="32" t="s">
        <v>202</v>
      </c>
      <c r="C31" s="32" t="s">
        <v>203</v>
      </c>
      <c r="D31" t="s">
        <v>204</v>
      </c>
      <c r="E31" t="s">
        <v>205</v>
      </c>
    </row>
    <row r="32" spans="1:11" x14ac:dyDescent="0.25">
      <c r="A32" s="14" t="s">
        <v>56</v>
      </c>
      <c r="B32" s="14" t="s">
        <v>19</v>
      </c>
      <c r="C32" s="14"/>
    </row>
    <row r="33" spans="1:5" x14ac:dyDescent="0.25">
      <c r="A33" s="14" t="s">
        <v>152</v>
      </c>
      <c r="B33" s="14" t="s">
        <v>68</v>
      </c>
      <c r="C33" s="14"/>
    </row>
    <row r="34" spans="1:5" x14ac:dyDescent="0.25">
      <c r="A34" s="14" t="s">
        <v>48</v>
      </c>
      <c r="B34" s="14" t="s">
        <v>68</v>
      </c>
      <c r="C34" s="14"/>
    </row>
    <row r="35" spans="1:5" x14ac:dyDescent="0.25">
      <c r="A35" s="14" t="s">
        <v>11</v>
      </c>
      <c r="B35" s="14" t="s">
        <v>12</v>
      </c>
      <c r="C35" s="14" t="s">
        <v>206</v>
      </c>
    </row>
    <row r="36" spans="1:5" x14ac:dyDescent="0.25">
      <c r="A36" s="14" t="s">
        <v>22</v>
      </c>
      <c r="B36" s="14" t="s">
        <v>12</v>
      </c>
      <c r="C36" s="14"/>
    </row>
    <row r="37" spans="1:5" x14ac:dyDescent="0.25">
      <c r="A37" s="14" t="s">
        <v>207</v>
      </c>
      <c r="B37" s="14" t="s">
        <v>208</v>
      </c>
      <c r="C37" s="14"/>
    </row>
    <row r="38" spans="1:5" x14ac:dyDescent="0.25">
      <c r="A38" s="14" t="s">
        <v>35</v>
      </c>
      <c r="B38" s="14" t="s">
        <v>208</v>
      </c>
      <c r="C38" s="14"/>
    </row>
    <row r="39" spans="1:5" x14ac:dyDescent="0.25">
      <c r="A39" s="27" t="s">
        <v>37</v>
      </c>
      <c r="B39" s="27" t="s">
        <v>12</v>
      </c>
      <c r="C39" s="27" t="s">
        <v>19</v>
      </c>
      <c r="D39" t="s">
        <v>26</v>
      </c>
    </row>
    <row r="40" spans="1:5" x14ac:dyDescent="0.25">
      <c r="A40" s="27" t="s">
        <v>36</v>
      </c>
      <c r="B40" s="14" t="s">
        <v>12</v>
      </c>
      <c r="C40" s="27" t="s">
        <v>19</v>
      </c>
      <c r="D40" t="s">
        <v>26</v>
      </c>
    </row>
    <row r="41" spans="1:5" x14ac:dyDescent="0.25">
      <c r="A41" s="14" t="s">
        <v>177</v>
      </c>
      <c r="B41" s="14" t="s">
        <v>56</v>
      </c>
      <c r="C41" s="27" t="s">
        <v>209</v>
      </c>
      <c r="D41" t="s">
        <v>210</v>
      </c>
      <c r="E41" t="s">
        <v>211</v>
      </c>
    </row>
    <row r="42" spans="1:5" x14ac:dyDescent="0.25">
      <c r="A42" s="14" t="s">
        <v>181</v>
      </c>
      <c r="B42" s="14" t="s">
        <v>56</v>
      </c>
      <c r="C42" s="27" t="s">
        <v>209</v>
      </c>
      <c r="D42" t="s">
        <v>210</v>
      </c>
      <c r="E42" t="s">
        <v>211</v>
      </c>
    </row>
    <row r="45" spans="1:5" x14ac:dyDescent="0.25">
      <c r="A45" s="26" t="s">
        <v>212</v>
      </c>
    </row>
    <row r="46" spans="1:5" x14ac:dyDescent="0.25">
      <c r="A46" s="32" t="s">
        <v>1</v>
      </c>
      <c r="B46" s="33" t="s">
        <v>159</v>
      </c>
      <c r="C46" s="32" t="s">
        <v>213</v>
      </c>
    </row>
    <row r="47" spans="1:5" x14ac:dyDescent="0.25">
      <c r="A47" s="14" t="s">
        <v>19</v>
      </c>
      <c r="B47" s="15" t="s">
        <v>171</v>
      </c>
      <c r="C47" s="34" t="s">
        <v>214</v>
      </c>
    </row>
    <row r="48" spans="1:5" x14ac:dyDescent="0.25">
      <c r="A48" s="30" t="s">
        <v>19</v>
      </c>
      <c r="B48" s="31" t="s">
        <v>215</v>
      </c>
      <c r="C48" s="28" t="s">
        <v>216</v>
      </c>
      <c r="D48" t="s">
        <v>24</v>
      </c>
      <c r="E48" t="s">
        <v>217</v>
      </c>
    </row>
    <row r="49" spans="1:6" x14ac:dyDescent="0.25">
      <c r="A49" s="30" t="s">
        <v>19</v>
      </c>
      <c r="B49" s="31" t="s">
        <v>163</v>
      </c>
      <c r="C49" s="28" t="s">
        <v>56</v>
      </c>
      <c r="D49" t="s">
        <v>218</v>
      </c>
      <c r="E49" t="s">
        <v>219</v>
      </c>
    </row>
    <row r="50" spans="1:6" x14ac:dyDescent="0.25">
      <c r="A50" s="30" t="s">
        <v>19</v>
      </c>
      <c r="B50" s="31" t="s">
        <v>65</v>
      </c>
      <c r="C50" s="28" t="s">
        <v>220</v>
      </c>
      <c r="D50" t="s">
        <v>221</v>
      </c>
      <c r="E50" t="s">
        <v>222</v>
      </c>
      <c r="F50" s="35" t="s">
        <v>223</v>
      </c>
    </row>
    <row r="51" spans="1:6" x14ac:dyDescent="0.25">
      <c r="A51" s="27" t="s">
        <v>19</v>
      </c>
      <c r="B51" s="28" t="s">
        <v>184</v>
      </c>
      <c r="C51" s="27" t="s">
        <v>224</v>
      </c>
      <c r="D51" t="s">
        <v>24</v>
      </c>
      <c r="E51" t="s">
        <v>225</v>
      </c>
    </row>
    <row r="52" spans="1:6" x14ac:dyDescent="0.25">
      <c r="A52" s="27" t="s">
        <v>56</v>
      </c>
      <c r="B52" s="28" t="s">
        <v>171</v>
      </c>
      <c r="C52" s="27" t="s">
        <v>214</v>
      </c>
      <c r="D52" t="s">
        <v>26</v>
      </c>
      <c r="E52" t="s">
        <v>226</v>
      </c>
    </row>
    <row r="53" spans="1:6" x14ac:dyDescent="0.25">
      <c r="A53" s="14" t="s">
        <v>56</v>
      </c>
      <c r="B53" s="15" t="s">
        <v>71</v>
      </c>
      <c r="C53" s="34" t="s">
        <v>56</v>
      </c>
    </row>
    <row r="54" spans="1:6" x14ac:dyDescent="0.25">
      <c r="A54" s="27" t="s">
        <v>56</v>
      </c>
      <c r="B54" s="28" t="s">
        <v>184</v>
      </c>
      <c r="C54" s="27" t="s">
        <v>56</v>
      </c>
      <c r="D54" t="s">
        <v>26</v>
      </c>
      <c r="E54" t="s">
        <v>227</v>
      </c>
    </row>
    <row r="55" spans="1:6" x14ac:dyDescent="0.25">
      <c r="A55" s="27" t="s">
        <v>12</v>
      </c>
      <c r="B55" s="28" t="s">
        <v>171</v>
      </c>
      <c r="C55" s="27" t="s">
        <v>214</v>
      </c>
      <c r="D55" t="s">
        <v>24</v>
      </c>
      <c r="E55" t="s">
        <v>228</v>
      </c>
    </row>
    <row r="56" spans="1:6" x14ac:dyDescent="0.25">
      <c r="A56" s="14" t="s">
        <v>12</v>
      </c>
      <c r="B56" s="15" t="s">
        <v>229</v>
      </c>
      <c r="C56" s="34" t="s">
        <v>224</v>
      </c>
    </row>
    <row r="60" spans="1:6" x14ac:dyDescent="0.25">
      <c r="A60" s="26" t="s">
        <v>230</v>
      </c>
    </row>
    <row r="61" spans="1:6" x14ac:dyDescent="0.25">
      <c r="A61" s="27" t="s">
        <v>231</v>
      </c>
      <c r="D61" t="s">
        <v>24</v>
      </c>
      <c r="E61" t="s">
        <v>232</v>
      </c>
    </row>
    <row r="62" spans="1:6" x14ac:dyDescent="0.25">
      <c r="A62" s="29" t="s">
        <v>233</v>
      </c>
      <c r="D62" t="s">
        <v>26</v>
      </c>
    </row>
    <row r="63" spans="1:6" x14ac:dyDescent="0.25">
      <c r="A63" s="27" t="s">
        <v>234</v>
      </c>
      <c r="D63" t="s">
        <v>24</v>
      </c>
    </row>
    <row r="66" spans="1:4" x14ac:dyDescent="0.25">
      <c r="A66" s="26" t="s">
        <v>235</v>
      </c>
    </row>
    <row r="67" spans="1:4" x14ac:dyDescent="0.25">
      <c r="A67" s="27" t="s">
        <v>236</v>
      </c>
      <c r="D67" t="s">
        <v>218</v>
      </c>
    </row>
    <row r="68" spans="1:4" x14ac:dyDescent="0.25">
      <c r="A68" s="27" t="s">
        <v>237</v>
      </c>
      <c r="D68" t="s">
        <v>238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F21" sqref="F21"/>
    </sheetView>
  </sheetViews>
  <sheetFormatPr defaultColWidth="11" defaultRowHeight="15.75" x14ac:dyDescent="0.25"/>
  <cols>
    <col min="1" max="1" width="15.25" customWidth="1"/>
    <col min="2" max="2" width="12.75" customWidth="1"/>
    <col min="3" max="3" width="14.875" customWidth="1"/>
    <col min="4" max="4" width="26" customWidth="1"/>
    <col min="5" max="5" width="11.5" customWidth="1"/>
    <col min="6" max="6" width="11.25" customWidth="1"/>
    <col min="7" max="7" width="8.25" customWidth="1"/>
    <col min="8" max="9" width="24.125" customWidth="1"/>
  </cols>
  <sheetData>
    <row r="1" spans="1:11" x14ac:dyDescent="0.25">
      <c r="A1" s="1" t="s">
        <v>0</v>
      </c>
      <c r="B1" s="1" t="s">
        <v>1</v>
      </c>
      <c r="C1" t="s">
        <v>2</v>
      </c>
      <c r="D1" t="s">
        <v>3</v>
      </c>
      <c r="E1" t="s">
        <v>4</v>
      </c>
      <c r="F1" t="s">
        <v>5</v>
      </c>
      <c r="G1" t="s">
        <v>6</v>
      </c>
      <c r="H1" t="s">
        <v>7</v>
      </c>
      <c r="I1" t="s">
        <v>8</v>
      </c>
      <c r="J1" t="s">
        <v>9</v>
      </c>
      <c r="K1" t="s">
        <v>10</v>
      </c>
    </row>
    <row r="2" spans="1:11" x14ac:dyDescent="0.25">
      <c r="A2" s="1" t="s">
        <v>11</v>
      </c>
      <c r="B2" s="1" t="s">
        <v>12</v>
      </c>
      <c r="C2" t="s">
        <v>13</v>
      </c>
      <c r="D2" t="s">
        <v>14</v>
      </c>
      <c r="E2" t="s">
        <v>15</v>
      </c>
      <c r="F2" t="s">
        <v>16</v>
      </c>
      <c r="G2" s="3">
        <f>G5/0.8</f>
        <v>4.375</v>
      </c>
      <c r="H2" t="s">
        <v>17</v>
      </c>
      <c r="I2" s="3">
        <f>I5/0.8</f>
        <v>4.375</v>
      </c>
      <c r="J2" t="s">
        <v>18</v>
      </c>
    </row>
    <row r="3" spans="1:11" x14ac:dyDescent="0.25">
      <c r="A3" s="1" t="s">
        <v>11</v>
      </c>
      <c r="B3" s="1" t="s">
        <v>19</v>
      </c>
      <c r="C3" t="s">
        <v>13</v>
      </c>
      <c r="D3" t="s">
        <v>14</v>
      </c>
      <c r="E3" t="s">
        <v>15</v>
      </c>
      <c r="F3" t="s">
        <v>16</v>
      </c>
      <c r="G3" s="3">
        <f>G6/0.8</f>
        <v>8.5374999999999993E-2</v>
      </c>
      <c r="H3" t="s">
        <v>17</v>
      </c>
      <c r="I3" s="3">
        <f>I6/0.8</f>
        <v>4.375</v>
      </c>
      <c r="J3" t="s">
        <v>20</v>
      </c>
      <c r="K3" s="3" t="s">
        <v>21</v>
      </c>
    </row>
    <row r="4" spans="1:11" x14ac:dyDescent="0.25">
      <c r="A4" s="1" t="s">
        <v>22</v>
      </c>
      <c r="B4" s="1" t="s">
        <v>12</v>
      </c>
      <c r="C4" t="s">
        <v>13</v>
      </c>
      <c r="D4" t="s">
        <v>14</v>
      </c>
      <c r="E4" t="s">
        <v>15</v>
      </c>
      <c r="F4" t="s">
        <v>16</v>
      </c>
      <c r="G4" s="3">
        <v>82</v>
      </c>
      <c r="H4" t="s">
        <v>17</v>
      </c>
      <c r="I4">
        <v>82</v>
      </c>
    </row>
    <row r="5" spans="1:11" x14ac:dyDescent="0.25">
      <c r="A5" s="1" t="s">
        <v>11</v>
      </c>
      <c r="B5" s="1" t="s">
        <v>12</v>
      </c>
      <c r="C5" t="s">
        <v>13</v>
      </c>
      <c r="D5" t="s">
        <v>23</v>
      </c>
      <c r="E5" t="s">
        <v>15</v>
      </c>
      <c r="F5" t="s">
        <v>16</v>
      </c>
      <c r="G5" s="3">
        <v>3.5</v>
      </c>
      <c r="H5" t="s">
        <v>17</v>
      </c>
      <c r="I5">
        <v>3.5</v>
      </c>
    </row>
    <row r="6" spans="1:11" x14ac:dyDescent="0.25">
      <c r="A6" s="1" t="s">
        <v>11</v>
      </c>
      <c r="B6" s="1" t="s">
        <v>19</v>
      </c>
      <c r="C6" t="s">
        <v>13</v>
      </c>
      <c r="D6" t="s">
        <v>23</v>
      </c>
      <c r="E6" t="s">
        <v>15</v>
      </c>
      <c r="F6" t="s">
        <v>16</v>
      </c>
      <c r="G6" s="4">
        <v>6.83E-2</v>
      </c>
      <c r="H6" t="s">
        <v>17</v>
      </c>
      <c r="I6">
        <v>3.5</v>
      </c>
    </row>
    <row r="7" spans="1:11" x14ac:dyDescent="0.25">
      <c r="A7" s="1" t="s">
        <v>22</v>
      </c>
      <c r="B7" s="1" t="s">
        <v>12</v>
      </c>
      <c r="C7" t="s">
        <v>13</v>
      </c>
      <c r="D7" t="s">
        <v>23</v>
      </c>
      <c r="E7" t="s">
        <v>15</v>
      </c>
      <c r="F7" t="s">
        <v>16</v>
      </c>
      <c r="G7" s="3">
        <v>2.5</v>
      </c>
      <c r="H7" t="s">
        <v>17</v>
      </c>
      <c r="I7">
        <v>2.5</v>
      </c>
    </row>
    <row r="8" spans="1:11" s="10" customFormat="1" x14ac:dyDescent="0.2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2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25">
      <c r="A10" s="9" t="s">
        <v>22</v>
      </c>
      <c r="B10" s="9" t="s">
        <v>12</v>
      </c>
      <c r="C10" s="10" t="s">
        <v>13</v>
      </c>
      <c r="D10" s="10" t="s">
        <v>14</v>
      </c>
      <c r="E10" s="10" t="s">
        <v>24</v>
      </c>
      <c r="F10" s="10" t="s">
        <v>16</v>
      </c>
      <c r="G10" s="45">
        <v>24</v>
      </c>
      <c r="H10" s="10" t="s">
        <v>17</v>
      </c>
      <c r="I10" s="10">
        <v>82</v>
      </c>
    </row>
    <row r="11" spans="1:11" s="10" customFormat="1" x14ac:dyDescent="0.25">
      <c r="A11" s="9" t="s">
        <v>11</v>
      </c>
      <c r="B11" s="9" t="s">
        <v>12</v>
      </c>
      <c r="C11" s="10" t="s">
        <v>13</v>
      </c>
      <c r="D11" s="10" t="s">
        <v>23</v>
      </c>
      <c r="E11" s="10" t="s">
        <v>24</v>
      </c>
      <c r="F11" s="10" t="s">
        <v>16</v>
      </c>
      <c r="G11" s="45">
        <v>2.8</v>
      </c>
      <c r="H11" s="10" t="s">
        <v>17</v>
      </c>
      <c r="I11" s="10">
        <v>2.8</v>
      </c>
      <c r="J11" s="10" t="s">
        <v>25</v>
      </c>
    </row>
    <row r="12" spans="1:11" s="10" customFormat="1" x14ac:dyDescent="0.2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25">
      <c r="A13" s="9" t="s">
        <v>22</v>
      </c>
      <c r="B13" s="9" t="s">
        <v>12</v>
      </c>
      <c r="C13" s="10" t="s">
        <v>13</v>
      </c>
      <c r="D13" s="10" t="s">
        <v>23</v>
      </c>
      <c r="E13" s="10" t="s">
        <v>24</v>
      </c>
      <c r="F13" s="10" t="s">
        <v>16</v>
      </c>
      <c r="G13" s="45">
        <v>0.8</v>
      </c>
      <c r="H13" s="10" t="s">
        <v>17</v>
      </c>
      <c r="I13" s="11">
        <v>0.8</v>
      </c>
    </row>
    <row r="14" spans="1:11" s="10" customFormat="1" x14ac:dyDescent="0.25">
      <c r="A14" s="9" t="s">
        <v>11</v>
      </c>
      <c r="B14" s="9" t="s">
        <v>12</v>
      </c>
      <c r="C14" s="10" t="s">
        <v>13</v>
      </c>
      <c r="D14" s="10" t="s">
        <v>14</v>
      </c>
      <c r="E14" s="10" t="s">
        <v>26</v>
      </c>
      <c r="F14" s="10" t="s">
        <v>16</v>
      </c>
      <c r="G14" s="45">
        <f>G17/0.8</f>
        <v>5.25</v>
      </c>
      <c r="H14" s="10" t="s">
        <v>17</v>
      </c>
      <c r="I14" s="11">
        <f>I17/0.8</f>
        <v>5.25</v>
      </c>
      <c r="J14" s="10" t="s">
        <v>18</v>
      </c>
    </row>
    <row r="15" spans="1:11" s="10" customFormat="1" x14ac:dyDescent="0.2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25">
      <c r="A16" s="9" t="s">
        <v>22</v>
      </c>
      <c r="B16" s="9" t="s">
        <v>12</v>
      </c>
      <c r="C16" s="10" t="s">
        <v>13</v>
      </c>
      <c r="D16" s="10" t="s">
        <v>14</v>
      </c>
      <c r="E16" s="10" t="s">
        <v>26</v>
      </c>
      <c r="F16" s="10" t="s">
        <v>16</v>
      </c>
      <c r="G16" s="45">
        <v>123</v>
      </c>
      <c r="H16" s="10" t="s">
        <v>17</v>
      </c>
      <c r="I16" s="11">
        <f>G16</f>
        <v>123</v>
      </c>
    </row>
    <row r="17" spans="1:10" s="10" customFormat="1" x14ac:dyDescent="0.25">
      <c r="A17" s="9" t="s">
        <v>11</v>
      </c>
      <c r="B17" s="9" t="s">
        <v>12</v>
      </c>
      <c r="C17" s="10" t="s">
        <v>13</v>
      </c>
      <c r="D17" s="10" t="s">
        <v>23</v>
      </c>
      <c r="E17" s="10" t="s">
        <v>26</v>
      </c>
      <c r="F17" s="10" t="s">
        <v>16</v>
      </c>
      <c r="G17" s="45">
        <v>4.2</v>
      </c>
      <c r="H17" s="10" t="s">
        <v>17</v>
      </c>
      <c r="I17" s="10">
        <v>4.2</v>
      </c>
      <c r="J17" s="10" t="s">
        <v>27</v>
      </c>
    </row>
    <row r="18" spans="1:10" s="10" customFormat="1" x14ac:dyDescent="0.2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2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75" x14ac:dyDescent="0.25"/>
  <cols>
    <col min="1" max="1" width="25.625" customWidth="1"/>
    <col min="2" max="5" width="15.625" customWidth="1"/>
  </cols>
  <sheetData>
    <row r="1" spans="1:6" x14ac:dyDescent="0.25">
      <c r="A1" t="s">
        <v>239</v>
      </c>
      <c r="B1" t="s">
        <v>56</v>
      </c>
      <c r="C1" t="s">
        <v>12</v>
      </c>
      <c r="D1" t="s">
        <v>19</v>
      </c>
      <c r="E1" t="s">
        <v>68</v>
      </c>
      <c r="F1" t="s">
        <v>166</v>
      </c>
    </row>
    <row r="2" spans="1:6" x14ac:dyDescent="0.25">
      <c r="A2" t="s">
        <v>240</v>
      </c>
      <c r="C2" s="2">
        <v>1</v>
      </c>
      <c r="D2" s="2">
        <v>1</v>
      </c>
    </row>
    <row r="3" spans="1:6" x14ac:dyDescent="0.25">
      <c r="A3" t="s">
        <v>22</v>
      </c>
      <c r="C3" s="2">
        <v>1</v>
      </c>
    </row>
    <row r="4" spans="1:6" x14ac:dyDescent="0.25">
      <c r="A4" t="s">
        <v>56</v>
      </c>
      <c r="D4" s="2">
        <v>1</v>
      </c>
    </row>
    <row r="5" spans="1:6" x14ac:dyDescent="0.25">
      <c r="A5" t="s">
        <v>43</v>
      </c>
      <c r="B5" s="2">
        <v>1</v>
      </c>
      <c r="C5">
        <v>1</v>
      </c>
      <c r="D5">
        <v>1</v>
      </c>
    </row>
    <row r="6" spans="1:6" x14ac:dyDescent="0.25">
      <c r="A6" t="s">
        <v>139</v>
      </c>
      <c r="B6" s="2">
        <v>1</v>
      </c>
      <c r="C6">
        <v>1</v>
      </c>
      <c r="D6">
        <v>1</v>
      </c>
    </row>
    <row r="7" spans="1:6" x14ac:dyDescent="0.25">
      <c r="A7" t="s">
        <v>241</v>
      </c>
      <c r="B7" s="2">
        <v>1</v>
      </c>
      <c r="C7">
        <v>1</v>
      </c>
      <c r="D7">
        <v>1</v>
      </c>
    </row>
    <row r="8" spans="1:6" x14ac:dyDescent="0.25">
      <c r="A8" t="s">
        <v>242</v>
      </c>
      <c r="C8">
        <v>1</v>
      </c>
      <c r="F8">
        <v>1</v>
      </c>
    </row>
    <row r="9" spans="1:6" x14ac:dyDescent="0.25">
      <c r="A9" t="s">
        <v>243</v>
      </c>
      <c r="C9">
        <v>1</v>
      </c>
      <c r="F9">
        <v>1</v>
      </c>
    </row>
    <row r="10" spans="1:6" x14ac:dyDescent="0.25">
      <c r="A10" t="s">
        <v>244</v>
      </c>
      <c r="C10">
        <v>1</v>
      </c>
      <c r="F10">
        <v>1</v>
      </c>
    </row>
    <row r="11" spans="1:6" x14ac:dyDescent="0.25">
      <c r="A11" t="s">
        <v>45</v>
      </c>
      <c r="E11" s="2">
        <v>1</v>
      </c>
    </row>
    <row r="12" spans="1:6" x14ac:dyDescent="0.25">
      <c r="A12" t="s">
        <v>48</v>
      </c>
      <c r="E12" s="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sheetPr filterMode="1"/>
  <dimension ref="A1:I61"/>
  <sheetViews>
    <sheetView workbookViewId="0">
      <selection activeCell="F1" sqref="F1:F61"/>
    </sheetView>
  </sheetViews>
  <sheetFormatPr defaultColWidth="11" defaultRowHeight="15.75" x14ac:dyDescent="0.25"/>
  <cols>
    <col min="1" max="1" width="21.875" customWidth="1"/>
    <col min="2" max="2" width="24.375" customWidth="1"/>
    <col min="3" max="3" width="21" customWidth="1"/>
    <col min="4" max="5" width="26" customWidth="1"/>
    <col min="6" max="6" width="24.125" customWidth="1"/>
    <col min="7" max="7" width="31.5" customWidth="1"/>
    <col min="8" max="8" width="36.875" customWidth="1"/>
  </cols>
  <sheetData>
    <row r="1" spans="1:9" x14ac:dyDescent="0.25">
      <c r="A1" s="1" t="s">
        <v>0</v>
      </c>
      <c r="B1" s="1" t="s">
        <v>1</v>
      </c>
      <c r="C1" t="s">
        <v>2</v>
      </c>
      <c r="D1" t="s">
        <v>3</v>
      </c>
      <c r="E1" t="s">
        <v>4</v>
      </c>
      <c r="F1" t="s">
        <v>29</v>
      </c>
      <c r="G1" t="s">
        <v>9</v>
      </c>
      <c r="H1" t="s">
        <v>10</v>
      </c>
    </row>
    <row r="2" spans="1:9" hidden="1" x14ac:dyDescent="0.25">
      <c r="A2" s="1" t="s">
        <v>11</v>
      </c>
      <c r="B2" s="1" t="s">
        <v>12</v>
      </c>
      <c r="C2" t="s">
        <v>30</v>
      </c>
      <c r="D2" t="s">
        <v>31</v>
      </c>
      <c r="E2" t="s">
        <v>15</v>
      </c>
      <c r="F2">
        <v>0</v>
      </c>
    </row>
    <row r="3" spans="1:9" hidden="1" x14ac:dyDescent="0.25">
      <c r="A3" s="55" t="s">
        <v>11</v>
      </c>
      <c r="B3" s="55" t="s">
        <v>19</v>
      </c>
      <c r="C3" s="55" t="s">
        <v>30</v>
      </c>
      <c r="D3" s="55" t="s">
        <v>31</v>
      </c>
      <c r="E3" s="55" t="s">
        <v>15</v>
      </c>
      <c r="F3" s="38">
        <v>18</v>
      </c>
      <c r="G3" t="s">
        <v>33</v>
      </c>
      <c r="H3" s="36" t="s">
        <v>340</v>
      </c>
    </row>
    <row r="4" spans="1:9" hidden="1" x14ac:dyDescent="0.25">
      <c r="A4" s="1" t="s">
        <v>22</v>
      </c>
      <c r="B4" s="1" t="s">
        <v>12</v>
      </c>
      <c r="C4" t="s">
        <v>30</v>
      </c>
      <c r="D4" t="s">
        <v>31</v>
      </c>
      <c r="E4" t="s">
        <v>15</v>
      </c>
      <c r="F4">
        <v>0</v>
      </c>
    </row>
    <row r="5" spans="1:9" hidden="1" x14ac:dyDescent="0.25">
      <c r="A5" s="1" t="s">
        <v>34</v>
      </c>
      <c r="B5" s="1" t="s">
        <v>12</v>
      </c>
      <c r="C5" t="s">
        <v>30</v>
      </c>
      <c r="D5" t="s">
        <v>31</v>
      </c>
      <c r="E5" t="s">
        <v>15</v>
      </c>
      <c r="F5">
        <v>0</v>
      </c>
    </row>
    <row r="6" spans="1:9" hidden="1" x14ac:dyDescent="0.25">
      <c r="A6" s="1" t="s">
        <v>35</v>
      </c>
      <c r="B6" s="1" t="s">
        <v>12</v>
      </c>
      <c r="C6" t="s">
        <v>30</v>
      </c>
      <c r="D6" t="s">
        <v>31</v>
      </c>
      <c r="E6" t="s">
        <v>15</v>
      </c>
      <c r="F6">
        <v>0</v>
      </c>
    </row>
    <row r="7" spans="1:9" hidden="1" x14ac:dyDescent="0.25">
      <c r="A7" t="s">
        <v>36</v>
      </c>
      <c r="B7" s="1" t="s">
        <v>12</v>
      </c>
      <c r="C7" t="s">
        <v>30</v>
      </c>
      <c r="D7" t="s">
        <v>31</v>
      </c>
      <c r="E7" t="s">
        <v>15</v>
      </c>
      <c r="F7">
        <v>0</v>
      </c>
    </row>
    <row r="8" spans="1:9" hidden="1" x14ac:dyDescent="0.25">
      <c r="A8" s="55" t="s">
        <v>37</v>
      </c>
      <c r="B8" s="1" t="s">
        <v>12</v>
      </c>
      <c r="C8" t="s">
        <v>30</v>
      </c>
      <c r="D8" t="s">
        <v>31</v>
      </c>
      <c r="E8" t="s">
        <v>15</v>
      </c>
      <c r="F8">
        <v>0</v>
      </c>
    </row>
    <row r="9" spans="1:9" hidden="1" x14ac:dyDescent="0.25">
      <c r="A9" s="13" t="s">
        <v>42</v>
      </c>
      <c r="B9" s="1" t="s">
        <v>12</v>
      </c>
      <c r="C9" t="s">
        <v>30</v>
      </c>
      <c r="D9" t="s">
        <v>31</v>
      </c>
      <c r="E9" t="s">
        <v>15</v>
      </c>
      <c r="F9" s="48">
        <f>F10*15%</f>
        <v>-8.1</v>
      </c>
      <c r="H9" s="3" t="s">
        <v>259</v>
      </c>
    </row>
    <row r="10" spans="1:9" hidden="1" x14ac:dyDescent="0.25">
      <c r="A10" s="13" t="s">
        <v>43</v>
      </c>
      <c r="B10" s="1" t="s">
        <v>12</v>
      </c>
      <c r="C10" t="s">
        <v>30</v>
      </c>
      <c r="D10" t="s">
        <v>31</v>
      </c>
      <c r="E10" t="s">
        <v>15</v>
      </c>
      <c r="F10" s="48">
        <f>-94+'C2U CI'!G5</f>
        <v>-54</v>
      </c>
      <c r="H10" s="3" t="s">
        <v>258</v>
      </c>
    </row>
    <row r="11" spans="1:9" hidden="1" x14ac:dyDescent="0.25">
      <c r="A11" s="55" t="s">
        <v>40</v>
      </c>
      <c r="B11" s="55" t="s">
        <v>19</v>
      </c>
      <c r="C11" s="55" t="s">
        <v>30</v>
      </c>
      <c r="D11" s="55" t="s">
        <v>31</v>
      </c>
      <c r="E11" s="55" t="s">
        <v>15</v>
      </c>
      <c r="F11" s="2">
        <v>47</v>
      </c>
      <c r="G11" s="36" t="s">
        <v>339</v>
      </c>
      <c r="H11" s="3"/>
    </row>
    <row r="12" spans="1:9" hidden="1" x14ac:dyDescent="0.25">
      <c r="A12" s="55" t="s">
        <v>37</v>
      </c>
      <c r="B12" s="55" t="s">
        <v>19</v>
      </c>
      <c r="C12" s="55" t="s">
        <v>30</v>
      </c>
      <c r="D12" s="55" t="s">
        <v>31</v>
      </c>
      <c r="E12" s="55" t="s">
        <v>15</v>
      </c>
      <c r="F12">
        <v>22</v>
      </c>
      <c r="G12" t="s">
        <v>343</v>
      </c>
      <c r="H12" s="3" t="s">
        <v>336</v>
      </c>
      <c r="I12" t="s">
        <v>41</v>
      </c>
    </row>
    <row r="13" spans="1:9" hidden="1" x14ac:dyDescent="0.25">
      <c r="A13" s="55" t="s">
        <v>36</v>
      </c>
      <c r="B13" s="55" t="s">
        <v>19</v>
      </c>
      <c r="C13" s="55" t="s">
        <v>30</v>
      </c>
      <c r="D13" s="55" t="s">
        <v>31</v>
      </c>
      <c r="E13" s="55" t="s">
        <v>15</v>
      </c>
      <c r="F13">
        <v>22</v>
      </c>
      <c r="G13" t="s">
        <v>343</v>
      </c>
      <c r="H13" s="3" t="s">
        <v>21</v>
      </c>
      <c r="I13" t="s">
        <v>41</v>
      </c>
    </row>
    <row r="14" spans="1:9" hidden="1" x14ac:dyDescent="0.25">
      <c r="A14" s="13" t="s">
        <v>42</v>
      </c>
      <c r="B14" s="55" t="s">
        <v>19</v>
      </c>
      <c r="C14" s="55" t="s">
        <v>30</v>
      </c>
      <c r="D14" s="55" t="s">
        <v>39</v>
      </c>
      <c r="E14" s="55" t="s">
        <v>15</v>
      </c>
      <c r="F14">
        <f>F15*15%</f>
        <v>-30</v>
      </c>
      <c r="H14" s="3" t="s">
        <v>259</v>
      </c>
    </row>
    <row r="15" spans="1:9" hidden="1" x14ac:dyDescent="0.25">
      <c r="A15" s="13" t="s">
        <v>43</v>
      </c>
      <c r="B15" s="55" t="s">
        <v>19</v>
      </c>
      <c r="C15" s="55" t="s">
        <v>30</v>
      </c>
      <c r="D15" s="55" t="s">
        <v>39</v>
      </c>
      <c r="E15" s="55" t="s">
        <v>15</v>
      </c>
      <c r="F15">
        <v>-200</v>
      </c>
      <c r="H15" s="3" t="s">
        <v>258</v>
      </c>
    </row>
    <row r="16" spans="1:9" hidden="1" x14ac:dyDescent="0.25">
      <c r="A16" t="s">
        <v>42</v>
      </c>
      <c r="B16" s="1" t="s">
        <v>38</v>
      </c>
      <c r="C16" t="s">
        <v>30</v>
      </c>
      <c r="D16" t="s">
        <v>31</v>
      </c>
      <c r="E16" t="s">
        <v>15</v>
      </c>
      <c r="F16">
        <v>45</v>
      </c>
      <c r="H16" s="3"/>
    </row>
    <row r="17" spans="1:8" hidden="1" x14ac:dyDescent="0.25">
      <c r="A17" s="1" t="s">
        <v>43</v>
      </c>
      <c r="B17" s="1" t="s">
        <v>38</v>
      </c>
      <c r="C17" t="s">
        <v>30</v>
      </c>
      <c r="D17" t="s">
        <v>31</v>
      </c>
      <c r="E17" t="s">
        <v>15</v>
      </c>
      <c r="F17">
        <v>-150</v>
      </c>
      <c r="G17" s="6" t="s">
        <v>44</v>
      </c>
    </row>
    <row r="18" spans="1:8" hidden="1" x14ac:dyDescent="0.25">
      <c r="A18" s="1" t="s">
        <v>45</v>
      </c>
      <c r="B18" s="1" t="s">
        <v>46</v>
      </c>
      <c r="C18" t="s">
        <v>30</v>
      </c>
      <c r="D18" t="s">
        <v>31</v>
      </c>
      <c r="E18" t="s">
        <v>15</v>
      </c>
      <c r="F18">
        <v>70</v>
      </c>
      <c r="G18" t="s">
        <v>47</v>
      </c>
    </row>
    <row r="19" spans="1:8" x14ac:dyDescent="0.25">
      <c r="A19" s="1" t="s">
        <v>48</v>
      </c>
      <c r="B19" s="1" t="s">
        <v>46</v>
      </c>
      <c r="C19" t="s">
        <v>30</v>
      </c>
      <c r="D19" t="s">
        <v>31</v>
      </c>
      <c r="E19" t="s">
        <v>15</v>
      </c>
      <c r="F19">
        <v>50</v>
      </c>
      <c r="G19" t="s">
        <v>47</v>
      </c>
    </row>
    <row r="20" spans="1:8" x14ac:dyDescent="0.25">
      <c r="A20" t="s">
        <v>37</v>
      </c>
      <c r="B20" s="1" t="s">
        <v>46</v>
      </c>
      <c r="C20" t="s">
        <v>30</v>
      </c>
      <c r="D20" t="s">
        <v>31</v>
      </c>
      <c r="E20" t="s">
        <v>15</v>
      </c>
      <c r="F20">
        <v>7.7</v>
      </c>
      <c r="G20" t="s">
        <v>47</v>
      </c>
      <c r="H20" s="36" t="s">
        <v>49</v>
      </c>
    </row>
    <row r="21" spans="1:8" x14ac:dyDescent="0.25">
      <c r="A21" t="s">
        <v>36</v>
      </c>
      <c r="B21" s="1" t="s">
        <v>46</v>
      </c>
      <c r="C21" t="s">
        <v>30</v>
      </c>
      <c r="D21" t="s">
        <v>31</v>
      </c>
      <c r="E21" t="s">
        <v>15</v>
      </c>
      <c r="F21">
        <v>8.3000000000000007</v>
      </c>
      <c r="G21" t="s">
        <v>47</v>
      </c>
      <c r="H21" t="s">
        <v>49</v>
      </c>
    </row>
    <row r="22" spans="1:8" hidden="1" x14ac:dyDescent="0.25">
      <c r="A22" t="s">
        <v>11</v>
      </c>
      <c r="B22" t="s">
        <v>12</v>
      </c>
      <c r="C22" t="s">
        <v>30</v>
      </c>
      <c r="D22" t="s">
        <v>31</v>
      </c>
      <c r="E22" t="s">
        <v>24</v>
      </c>
      <c r="F22">
        <v>0</v>
      </c>
    </row>
    <row r="23" spans="1:8" hidden="1" x14ac:dyDescent="0.25">
      <c r="A23" s="55" t="s">
        <v>11</v>
      </c>
      <c r="B23" s="55" t="s">
        <v>19</v>
      </c>
      <c r="C23" s="55" t="s">
        <v>30</v>
      </c>
      <c r="D23" s="55" t="s">
        <v>31</v>
      </c>
      <c r="E23" s="55" t="s">
        <v>24</v>
      </c>
      <c r="F23" s="2">
        <v>21</v>
      </c>
      <c r="G23" t="s">
        <v>33</v>
      </c>
      <c r="H23" s="36" t="s">
        <v>340</v>
      </c>
    </row>
    <row r="24" spans="1:8" hidden="1" x14ac:dyDescent="0.25">
      <c r="A24" t="s">
        <v>22</v>
      </c>
      <c r="B24" t="s">
        <v>12</v>
      </c>
      <c r="C24" t="s">
        <v>30</v>
      </c>
      <c r="D24" t="s">
        <v>31</v>
      </c>
      <c r="E24" t="s">
        <v>24</v>
      </c>
      <c r="F24">
        <v>0</v>
      </c>
    </row>
    <row r="25" spans="1:8" hidden="1" x14ac:dyDescent="0.25">
      <c r="A25" s="1" t="s">
        <v>34</v>
      </c>
      <c r="B25" s="1" t="s">
        <v>12</v>
      </c>
      <c r="C25" t="s">
        <v>30</v>
      </c>
      <c r="D25" t="s">
        <v>31</v>
      </c>
      <c r="E25" t="s">
        <v>24</v>
      </c>
      <c r="F25">
        <v>0</v>
      </c>
    </row>
    <row r="26" spans="1:8" hidden="1" x14ac:dyDescent="0.25">
      <c r="A26" s="1" t="s">
        <v>35</v>
      </c>
      <c r="B26" s="1" t="s">
        <v>12</v>
      </c>
      <c r="C26" t="s">
        <v>30</v>
      </c>
      <c r="D26" t="s">
        <v>31</v>
      </c>
      <c r="E26" t="s">
        <v>24</v>
      </c>
      <c r="F26">
        <v>0</v>
      </c>
    </row>
    <row r="27" spans="1:8" hidden="1" x14ac:dyDescent="0.25">
      <c r="A27" t="s">
        <v>36</v>
      </c>
      <c r="B27" s="1" t="s">
        <v>12</v>
      </c>
      <c r="C27" t="s">
        <v>30</v>
      </c>
      <c r="D27" t="s">
        <v>31</v>
      </c>
      <c r="E27" t="s">
        <v>24</v>
      </c>
      <c r="F27">
        <v>0</v>
      </c>
    </row>
    <row r="28" spans="1:8" hidden="1" x14ac:dyDescent="0.25">
      <c r="A28" t="s">
        <v>37</v>
      </c>
      <c r="B28" s="1" t="s">
        <v>12</v>
      </c>
      <c r="C28" t="s">
        <v>30</v>
      </c>
      <c r="D28" t="s">
        <v>31</v>
      </c>
      <c r="E28" t="s">
        <v>24</v>
      </c>
      <c r="F28">
        <v>0</v>
      </c>
    </row>
    <row r="29" spans="1:8" hidden="1" x14ac:dyDescent="0.25">
      <c r="A29" s="13" t="s">
        <v>42</v>
      </c>
      <c r="B29" s="1" t="s">
        <v>12</v>
      </c>
      <c r="C29" t="s">
        <v>30</v>
      </c>
      <c r="D29" t="s">
        <v>31</v>
      </c>
      <c r="E29" t="s">
        <v>24</v>
      </c>
      <c r="F29" s="48">
        <f>F30*15%</f>
        <v>-8.1</v>
      </c>
      <c r="H29" s="3" t="s">
        <v>259</v>
      </c>
    </row>
    <row r="30" spans="1:8" hidden="1" x14ac:dyDescent="0.25">
      <c r="A30" s="13" t="s">
        <v>43</v>
      </c>
      <c r="B30" s="1" t="s">
        <v>12</v>
      </c>
      <c r="C30" t="s">
        <v>30</v>
      </c>
      <c r="D30" t="s">
        <v>31</v>
      </c>
      <c r="E30" t="s">
        <v>24</v>
      </c>
      <c r="F30">
        <f>F10</f>
        <v>-54</v>
      </c>
      <c r="H30" s="3" t="s">
        <v>258</v>
      </c>
    </row>
    <row r="31" spans="1:8" hidden="1" x14ac:dyDescent="0.25">
      <c r="A31" s="55" t="s">
        <v>40</v>
      </c>
      <c r="B31" s="55" t="s">
        <v>19</v>
      </c>
      <c r="C31" s="55" t="s">
        <v>30</v>
      </c>
      <c r="D31" s="55" t="s">
        <v>31</v>
      </c>
      <c r="E31" s="55" t="s">
        <v>24</v>
      </c>
      <c r="F31" s="2">
        <v>76</v>
      </c>
      <c r="G31" s="36" t="s">
        <v>339</v>
      </c>
      <c r="H31" s="3"/>
    </row>
    <row r="32" spans="1:8" hidden="1" x14ac:dyDescent="0.25">
      <c r="A32" s="55" t="s">
        <v>37</v>
      </c>
      <c r="B32" s="55" t="s">
        <v>19</v>
      </c>
      <c r="C32" s="55" t="s">
        <v>30</v>
      </c>
      <c r="D32" s="55" t="s">
        <v>31</v>
      </c>
      <c r="E32" s="55" t="s">
        <v>24</v>
      </c>
      <c r="F32">
        <v>71.7</v>
      </c>
      <c r="G32" s="55" t="s">
        <v>338</v>
      </c>
      <c r="H32" s="56" t="s">
        <v>339</v>
      </c>
    </row>
    <row r="33" spans="1:8" hidden="1" x14ac:dyDescent="0.25">
      <c r="A33" s="13" t="s">
        <v>42</v>
      </c>
      <c r="B33" s="55" t="s">
        <v>19</v>
      </c>
      <c r="C33" s="55" t="s">
        <v>30</v>
      </c>
      <c r="D33" s="55" t="s">
        <v>39</v>
      </c>
      <c r="E33" s="55" t="s">
        <v>24</v>
      </c>
      <c r="F33">
        <f>F34*15%</f>
        <v>-13.5</v>
      </c>
      <c r="H33" s="3" t="s">
        <v>337</v>
      </c>
    </row>
    <row r="34" spans="1:8" hidden="1" x14ac:dyDescent="0.25">
      <c r="A34" s="13" t="s">
        <v>43</v>
      </c>
      <c r="B34" s="55" t="s">
        <v>19</v>
      </c>
      <c r="C34" s="55" t="s">
        <v>30</v>
      </c>
      <c r="D34" s="55" t="s">
        <v>39</v>
      </c>
      <c r="E34" s="55" t="s">
        <v>24</v>
      </c>
      <c r="F34">
        <v>-90</v>
      </c>
      <c r="H34" s="3" t="s">
        <v>258</v>
      </c>
    </row>
    <row r="35" spans="1:8" hidden="1" x14ac:dyDescent="0.25">
      <c r="A35" s="55" t="s">
        <v>36</v>
      </c>
      <c r="B35" s="55" t="s">
        <v>19</v>
      </c>
      <c r="C35" s="55" t="s">
        <v>30</v>
      </c>
      <c r="D35" s="55" t="s">
        <v>31</v>
      </c>
      <c r="E35" s="55" t="s">
        <v>24</v>
      </c>
      <c r="F35">
        <v>71.7</v>
      </c>
      <c r="G35" s="55" t="s">
        <v>338</v>
      </c>
      <c r="H35" s="36" t="s">
        <v>340</v>
      </c>
    </row>
    <row r="36" spans="1:8" hidden="1" x14ac:dyDescent="0.25">
      <c r="A36" t="s">
        <v>42</v>
      </c>
      <c r="B36" s="1" t="s">
        <v>38</v>
      </c>
      <c r="C36" t="s">
        <v>30</v>
      </c>
      <c r="D36" t="s">
        <v>31</v>
      </c>
      <c r="E36" t="s">
        <v>24</v>
      </c>
      <c r="F36">
        <v>45</v>
      </c>
      <c r="G36" s="6" t="s">
        <v>44</v>
      </c>
      <c r="H36" s="3"/>
    </row>
    <row r="37" spans="1:8" hidden="1" x14ac:dyDescent="0.25">
      <c r="A37" t="s">
        <v>43</v>
      </c>
      <c r="B37" s="1" t="s">
        <v>38</v>
      </c>
      <c r="C37" t="s">
        <v>30</v>
      </c>
      <c r="D37" t="s">
        <v>31</v>
      </c>
      <c r="E37" t="s">
        <v>24</v>
      </c>
      <c r="F37">
        <v>-132.5</v>
      </c>
      <c r="G37" s="6" t="s">
        <v>44</v>
      </c>
    </row>
    <row r="38" spans="1:8" hidden="1" x14ac:dyDescent="0.25">
      <c r="A38" t="s">
        <v>45</v>
      </c>
      <c r="B38" s="1" t="s">
        <v>46</v>
      </c>
      <c r="C38" t="s">
        <v>30</v>
      </c>
      <c r="D38" t="s">
        <v>31</v>
      </c>
      <c r="E38" t="s">
        <v>24</v>
      </c>
      <c r="F38">
        <v>70</v>
      </c>
      <c r="G38" t="s">
        <v>47</v>
      </c>
    </row>
    <row r="39" spans="1:8" x14ac:dyDescent="0.25">
      <c r="A39" t="s">
        <v>48</v>
      </c>
      <c r="B39" s="1" t="s">
        <v>46</v>
      </c>
      <c r="C39" t="s">
        <v>30</v>
      </c>
      <c r="D39" t="s">
        <v>31</v>
      </c>
      <c r="E39" t="s">
        <v>24</v>
      </c>
      <c r="F39">
        <v>50</v>
      </c>
      <c r="G39" t="s">
        <v>47</v>
      </c>
    </row>
    <row r="40" spans="1:8" x14ac:dyDescent="0.25">
      <c r="A40" t="s">
        <v>37</v>
      </c>
      <c r="B40" s="1" t="s">
        <v>46</v>
      </c>
      <c r="C40" t="s">
        <v>30</v>
      </c>
      <c r="D40" t="s">
        <v>31</v>
      </c>
      <c r="E40" t="s">
        <v>24</v>
      </c>
      <c r="F40">
        <v>29.3</v>
      </c>
      <c r="H40" s="36" t="s">
        <v>294</v>
      </c>
    </row>
    <row r="41" spans="1:8" x14ac:dyDescent="0.25">
      <c r="A41" t="s">
        <v>36</v>
      </c>
      <c r="B41" s="1" t="s">
        <v>46</v>
      </c>
      <c r="C41" t="s">
        <v>30</v>
      </c>
      <c r="D41" t="s">
        <v>31</v>
      </c>
      <c r="E41" t="s">
        <v>24</v>
      </c>
      <c r="F41">
        <v>23.8</v>
      </c>
      <c r="H41" s="36" t="s">
        <v>294</v>
      </c>
    </row>
    <row r="42" spans="1:8" hidden="1" x14ac:dyDescent="0.25">
      <c r="A42" t="s">
        <v>11</v>
      </c>
      <c r="B42" t="s">
        <v>12</v>
      </c>
      <c r="C42" t="s">
        <v>30</v>
      </c>
      <c r="D42" t="s">
        <v>31</v>
      </c>
      <c r="E42" t="s">
        <v>26</v>
      </c>
      <c r="F42">
        <v>0</v>
      </c>
    </row>
    <row r="43" spans="1:8" hidden="1" x14ac:dyDescent="0.25">
      <c r="A43" s="55" t="s">
        <v>11</v>
      </c>
      <c r="B43" s="55" t="s">
        <v>19</v>
      </c>
      <c r="C43" s="55" t="s">
        <v>30</v>
      </c>
      <c r="D43" s="55" t="s">
        <v>31</v>
      </c>
      <c r="E43" s="55" t="s">
        <v>26</v>
      </c>
      <c r="F43">
        <v>11</v>
      </c>
      <c r="G43" t="s">
        <v>33</v>
      </c>
      <c r="H43" s="36" t="s">
        <v>340</v>
      </c>
    </row>
    <row r="44" spans="1:8" hidden="1" x14ac:dyDescent="0.25">
      <c r="A44" t="s">
        <v>22</v>
      </c>
      <c r="B44" t="s">
        <v>12</v>
      </c>
      <c r="C44" t="s">
        <v>30</v>
      </c>
      <c r="D44" t="s">
        <v>31</v>
      </c>
      <c r="E44" t="s">
        <v>26</v>
      </c>
      <c r="F44">
        <v>0</v>
      </c>
    </row>
    <row r="45" spans="1:8" hidden="1" x14ac:dyDescent="0.25">
      <c r="A45" s="1" t="s">
        <v>34</v>
      </c>
      <c r="B45" s="1" t="s">
        <v>12</v>
      </c>
      <c r="C45" t="s">
        <v>30</v>
      </c>
      <c r="D45" t="s">
        <v>31</v>
      </c>
      <c r="E45" t="s">
        <v>26</v>
      </c>
      <c r="F45">
        <v>0</v>
      </c>
    </row>
    <row r="46" spans="1:8" hidden="1" x14ac:dyDescent="0.25">
      <c r="A46" s="1" t="s">
        <v>35</v>
      </c>
      <c r="B46" s="1" t="s">
        <v>12</v>
      </c>
      <c r="C46" t="s">
        <v>30</v>
      </c>
      <c r="D46" t="s">
        <v>31</v>
      </c>
      <c r="E46" t="s">
        <v>26</v>
      </c>
      <c r="F46">
        <v>0</v>
      </c>
    </row>
    <row r="47" spans="1:8" hidden="1" x14ac:dyDescent="0.25">
      <c r="A47" t="s">
        <v>36</v>
      </c>
      <c r="B47" s="1" t="s">
        <v>12</v>
      </c>
      <c r="C47" t="s">
        <v>30</v>
      </c>
      <c r="D47" t="s">
        <v>31</v>
      </c>
      <c r="E47" t="s">
        <v>26</v>
      </c>
      <c r="F47">
        <v>0</v>
      </c>
    </row>
    <row r="48" spans="1:8" hidden="1" x14ac:dyDescent="0.25">
      <c r="A48" t="s">
        <v>37</v>
      </c>
      <c r="B48" s="1" t="s">
        <v>12</v>
      </c>
      <c r="C48" t="s">
        <v>30</v>
      </c>
      <c r="D48" t="s">
        <v>31</v>
      </c>
      <c r="E48" t="s">
        <v>26</v>
      </c>
      <c r="F48">
        <v>0</v>
      </c>
    </row>
    <row r="49" spans="1:8" hidden="1" x14ac:dyDescent="0.25">
      <c r="A49" s="13" t="s">
        <v>42</v>
      </c>
      <c r="B49" s="1" t="s">
        <v>12</v>
      </c>
      <c r="C49" t="s">
        <v>30</v>
      </c>
      <c r="D49" t="s">
        <v>31</v>
      </c>
      <c r="E49" t="s">
        <v>26</v>
      </c>
      <c r="F49" s="48">
        <f>F50*15%</f>
        <v>-73.5</v>
      </c>
      <c r="H49" s="3" t="s">
        <v>259</v>
      </c>
    </row>
    <row r="50" spans="1:8" hidden="1" x14ac:dyDescent="0.25">
      <c r="A50" s="13" t="s">
        <v>43</v>
      </c>
      <c r="B50" s="1" t="s">
        <v>12</v>
      </c>
      <c r="C50" t="s">
        <v>30</v>
      </c>
      <c r="D50" t="s">
        <v>31</v>
      </c>
      <c r="E50" t="s">
        <v>26</v>
      </c>
      <c r="F50">
        <f>-530+'C2U CI'!G5</f>
        <v>-490</v>
      </c>
      <c r="H50" s="3" t="s">
        <v>258</v>
      </c>
    </row>
    <row r="51" spans="1:8" hidden="1" x14ac:dyDescent="0.25">
      <c r="A51" s="55" t="s">
        <v>40</v>
      </c>
      <c r="B51" s="55" t="s">
        <v>19</v>
      </c>
      <c r="C51" s="55" t="s">
        <v>30</v>
      </c>
      <c r="D51" s="55" t="s">
        <v>31</v>
      </c>
      <c r="E51" s="55" t="s">
        <v>26</v>
      </c>
      <c r="F51" s="2">
        <v>25</v>
      </c>
      <c r="G51" s="36" t="s">
        <v>339</v>
      </c>
      <c r="H51" s="3"/>
    </row>
    <row r="52" spans="1:8" hidden="1" x14ac:dyDescent="0.25">
      <c r="A52" s="55" t="s">
        <v>37</v>
      </c>
      <c r="B52" s="55" t="s">
        <v>19</v>
      </c>
      <c r="C52" s="55" t="s">
        <v>30</v>
      </c>
      <c r="D52" s="55" t="s">
        <v>31</v>
      </c>
      <c r="E52" s="55" t="s">
        <v>26</v>
      </c>
      <c r="F52">
        <v>3</v>
      </c>
      <c r="G52" s="55" t="s">
        <v>342</v>
      </c>
      <c r="H52" s="56" t="s">
        <v>260</v>
      </c>
    </row>
    <row r="53" spans="1:8" hidden="1" x14ac:dyDescent="0.25">
      <c r="A53" s="13" t="s">
        <v>42</v>
      </c>
      <c r="B53" s="55" t="s">
        <v>19</v>
      </c>
      <c r="C53" s="55" t="s">
        <v>30</v>
      </c>
      <c r="D53" s="55" t="s">
        <v>31</v>
      </c>
      <c r="E53" s="55" t="s">
        <v>26</v>
      </c>
      <c r="F53">
        <f>F54*15%</f>
        <v>-46.35</v>
      </c>
      <c r="H53" s="3" t="s">
        <v>259</v>
      </c>
    </row>
    <row r="54" spans="1:8" hidden="1" x14ac:dyDescent="0.25">
      <c r="A54" s="13" t="s">
        <v>43</v>
      </c>
      <c r="B54" s="55" t="s">
        <v>19</v>
      </c>
      <c r="C54" s="55" t="s">
        <v>30</v>
      </c>
      <c r="D54" s="55" t="s">
        <v>39</v>
      </c>
      <c r="E54" s="55" t="s">
        <v>26</v>
      </c>
      <c r="F54">
        <v>-309</v>
      </c>
      <c r="H54" s="3" t="s">
        <v>258</v>
      </c>
    </row>
    <row r="55" spans="1:8" hidden="1" x14ac:dyDescent="0.25">
      <c r="A55" s="55" t="s">
        <v>36</v>
      </c>
      <c r="B55" s="55" t="s">
        <v>19</v>
      </c>
      <c r="C55" s="55" t="s">
        <v>30</v>
      </c>
      <c r="D55" s="55" t="s">
        <v>31</v>
      </c>
      <c r="E55" s="55" t="s">
        <v>26</v>
      </c>
      <c r="F55">
        <v>3</v>
      </c>
      <c r="G55" s="55" t="s">
        <v>342</v>
      </c>
      <c r="H55" s="56" t="s">
        <v>260</v>
      </c>
    </row>
    <row r="56" spans="1:8" hidden="1" x14ac:dyDescent="0.25">
      <c r="A56" t="s">
        <v>42</v>
      </c>
      <c r="B56" s="1" t="s">
        <v>38</v>
      </c>
      <c r="C56" t="s">
        <v>30</v>
      </c>
      <c r="D56" t="s">
        <v>31</v>
      </c>
      <c r="E56" t="s">
        <v>26</v>
      </c>
      <c r="F56">
        <v>45</v>
      </c>
      <c r="G56" s="6" t="s">
        <v>44</v>
      </c>
      <c r="H56" s="3"/>
    </row>
    <row r="57" spans="1:8" hidden="1" x14ac:dyDescent="0.25">
      <c r="A57" t="s">
        <v>43</v>
      </c>
      <c r="B57" s="1" t="s">
        <v>38</v>
      </c>
      <c r="C57" t="s">
        <v>30</v>
      </c>
      <c r="D57" t="s">
        <v>31</v>
      </c>
      <c r="E57" t="s">
        <v>26</v>
      </c>
      <c r="F57">
        <v>-328.8</v>
      </c>
      <c r="G57" s="6" t="s">
        <v>44</v>
      </c>
    </row>
    <row r="58" spans="1:8" hidden="1" x14ac:dyDescent="0.25">
      <c r="A58" t="s">
        <v>45</v>
      </c>
      <c r="B58" s="1" t="s">
        <v>46</v>
      </c>
      <c r="C58" t="s">
        <v>30</v>
      </c>
      <c r="D58" t="s">
        <v>31</v>
      </c>
      <c r="E58" t="s">
        <v>26</v>
      </c>
      <c r="F58">
        <v>47.5</v>
      </c>
      <c r="G58" t="s">
        <v>47</v>
      </c>
    </row>
    <row r="59" spans="1:8" x14ac:dyDescent="0.25">
      <c r="A59" t="s">
        <v>48</v>
      </c>
      <c r="B59" s="1" t="s">
        <v>46</v>
      </c>
      <c r="C59" t="s">
        <v>30</v>
      </c>
      <c r="D59" t="s">
        <v>31</v>
      </c>
      <c r="E59" t="s">
        <v>26</v>
      </c>
      <c r="F59">
        <v>32.799999999999997</v>
      </c>
      <c r="G59" t="s">
        <v>47</v>
      </c>
    </row>
    <row r="60" spans="1:8" x14ac:dyDescent="0.25">
      <c r="A60" t="s">
        <v>37</v>
      </c>
      <c r="B60" s="1" t="s">
        <v>46</v>
      </c>
      <c r="C60" t="s">
        <v>30</v>
      </c>
      <c r="D60" t="s">
        <v>31</v>
      </c>
      <c r="E60" t="s">
        <v>26</v>
      </c>
      <c r="F60" s="12">
        <v>7.7</v>
      </c>
    </row>
    <row r="61" spans="1:8" x14ac:dyDescent="0.25">
      <c r="A61" t="s">
        <v>36</v>
      </c>
      <c r="B61" s="1" t="s">
        <v>46</v>
      </c>
      <c r="C61" t="s">
        <v>30</v>
      </c>
      <c r="D61" t="s">
        <v>31</v>
      </c>
      <c r="E61" t="s">
        <v>26</v>
      </c>
      <c r="F61" s="12">
        <v>8.3000000000000007</v>
      </c>
    </row>
  </sheetData>
  <autoFilter ref="A1:I61" xr:uid="{732D9AEE-59CF-9744-8E33-A83B08C738C6}">
    <filterColumn colId="0">
      <filters>
        <filter val="Agricultural waste"/>
        <filter val="Animal Fat"/>
        <filter val="Forest waste"/>
      </filters>
    </filterColumn>
    <filterColumn colId="1">
      <filters>
        <filter val="Sustainable Aviation Fuel"/>
      </filters>
    </filterColumn>
  </autoFilter>
  <phoneticPr fontId="10" type="noConversion"/>
  <hyperlinks>
    <hyperlink ref="H40" r:id="rId1" xr:uid="{3DE9360D-4B28-4580-B9AC-7A8A7FDEC5D9}"/>
    <hyperlink ref="H41" r:id="rId2" xr:uid="{616833AB-8ACA-41F8-8D0E-642E78789A77}"/>
    <hyperlink ref="H52" r:id="rId3" xr:uid="{8E40FAC8-BE6F-4972-8F8A-D7FFC804E06E}"/>
    <hyperlink ref="H55" r:id="rId4" xr:uid="{F8847031-885E-40E1-92C0-8616552E06FA}"/>
    <hyperlink ref="H32" r:id="rId5" xr:uid="{5E2BC77F-A5F7-4E28-8FD6-6908622A66F4}"/>
    <hyperlink ref="H35" r:id="rId6" display="https://bof.fire.ca.gov/media/10190/introduction-to-the-hydrogen-market-in-california-draft-for-comment_ada.pdf" xr:uid="{D1B92899-5F56-4BC1-9B1A-753C033ABE12}"/>
    <hyperlink ref="G11" r:id="rId7" xr:uid="{ABF6638B-67E6-4462-9698-7878ED08063F}"/>
    <hyperlink ref="G31" r:id="rId8" xr:uid="{6CC27E2D-896B-4F52-9EBF-B1D4967B49EA}"/>
    <hyperlink ref="G51" r:id="rId9" xr:uid="{3FA6F57B-1576-49E0-BC0A-B6213F870ACC}"/>
    <hyperlink ref="H3" r:id="rId10" display="https://bof.fire.ca.gov/media/10190/introduction-to-the-hydrogen-market-in-california-draft-for-comment_ada.pdf" xr:uid="{40CAFF63-7148-4667-98FE-FFF89E0DA688}"/>
    <hyperlink ref="H23" r:id="rId11" display="https://bof.fire.ca.gov/media/10190/introduction-to-the-hydrogen-market-in-california-draft-for-comment_ada.pdf" xr:uid="{42190A8E-57A6-46F3-8FA3-71EA01DCB935}"/>
    <hyperlink ref="H43" r:id="rId12" display="https://bof.fire.ca.gov/media/10190/introduction-to-the-hydrogen-market-in-california-draft-for-comment_ada.pdf" xr:uid="{4D26B25D-D196-4051-BCD5-66F3EB235350}"/>
    <hyperlink ref="H20" r:id="rId13" xr:uid="{88B8FD66-4AC8-4CA2-B7D0-7617FFEA76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75" x14ac:dyDescent="0.25"/>
  <cols>
    <col min="1" max="1" width="21.875" bestFit="1" customWidth="1"/>
    <col min="2" max="2" width="19.375" bestFit="1" customWidth="1"/>
    <col min="3" max="3" width="20" bestFit="1" customWidth="1"/>
    <col min="4" max="4" width="16.25" bestFit="1" customWidth="1"/>
    <col min="5" max="5" width="16" bestFit="1" customWidth="1"/>
    <col min="6" max="6" width="173.125" bestFit="1" customWidth="1"/>
  </cols>
  <sheetData>
    <row r="1" spans="1:6" x14ac:dyDescent="0.25">
      <c r="A1" t="s">
        <v>1</v>
      </c>
      <c r="B1" t="s">
        <v>50</v>
      </c>
      <c r="C1" t="s">
        <v>51</v>
      </c>
      <c r="D1" t="s">
        <v>52</v>
      </c>
      <c r="E1" t="s">
        <v>53</v>
      </c>
      <c r="F1" t="s">
        <v>54</v>
      </c>
    </row>
    <row r="2" spans="1:6" x14ac:dyDescent="0.25">
      <c r="A2" t="s">
        <v>38</v>
      </c>
      <c r="B2" t="s">
        <v>55</v>
      </c>
      <c r="C2" t="s">
        <v>56</v>
      </c>
      <c r="D2" t="s">
        <v>57</v>
      </c>
      <c r="E2" s="2">
        <v>1</v>
      </c>
    </row>
    <row r="3" spans="1:6" x14ac:dyDescent="0.25">
      <c r="A3" t="s">
        <v>12</v>
      </c>
      <c r="B3" t="s">
        <v>60</v>
      </c>
      <c r="C3" t="s">
        <v>58</v>
      </c>
      <c r="D3" t="s">
        <v>59</v>
      </c>
      <c r="E3">
        <v>1</v>
      </c>
    </row>
    <row r="4" spans="1:6" x14ac:dyDescent="0.25">
      <c r="A4" t="s">
        <v>19</v>
      </c>
      <c r="B4" t="s">
        <v>160</v>
      </c>
      <c r="C4" t="s">
        <v>62</v>
      </c>
      <c r="D4" t="s">
        <v>63</v>
      </c>
      <c r="E4">
        <v>2.5</v>
      </c>
      <c r="F4" s="44" t="s">
        <v>64</v>
      </c>
    </row>
    <row r="5" spans="1:6" x14ac:dyDescent="0.25">
      <c r="A5" t="s">
        <v>19</v>
      </c>
      <c r="B5" t="s">
        <v>257</v>
      </c>
      <c r="C5" t="s">
        <v>65</v>
      </c>
      <c r="D5" t="s">
        <v>66</v>
      </c>
      <c r="E5">
        <v>1</v>
      </c>
    </row>
    <row r="6" spans="1:6" x14ac:dyDescent="0.25">
      <c r="A6" s="1" t="s">
        <v>46</v>
      </c>
      <c r="B6" t="s">
        <v>67</v>
      </c>
      <c r="C6" t="s">
        <v>68</v>
      </c>
      <c r="D6" t="s">
        <v>69</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G7" sqref="G7"/>
    </sheetView>
  </sheetViews>
  <sheetFormatPr defaultColWidth="11" defaultRowHeight="15.75" x14ac:dyDescent="0.25"/>
  <cols>
    <col min="1" max="1" width="17.625" customWidth="1"/>
    <col min="2" max="2" width="19.125" customWidth="1"/>
    <col min="3" max="3" width="28" customWidth="1"/>
    <col min="4" max="4" width="26" customWidth="1"/>
    <col min="5" max="5" width="25.75" customWidth="1"/>
    <col min="6" max="6" width="19.125" customWidth="1"/>
  </cols>
  <sheetData>
    <row r="1" spans="1:27" x14ac:dyDescent="0.25">
      <c r="A1" t="s">
        <v>1</v>
      </c>
      <c r="B1" t="s">
        <v>50</v>
      </c>
      <c r="C1" t="s">
        <v>70</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38</v>
      </c>
      <c r="B2" t="s">
        <v>55</v>
      </c>
      <c r="C2" t="s">
        <v>71</v>
      </c>
      <c r="D2" t="s">
        <v>72</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25">
      <c r="A3" t="s">
        <v>38</v>
      </c>
      <c r="B3" t="s">
        <v>55</v>
      </c>
      <c r="C3" t="s">
        <v>71</v>
      </c>
      <c r="D3" t="s">
        <v>72</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25">
      <c r="A4" t="s">
        <v>38</v>
      </c>
      <c r="B4" t="s">
        <v>55</v>
      </c>
      <c r="C4" t="s">
        <v>71</v>
      </c>
      <c r="D4" t="s">
        <v>72</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25">
      <c r="A5" t="s">
        <v>12</v>
      </c>
      <c r="B5" t="s">
        <v>60</v>
      </c>
      <c r="C5" t="s">
        <v>73</v>
      </c>
      <c r="D5" t="s">
        <v>72</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25">
      <c r="A6" t="s">
        <v>12</v>
      </c>
      <c r="B6" t="s">
        <v>60</v>
      </c>
      <c r="C6" t="s">
        <v>73</v>
      </c>
      <c r="D6" t="s">
        <v>72</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25">
      <c r="A7" t="s">
        <v>12</v>
      </c>
      <c r="B7" t="s">
        <v>60</v>
      </c>
      <c r="C7" t="s">
        <v>73</v>
      </c>
      <c r="D7" t="s">
        <v>72</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25">
      <c r="A8" t="s">
        <v>19</v>
      </c>
      <c r="B8" s="13" t="s">
        <v>160</v>
      </c>
      <c r="C8" t="s">
        <v>74</v>
      </c>
      <c r="D8" t="s">
        <v>72</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25">
      <c r="A9" t="s">
        <v>19</v>
      </c>
      <c r="B9" s="13" t="s">
        <v>160</v>
      </c>
      <c r="C9" t="s">
        <v>74</v>
      </c>
      <c r="D9" t="s">
        <v>72</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25">
      <c r="A10" t="s">
        <v>19</v>
      </c>
      <c r="B10" s="13" t="s">
        <v>160</v>
      </c>
      <c r="C10" t="s">
        <v>74</v>
      </c>
      <c r="D10" t="s">
        <v>72</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25">
      <c r="A11" t="s">
        <v>19</v>
      </c>
      <c r="B11" s="13" t="s">
        <v>257</v>
      </c>
      <c r="C11" t="s">
        <v>75</v>
      </c>
      <c r="D11" t="s">
        <v>72</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25">
      <c r="A12" t="s">
        <v>19</v>
      </c>
      <c r="B12" s="13" t="s">
        <v>257</v>
      </c>
      <c r="C12" t="s">
        <v>75</v>
      </c>
      <c r="D12" t="s">
        <v>72</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25">
      <c r="A13" t="s">
        <v>19</v>
      </c>
      <c r="B13" s="13" t="s">
        <v>257</v>
      </c>
      <c r="C13" t="s">
        <v>75</v>
      </c>
      <c r="D13" t="s">
        <v>72</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25">
      <c r="A14" s="1" t="s">
        <v>46</v>
      </c>
      <c r="B14" t="s">
        <v>67</v>
      </c>
      <c r="C14" t="s">
        <v>76</v>
      </c>
      <c r="D14" t="s">
        <v>72</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25">
      <c r="A15" s="1" t="s">
        <v>46</v>
      </c>
      <c r="B15" t="s">
        <v>67</v>
      </c>
      <c r="C15" t="s">
        <v>76</v>
      </c>
      <c r="D15" t="s">
        <v>72</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25">
      <c r="A16" s="1" t="s">
        <v>46</v>
      </c>
      <c r="B16" t="s">
        <v>67</v>
      </c>
      <c r="C16" t="s">
        <v>76</v>
      </c>
      <c r="D16" t="s">
        <v>72</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D1" workbookViewId="0">
      <selection activeCell="H12" sqref="H12"/>
    </sheetView>
  </sheetViews>
  <sheetFormatPr defaultColWidth="11" defaultRowHeight="15.75" x14ac:dyDescent="0.25"/>
  <cols>
    <col min="1" max="1" width="21.875" customWidth="1"/>
    <col min="2" max="2" width="24.375" customWidth="1"/>
    <col min="3" max="3" width="21" customWidth="1"/>
    <col min="4" max="4" width="26" customWidth="1"/>
    <col min="5" max="5" width="22.875" customWidth="1"/>
    <col min="6" max="6" width="25" customWidth="1"/>
    <col min="7" max="8" width="24.125" customWidth="1"/>
  </cols>
  <sheetData>
    <row r="1" spans="1:12" x14ac:dyDescent="0.25">
      <c r="A1" s="1" t="s">
        <v>0</v>
      </c>
      <c r="B1" s="1" t="s">
        <v>1</v>
      </c>
      <c r="C1" t="s">
        <v>2</v>
      </c>
      <c r="D1" t="s">
        <v>3</v>
      </c>
      <c r="E1" t="s">
        <v>5</v>
      </c>
      <c r="F1" t="s">
        <v>6</v>
      </c>
      <c r="G1" t="s">
        <v>7</v>
      </c>
      <c r="H1" t="s">
        <v>8</v>
      </c>
      <c r="I1" t="s">
        <v>9</v>
      </c>
      <c r="J1" t="s">
        <v>10</v>
      </c>
      <c r="K1" t="s">
        <v>77</v>
      </c>
      <c r="L1" t="s">
        <v>78</v>
      </c>
    </row>
    <row r="2" spans="1:12" ht="14.25" customHeight="1" x14ac:dyDescent="0.25">
      <c r="A2" s="1" t="s">
        <v>11</v>
      </c>
      <c r="B2" s="1" t="s">
        <v>12</v>
      </c>
      <c r="C2" t="s">
        <v>79</v>
      </c>
      <c r="D2" t="s">
        <v>80</v>
      </c>
      <c r="E2" t="s">
        <v>81</v>
      </c>
    </row>
    <row r="3" spans="1:12" x14ac:dyDescent="0.25">
      <c r="A3" s="1" t="s">
        <v>11</v>
      </c>
      <c r="B3" s="1" t="s">
        <v>19</v>
      </c>
      <c r="C3" t="s">
        <v>79</v>
      </c>
      <c r="D3" t="s">
        <v>80</v>
      </c>
      <c r="E3" t="s">
        <v>81</v>
      </c>
      <c r="F3" s="8">
        <f>H3*1000/325851</f>
        <v>1.2582437985459612E-2</v>
      </c>
      <c r="G3" t="s">
        <v>82</v>
      </c>
      <c r="H3">
        <v>4.0999999999999996</v>
      </c>
      <c r="I3" t="s">
        <v>83</v>
      </c>
    </row>
    <row r="4" spans="1:12" x14ac:dyDescent="0.25">
      <c r="A4" s="1" t="s">
        <v>22</v>
      </c>
      <c r="B4" s="1" t="s">
        <v>12</v>
      </c>
      <c r="C4" t="s">
        <v>79</v>
      </c>
      <c r="D4" t="s">
        <v>80</v>
      </c>
      <c r="E4" t="s">
        <v>81</v>
      </c>
      <c r="F4" s="8"/>
    </row>
    <row r="5" spans="1:12" x14ac:dyDescent="0.25">
      <c r="A5" s="1" t="s">
        <v>34</v>
      </c>
      <c r="B5" s="1" t="s">
        <v>12</v>
      </c>
      <c r="C5" t="s">
        <v>79</v>
      </c>
      <c r="D5" t="s">
        <v>80</v>
      </c>
      <c r="E5" t="s">
        <v>81</v>
      </c>
      <c r="F5" s="8"/>
    </row>
    <row r="6" spans="1:12" x14ac:dyDescent="0.25">
      <c r="A6" s="1" t="s">
        <v>35</v>
      </c>
      <c r="B6" s="1" t="s">
        <v>12</v>
      </c>
      <c r="C6" t="s">
        <v>79</v>
      </c>
      <c r="D6" t="s">
        <v>80</v>
      </c>
      <c r="E6" t="s">
        <v>81</v>
      </c>
      <c r="F6" s="8"/>
    </row>
    <row r="7" spans="1:12" x14ac:dyDescent="0.25">
      <c r="A7" s="13" t="s">
        <v>36</v>
      </c>
      <c r="B7" s="1" t="s">
        <v>12</v>
      </c>
      <c r="C7" t="s">
        <v>79</v>
      </c>
      <c r="D7" t="s">
        <v>80</v>
      </c>
      <c r="E7" t="s">
        <v>81</v>
      </c>
      <c r="F7" s="8"/>
    </row>
    <row r="8" spans="1:12" x14ac:dyDescent="0.25">
      <c r="A8" s="13" t="s">
        <v>37</v>
      </c>
      <c r="B8" s="13" t="s">
        <v>12</v>
      </c>
      <c r="C8" t="s">
        <v>79</v>
      </c>
      <c r="D8" t="s">
        <v>80</v>
      </c>
      <c r="E8" t="s">
        <v>81</v>
      </c>
      <c r="F8" s="8"/>
    </row>
    <row r="9" spans="1:12" x14ac:dyDescent="0.25">
      <c r="A9" t="s">
        <v>43</v>
      </c>
      <c r="B9" s="13" t="s">
        <v>12</v>
      </c>
      <c r="C9" t="s">
        <v>79</v>
      </c>
      <c r="D9" t="s">
        <v>80</v>
      </c>
      <c r="E9" t="s">
        <v>81</v>
      </c>
      <c r="F9" s="8"/>
    </row>
    <row r="10" spans="1:12" x14ac:dyDescent="0.25">
      <c r="A10" t="s">
        <v>42</v>
      </c>
      <c r="B10" s="13" t="s">
        <v>12</v>
      </c>
      <c r="C10" t="s">
        <v>79</v>
      </c>
      <c r="D10" t="s">
        <v>80</v>
      </c>
      <c r="E10" t="s">
        <v>81</v>
      </c>
      <c r="F10" s="8"/>
    </row>
    <row r="11" spans="1:12" x14ac:dyDescent="0.25">
      <c r="A11" s="1" t="s">
        <v>40</v>
      </c>
      <c r="B11" s="1" t="s">
        <v>19</v>
      </c>
      <c r="C11" t="s">
        <v>79</v>
      </c>
      <c r="D11" t="s">
        <v>80</v>
      </c>
      <c r="E11" t="s">
        <v>81</v>
      </c>
      <c r="F11" s="8">
        <f>H11*1000/325851</f>
        <v>8.5928844778748563E-3</v>
      </c>
      <c r="G11" t="s">
        <v>82</v>
      </c>
      <c r="H11">
        <v>2.8</v>
      </c>
      <c r="I11" t="s">
        <v>83</v>
      </c>
    </row>
    <row r="12" spans="1:12" x14ac:dyDescent="0.25">
      <c r="A12" t="s">
        <v>37</v>
      </c>
      <c r="B12" t="s">
        <v>19</v>
      </c>
      <c r="C12" t="s">
        <v>79</v>
      </c>
      <c r="D12" t="s">
        <v>80</v>
      </c>
      <c r="E12" t="s">
        <v>81</v>
      </c>
      <c r="F12" s="8">
        <f>H12*1000/325851</f>
        <v>1.2459682492918541E-2</v>
      </c>
      <c r="G12" t="s">
        <v>82</v>
      </c>
      <c r="H12">
        <v>4.0599999999999996</v>
      </c>
      <c r="I12" t="s">
        <v>83</v>
      </c>
    </row>
    <row r="13" spans="1:12" x14ac:dyDescent="0.25">
      <c r="A13" t="s">
        <v>36</v>
      </c>
      <c r="B13" t="s">
        <v>19</v>
      </c>
      <c r="C13" t="s">
        <v>79</v>
      </c>
      <c r="D13" t="s">
        <v>80</v>
      </c>
      <c r="E13" t="s">
        <v>81</v>
      </c>
      <c r="F13" s="8">
        <f>F12</f>
        <v>1.2459682492918541E-2</v>
      </c>
      <c r="G13" t="s">
        <v>82</v>
      </c>
      <c r="H13">
        <f>H12</f>
        <v>4.0599999999999996</v>
      </c>
      <c r="I13" t="s">
        <v>83</v>
      </c>
    </row>
    <row r="14" spans="1:12" x14ac:dyDescent="0.25">
      <c r="A14" t="s">
        <v>43</v>
      </c>
      <c r="B14" s="13" t="s">
        <v>19</v>
      </c>
      <c r="C14" t="s">
        <v>79</v>
      </c>
      <c r="D14" t="s">
        <v>80</v>
      </c>
      <c r="E14" t="s">
        <v>81</v>
      </c>
      <c r="F14" s="8">
        <f t="shared" ref="F14:F15" si="0">H14*1000/325851</f>
        <v>8.5928844778748563E-3</v>
      </c>
      <c r="G14" t="s">
        <v>82</v>
      </c>
      <c r="H14">
        <v>2.8</v>
      </c>
    </row>
    <row r="15" spans="1:12" x14ac:dyDescent="0.25">
      <c r="A15" t="s">
        <v>42</v>
      </c>
      <c r="B15" s="13" t="s">
        <v>19</v>
      </c>
      <c r="C15" t="s">
        <v>79</v>
      </c>
      <c r="D15" t="s">
        <v>80</v>
      </c>
      <c r="E15" t="s">
        <v>81</v>
      </c>
      <c r="F15" s="8">
        <f t="shared" si="0"/>
        <v>8.5928844778748563E-3</v>
      </c>
      <c r="G15" t="s">
        <v>82</v>
      </c>
      <c r="H15">
        <v>2.8</v>
      </c>
    </row>
    <row r="16" spans="1:12" x14ac:dyDescent="0.25">
      <c r="A16" t="s">
        <v>43</v>
      </c>
      <c r="B16" t="s">
        <v>40</v>
      </c>
      <c r="C16" t="s">
        <v>79</v>
      </c>
      <c r="D16" t="s">
        <v>80</v>
      </c>
      <c r="E16" t="s">
        <v>81</v>
      </c>
    </row>
    <row r="17" spans="1:12" x14ac:dyDescent="0.25">
      <c r="A17" t="s">
        <v>42</v>
      </c>
      <c r="B17" t="s">
        <v>40</v>
      </c>
      <c r="C17" t="s">
        <v>79</v>
      </c>
      <c r="D17" t="s">
        <v>80</v>
      </c>
      <c r="E17" t="s">
        <v>81</v>
      </c>
    </row>
    <row r="18" spans="1:12" x14ac:dyDescent="0.25">
      <c r="A18" s="1" t="s">
        <v>45</v>
      </c>
      <c r="B18" s="1" t="s">
        <v>46</v>
      </c>
      <c r="C18" t="s">
        <v>79</v>
      </c>
      <c r="D18" t="s">
        <v>80</v>
      </c>
      <c r="E18" t="s">
        <v>81</v>
      </c>
    </row>
    <row r="19" spans="1:12" x14ac:dyDescent="0.25">
      <c r="A19" s="1" t="s">
        <v>48</v>
      </c>
      <c r="B19" s="1" t="s">
        <v>46</v>
      </c>
      <c r="C19" t="s">
        <v>79</v>
      </c>
      <c r="D19" t="s">
        <v>80</v>
      </c>
      <c r="E19" t="s">
        <v>81</v>
      </c>
    </row>
    <row r="20" spans="1:12" x14ac:dyDescent="0.25">
      <c r="A20" t="s">
        <v>37</v>
      </c>
      <c r="B20" s="1" t="s">
        <v>46</v>
      </c>
      <c r="C20" t="s">
        <v>79</v>
      </c>
      <c r="D20" t="s">
        <v>80</v>
      </c>
      <c r="E20" t="s">
        <v>81</v>
      </c>
    </row>
    <row r="21" spans="1:12" x14ac:dyDescent="0.25">
      <c r="A21" t="s">
        <v>36</v>
      </c>
      <c r="B21" s="1" t="s">
        <v>46</v>
      </c>
      <c r="C21" t="s">
        <v>79</v>
      </c>
      <c r="D21" t="s">
        <v>80</v>
      </c>
      <c r="E21" t="s">
        <v>81</v>
      </c>
    </row>
    <row r="22" spans="1:12" x14ac:dyDescent="0.25">
      <c r="A22" s="1" t="s">
        <v>11</v>
      </c>
      <c r="B22" s="1" t="s">
        <v>12</v>
      </c>
      <c r="C22" t="s">
        <v>79</v>
      </c>
      <c r="D22" t="s">
        <v>84</v>
      </c>
      <c r="E22" t="s">
        <v>81</v>
      </c>
      <c r="G22" t="s">
        <v>85</v>
      </c>
    </row>
    <row r="23" spans="1:12" x14ac:dyDescent="0.25">
      <c r="A23" s="1" t="s">
        <v>11</v>
      </c>
      <c r="B23" s="1" t="s">
        <v>19</v>
      </c>
      <c r="C23" t="s">
        <v>79</v>
      </c>
      <c r="D23" t="s">
        <v>84</v>
      </c>
      <c r="E23" t="s">
        <v>81</v>
      </c>
      <c r="F23" s="8">
        <f>H23*1000/325851</f>
        <v>1.8496183838625627E-2</v>
      </c>
      <c r="G23" t="s">
        <v>82</v>
      </c>
      <c r="H23">
        <f>H3*1.47</f>
        <v>6.0269999999999992</v>
      </c>
      <c r="I23" t="s">
        <v>83</v>
      </c>
      <c r="K23">
        <v>1.47</v>
      </c>
      <c r="L23" t="s">
        <v>86</v>
      </c>
    </row>
    <row r="24" spans="1:12" x14ac:dyDescent="0.25">
      <c r="A24" s="1" t="s">
        <v>22</v>
      </c>
      <c r="B24" s="1" t="s">
        <v>12</v>
      </c>
      <c r="C24" t="s">
        <v>79</v>
      </c>
      <c r="D24" t="s">
        <v>84</v>
      </c>
      <c r="E24" t="s">
        <v>81</v>
      </c>
      <c r="F24" s="8"/>
      <c r="G24" t="s">
        <v>85</v>
      </c>
    </row>
    <row r="25" spans="1:12" x14ac:dyDescent="0.25">
      <c r="A25" s="1" t="s">
        <v>34</v>
      </c>
      <c r="B25" s="1" t="s">
        <v>12</v>
      </c>
      <c r="C25" t="s">
        <v>79</v>
      </c>
      <c r="D25" t="s">
        <v>84</v>
      </c>
      <c r="E25" t="s">
        <v>81</v>
      </c>
      <c r="F25" s="8"/>
    </row>
    <row r="26" spans="1:12" x14ac:dyDescent="0.25">
      <c r="A26" s="1" t="s">
        <v>35</v>
      </c>
      <c r="B26" s="1" t="s">
        <v>12</v>
      </c>
      <c r="C26" t="s">
        <v>79</v>
      </c>
      <c r="D26" t="s">
        <v>84</v>
      </c>
      <c r="E26" t="s">
        <v>81</v>
      </c>
      <c r="F26" s="8"/>
    </row>
    <row r="27" spans="1:12" x14ac:dyDescent="0.25">
      <c r="A27" s="13" t="s">
        <v>36</v>
      </c>
      <c r="B27" s="1" t="s">
        <v>12</v>
      </c>
      <c r="C27" t="s">
        <v>79</v>
      </c>
      <c r="D27" t="s">
        <v>84</v>
      </c>
      <c r="E27" t="s">
        <v>81</v>
      </c>
      <c r="F27" s="8"/>
    </row>
    <row r="28" spans="1:12" x14ac:dyDescent="0.25">
      <c r="A28" s="13" t="s">
        <v>37</v>
      </c>
      <c r="B28" s="13" t="s">
        <v>12</v>
      </c>
      <c r="C28" t="s">
        <v>79</v>
      </c>
      <c r="D28" t="s">
        <v>84</v>
      </c>
      <c r="E28" t="s">
        <v>81</v>
      </c>
      <c r="F28" s="8"/>
    </row>
    <row r="29" spans="1:12" x14ac:dyDescent="0.25">
      <c r="A29" t="s">
        <v>43</v>
      </c>
      <c r="B29" s="13" t="s">
        <v>12</v>
      </c>
      <c r="C29" t="s">
        <v>79</v>
      </c>
      <c r="D29" t="s">
        <v>84</v>
      </c>
      <c r="E29" t="s">
        <v>81</v>
      </c>
      <c r="F29" s="8"/>
    </row>
    <row r="30" spans="1:12" x14ac:dyDescent="0.25">
      <c r="A30" t="s">
        <v>42</v>
      </c>
      <c r="B30" s="13" t="s">
        <v>12</v>
      </c>
      <c r="C30" t="s">
        <v>79</v>
      </c>
      <c r="D30" t="s">
        <v>84</v>
      </c>
      <c r="E30" t="s">
        <v>81</v>
      </c>
      <c r="F30" s="8"/>
    </row>
    <row r="31" spans="1:12" x14ac:dyDescent="0.25">
      <c r="A31" s="1" t="s">
        <v>40</v>
      </c>
      <c r="B31" s="1" t="s">
        <v>19</v>
      </c>
      <c r="C31" t="s">
        <v>79</v>
      </c>
      <c r="D31" t="s">
        <v>84</v>
      </c>
      <c r="E31" t="s">
        <v>81</v>
      </c>
      <c r="F31" s="8">
        <f>H31*1000/325851</f>
        <v>9.7958883047773362E-3</v>
      </c>
      <c r="G31" t="s">
        <v>82</v>
      </c>
      <c r="H31">
        <f>H11*1.14</f>
        <v>3.1919999999999997</v>
      </c>
      <c r="I31" t="s">
        <v>83</v>
      </c>
      <c r="K31">
        <v>1.1399999999999999</v>
      </c>
      <c r="L31" t="s">
        <v>87</v>
      </c>
    </row>
    <row r="32" spans="1:12" x14ac:dyDescent="0.25">
      <c r="A32" t="s">
        <v>37</v>
      </c>
      <c r="B32" t="s">
        <v>19</v>
      </c>
      <c r="C32" t="s">
        <v>79</v>
      </c>
      <c r="D32" t="s">
        <v>84</v>
      </c>
      <c r="E32" t="s">
        <v>81</v>
      </c>
      <c r="F32" s="8">
        <f>H32*1000/325851</f>
        <v>1.9935491988669667E-2</v>
      </c>
      <c r="G32" t="s">
        <v>82</v>
      </c>
      <c r="H32">
        <f>H12*1.6</f>
        <v>6.4959999999999996</v>
      </c>
      <c r="I32" t="s">
        <v>83</v>
      </c>
      <c r="K32">
        <v>1.6</v>
      </c>
      <c r="L32" t="s">
        <v>88</v>
      </c>
    </row>
    <row r="33" spans="1:9" x14ac:dyDescent="0.25">
      <c r="A33" t="s">
        <v>36</v>
      </c>
      <c r="B33" t="s">
        <v>19</v>
      </c>
      <c r="C33" t="s">
        <v>79</v>
      </c>
      <c r="D33" t="s">
        <v>84</v>
      </c>
      <c r="E33" t="s">
        <v>81</v>
      </c>
      <c r="F33" s="8">
        <f>F32</f>
        <v>1.9935491988669667E-2</v>
      </c>
      <c r="G33" t="s">
        <v>82</v>
      </c>
      <c r="H33">
        <f>H32</f>
        <v>6.4959999999999996</v>
      </c>
      <c r="I33" t="s">
        <v>83</v>
      </c>
    </row>
    <row r="34" spans="1:9" x14ac:dyDescent="0.25">
      <c r="A34" t="s">
        <v>43</v>
      </c>
      <c r="B34" s="13" t="s">
        <v>19</v>
      </c>
      <c r="C34" t="s">
        <v>79</v>
      </c>
      <c r="D34" t="s">
        <v>84</v>
      </c>
      <c r="E34" t="s">
        <v>81</v>
      </c>
      <c r="F34" s="8"/>
    </row>
    <row r="35" spans="1:9" x14ac:dyDescent="0.25">
      <c r="A35" t="s">
        <v>42</v>
      </c>
      <c r="B35" s="13" t="s">
        <v>19</v>
      </c>
      <c r="C35" t="s">
        <v>79</v>
      </c>
      <c r="D35" t="s">
        <v>84</v>
      </c>
      <c r="E35" t="s">
        <v>81</v>
      </c>
      <c r="F35" s="8"/>
    </row>
    <row r="36" spans="1:9" x14ac:dyDescent="0.25">
      <c r="A36" t="s">
        <v>43</v>
      </c>
      <c r="B36" t="s">
        <v>38</v>
      </c>
      <c r="C36" t="s">
        <v>79</v>
      </c>
      <c r="D36" t="s">
        <v>84</v>
      </c>
      <c r="E36" t="s">
        <v>81</v>
      </c>
      <c r="G36" t="s">
        <v>85</v>
      </c>
    </row>
    <row r="37" spans="1:9" x14ac:dyDescent="0.25">
      <c r="A37" t="s">
        <v>42</v>
      </c>
      <c r="B37" t="s">
        <v>38</v>
      </c>
      <c r="C37" t="s">
        <v>79</v>
      </c>
      <c r="D37" t="s">
        <v>84</v>
      </c>
      <c r="E37" t="s">
        <v>81</v>
      </c>
      <c r="G37" t="s">
        <v>85</v>
      </c>
    </row>
    <row r="38" spans="1:9" x14ac:dyDescent="0.25">
      <c r="A38" s="1" t="s">
        <v>45</v>
      </c>
      <c r="B38" s="1" t="s">
        <v>46</v>
      </c>
      <c r="C38" t="s">
        <v>79</v>
      </c>
      <c r="D38" t="s">
        <v>84</v>
      </c>
      <c r="E38" t="s">
        <v>81</v>
      </c>
      <c r="G38" t="s">
        <v>85</v>
      </c>
    </row>
    <row r="39" spans="1:9" x14ac:dyDescent="0.25">
      <c r="A39" s="1" t="s">
        <v>48</v>
      </c>
      <c r="B39" s="1" t="s">
        <v>46</v>
      </c>
      <c r="C39" t="s">
        <v>79</v>
      </c>
      <c r="D39" t="s">
        <v>84</v>
      </c>
      <c r="E39" t="s">
        <v>81</v>
      </c>
      <c r="G39" t="s">
        <v>85</v>
      </c>
    </row>
    <row r="40" spans="1:9" x14ac:dyDescent="0.25">
      <c r="A40" t="s">
        <v>37</v>
      </c>
      <c r="B40" s="1" t="s">
        <v>46</v>
      </c>
      <c r="C40" t="s">
        <v>79</v>
      </c>
      <c r="D40" t="s">
        <v>84</v>
      </c>
      <c r="E40" t="s">
        <v>81</v>
      </c>
    </row>
    <row r="41" spans="1:9" x14ac:dyDescent="0.25">
      <c r="A41" t="s">
        <v>36</v>
      </c>
      <c r="B41" s="1" t="s">
        <v>46</v>
      </c>
      <c r="C41" t="s">
        <v>79</v>
      </c>
      <c r="D41" t="s">
        <v>84</v>
      </c>
      <c r="E41" t="s">
        <v>81</v>
      </c>
    </row>
    <row r="45" spans="1:9" x14ac:dyDescent="0.25">
      <c r="A45" s="1"/>
      <c r="B45" s="1"/>
    </row>
    <row r="46" spans="1:9" x14ac:dyDescent="0.25">
      <c r="A46" s="1"/>
      <c r="B46" s="1"/>
    </row>
    <row r="47" spans="1:9" x14ac:dyDescent="0.25">
      <c r="A47" s="1"/>
      <c r="B47" s="1"/>
    </row>
    <row r="48" spans="1:9" x14ac:dyDescent="0.25">
      <c r="A48" s="1"/>
      <c r="B48" s="1"/>
    </row>
    <row r="49" spans="1:2" x14ac:dyDescent="0.25">
      <c r="A49" s="1"/>
      <c r="B49" s="1"/>
    </row>
    <row r="50" spans="1:2" x14ac:dyDescent="0.25">
      <c r="A50" s="1"/>
      <c r="B50" s="1"/>
    </row>
    <row r="51" spans="1:2" x14ac:dyDescent="0.25">
      <c r="A51" s="1"/>
      <c r="B51" s="1"/>
    </row>
    <row r="52" spans="1:2" x14ac:dyDescent="0.25">
      <c r="A52" s="1"/>
      <c r="B52" s="1"/>
    </row>
  </sheetData>
  <autoFilter ref="A1:L41"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O58"/>
  <sheetViews>
    <sheetView tabSelected="1" zoomScale="55" zoomScaleNormal="55" workbookViewId="0">
      <selection activeCell="M53" sqref="M53"/>
    </sheetView>
  </sheetViews>
  <sheetFormatPr defaultRowHeight="15.75" x14ac:dyDescent="0.25"/>
  <cols>
    <col min="1" max="1" width="20.375" bestFit="1" customWidth="1"/>
    <col min="2" max="2" width="13.375" customWidth="1"/>
    <col min="3" max="3" width="12.875" customWidth="1"/>
    <col min="4" max="4" width="34.625" bestFit="1" customWidth="1"/>
    <col min="5" max="5" width="15.5" customWidth="1"/>
    <col min="6" max="6" width="18.375" customWidth="1"/>
    <col min="7" max="7" width="10.25" style="13" customWidth="1"/>
    <col min="8" max="8" width="12" customWidth="1"/>
    <col min="9" max="9" width="11.75" customWidth="1"/>
    <col min="10" max="10" width="10.875" customWidth="1"/>
    <col min="11" max="12" width="11.75" customWidth="1"/>
    <col min="13" max="13" width="11.75" bestFit="1" customWidth="1"/>
    <col min="14" max="14" width="11.625" bestFit="1" customWidth="1"/>
    <col min="15" max="15" width="61.375" bestFit="1" customWidth="1"/>
  </cols>
  <sheetData>
    <row r="1" spans="1:15" x14ac:dyDescent="0.25">
      <c r="A1" t="s">
        <v>0</v>
      </c>
      <c r="B1" t="s">
        <v>1</v>
      </c>
      <c r="C1" t="s">
        <v>309</v>
      </c>
      <c r="D1" t="s">
        <v>314</v>
      </c>
      <c r="E1" t="s">
        <v>2</v>
      </c>
      <c r="F1" t="s">
        <v>3</v>
      </c>
      <c r="G1" s="13" t="s">
        <v>312</v>
      </c>
      <c r="H1" t="s">
        <v>5</v>
      </c>
      <c r="I1" t="s">
        <v>6</v>
      </c>
      <c r="J1" s="2" t="s">
        <v>377</v>
      </c>
      <c r="K1" t="s">
        <v>387</v>
      </c>
      <c r="L1" t="s">
        <v>313</v>
      </c>
      <c r="M1" t="s">
        <v>323</v>
      </c>
      <c r="N1" t="s">
        <v>324</v>
      </c>
      <c r="O1" t="s">
        <v>325</v>
      </c>
    </row>
    <row r="2" spans="1:15" x14ac:dyDescent="0.25">
      <c r="A2" t="s">
        <v>11</v>
      </c>
      <c r="B2" t="s">
        <v>12</v>
      </c>
      <c r="C2" t="s">
        <v>310</v>
      </c>
      <c r="D2" t="s">
        <v>315</v>
      </c>
      <c r="E2" t="s">
        <v>89</v>
      </c>
      <c r="F2" t="s">
        <v>316</v>
      </c>
      <c r="G2" s="13" t="s">
        <v>112</v>
      </c>
      <c r="H2" t="s">
        <v>91</v>
      </c>
      <c r="I2">
        <v>5.0999999999999997E-2</v>
      </c>
      <c r="J2">
        <v>24.63</v>
      </c>
      <c r="K2">
        <v>4.5152412959181799E-2</v>
      </c>
      <c r="L2" s="8">
        <v>5.2999999999999999E-2</v>
      </c>
      <c r="M2" s="8">
        <f>L2</f>
        <v>5.2999999999999999E-2</v>
      </c>
      <c r="N2" t="s">
        <v>326</v>
      </c>
    </row>
    <row r="3" spans="1:15" x14ac:dyDescent="0.25">
      <c r="A3" t="s">
        <v>11</v>
      </c>
      <c r="B3" t="s">
        <v>12</v>
      </c>
      <c r="C3" t="s">
        <v>310</v>
      </c>
      <c r="D3" t="s">
        <v>315</v>
      </c>
      <c r="E3" t="s">
        <v>89</v>
      </c>
      <c r="F3" t="s">
        <v>317</v>
      </c>
      <c r="G3" s="13" t="s">
        <v>112</v>
      </c>
      <c r="H3" t="s">
        <v>91</v>
      </c>
      <c r="I3">
        <v>5.0999999999999997E-2</v>
      </c>
      <c r="J3">
        <v>0</v>
      </c>
      <c r="K3">
        <v>4.5152412959181799E-2</v>
      </c>
      <c r="L3" s="8">
        <v>1.9E-2</v>
      </c>
      <c r="M3" s="8">
        <f t="shared" ref="M3:M10" si="0">L3</f>
        <v>1.9E-2</v>
      </c>
      <c r="N3" t="s">
        <v>326</v>
      </c>
    </row>
    <row r="4" spans="1:15" x14ac:dyDescent="0.25">
      <c r="A4" t="s">
        <v>11</v>
      </c>
      <c r="B4" t="s">
        <v>12</v>
      </c>
      <c r="C4" t="s">
        <v>310</v>
      </c>
      <c r="D4" t="s">
        <v>315</v>
      </c>
      <c r="E4" t="s">
        <v>89</v>
      </c>
      <c r="F4" t="s">
        <v>318</v>
      </c>
      <c r="G4" s="13" t="s">
        <v>112</v>
      </c>
      <c r="H4" t="s">
        <v>91</v>
      </c>
      <c r="I4">
        <v>5.0999999999999997E-2</v>
      </c>
      <c r="J4">
        <v>0</v>
      </c>
      <c r="K4">
        <v>4.5152412959181799E-2</v>
      </c>
      <c r="L4" s="8">
        <v>2.1000000000000001E-2</v>
      </c>
      <c r="M4" s="8">
        <f t="shared" si="0"/>
        <v>2.1000000000000001E-2</v>
      </c>
      <c r="N4" t="s">
        <v>326</v>
      </c>
    </row>
    <row r="5" spans="1:15" x14ac:dyDescent="0.25">
      <c r="A5" t="s">
        <v>22</v>
      </c>
      <c r="B5" t="s">
        <v>12</v>
      </c>
      <c r="C5" t="s">
        <v>310</v>
      </c>
      <c r="D5" t="s">
        <v>22</v>
      </c>
      <c r="E5" t="s">
        <v>89</v>
      </c>
      <c r="F5" t="s">
        <v>316</v>
      </c>
      <c r="G5" s="13" t="s">
        <v>112</v>
      </c>
      <c r="H5" t="s">
        <v>91</v>
      </c>
      <c r="I5">
        <v>2.2229999999999999</v>
      </c>
      <c r="J5">
        <v>26.02</v>
      </c>
      <c r="K5">
        <v>8.3034948476273795E-3</v>
      </c>
      <c r="L5" s="70">
        <v>2.242</v>
      </c>
      <c r="M5" s="8">
        <f t="shared" si="0"/>
        <v>2.242</v>
      </c>
      <c r="N5" t="s">
        <v>326</v>
      </c>
    </row>
    <row r="6" spans="1:15" x14ac:dyDescent="0.25">
      <c r="A6" t="s">
        <v>22</v>
      </c>
      <c r="B6" t="s">
        <v>12</v>
      </c>
      <c r="C6" t="s">
        <v>310</v>
      </c>
      <c r="D6" t="s">
        <v>22</v>
      </c>
      <c r="E6" t="s">
        <v>89</v>
      </c>
      <c r="F6" t="s">
        <v>317</v>
      </c>
      <c r="G6" s="13" t="s">
        <v>112</v>
      </c>
      <c r="H6" t="s">
        <v>91</v>
      </c>
      <c r="I6">
        <v>2.2229999999999999</v>
      </c>
      <c r="J6">
        <v>0</v>
      </c>
      <c r="K6">
        <v>8.3034948476273795E-3</v>
      </c>
      <c r="L6" s="70">
        <v>1.044</v>
      </c>
      <c r="M6" s="8">
        <f t="shared" si="0"/>
        <v>1.044</v>
      </c>
      <c r="N6" t="s">
        <v>326</v>
      </c>
    </row>
    <row r="7" spans="1:15" x14ac:dyDescent="0.25">
      <c r="A7" t="s">
        <v>22</v>
      </c>
      <c r="B7" t="s">
        <v>12</v>
      </c>
      <c r="C7" t="s">
        <v>310</v>
      </c>
      <c r="D7" t="s">
        <v>22</v>
      </c>
      <c r="E7" t="s">
        <v>89</v>
      </c>
      <c r="F7" t="s">
        <v>318</v>
      </c>
      <c r="G7" s="13" t="s">
        <v>112</v>
      </c>
      <c r="H7" t="s">
        <v>91</v>
      </c>
      <c r="I7">
        <v>2.2229999999999999</v>
      </c>
      <c r="J7">
        <v>0</v>
      </c>
      <c r="K7">
        <v>8.3034948476273795E-3</v>
      </c>
      <c r="L7" s="8">
        <v>1.01</v>
      </c>
      <c r="M7" s="8">
        <f t="shared" si="0"/>
        <v>1.01</v>
      </c>
      <c r="N7" t="s">
        <v>326</v>
      </c>
    </row>
    <row r="8" spans="1:15" x14ac:dyDescent="0.25">
      <c r="A8" t="s">
        <v>34</v>
      </c>
      <c r="B8" t="s">
        <v>12</v>
      </c>
      <c r="C8" t="s">
        <v>310</v>
      </c>
      <c r="D8" t="s">
        <v>143</v>
      </c>
      <c r="E8" t="s">
        <v>89</v>
      </c>
      <c r="F8" t="s">
        <v>316</v>
      </c>
      <c r="G8" s="13" t="s">
        <v>112</v>
      </c>
      <c r="H8" t="s">
        <v>91</v>
      </c>
      <c r="I8">
        <v>0.78800000000000003</v>
      </c>
      <c r="J8">
        <v>24.71</v>
      </c>
      <c r="K8">
        <v>3.7832039152811102E-2</v>
      </c>
      <c r="L8">
        <v>0.81899999999999995</v>
      </c>
      <c r="M8">
        <f t="shared" si="0"/>
        <v>0.81899999999999995</v>
      </c>
      <c r="N8" t="s">
        <v>326</v>
      </c>
    </row>
    <row r="9" spans="1:15" x14ac:dyDescent="0.25">
      <c r="A9" t="s">
        <v>34</v>
      </c>
      <c r="B9" t="s">
        <v>12</v>
      </c>
      <c r="C9" t="s">
        <v>310</v>
      </c>
      <c r="D9" t="s">
        <v>143</v>
      </c>
      <c r="E9" t="s">
        <v>89</v>
      </c>
      <c r="F9" t="s">
        <v>317</v>
      </c>
      <c r="G9" s="13" t="s">
        <v>112</v>
      </c>
      <c r="H9" t="s">
        <v>91</v>
      </c>
      <c r="I9">
        <v>0.78800000000000003</v>
      </c>
      <c r="J9">
        <v>0</v>
      </c>
      <c r="K9">
        <v>3.7832039152811102E-2</v>
      </c>
      <c r="L9">
        <v>0.34599999999999997</v>
      </c>
      <c r="M9">
        <f t="shared" si="0"/>
        <v>0.34599999999999997</v>
      </c>
      <c r="N9" t="s">
        <v>326</v>
      </c>
    </row>
    <row r="10" spans="1:15" x14ac:dyDescent="0.25">
      <c r="A10" t="s">
        <v>34</v>
      </c>
      <c r="B10" t="s">
        <v>12</v>
      </c>
      <c r="C10" t="s">
        <v>310</v>
      </c>
      <c r="D10" t="s">
        <v>143</v>
      </c>
      <c r="E10" t="s">
        <v>89</v>
      </c>
      <c r="F10" t="s">
        <v>318</v>
      </c>
      <c r="G10" s="13" t="s">
        <v>112</v>
      </c>
      <c r="H10" t="s">
        <v>91</v>
      </c>
      <c r="I10">
        <v>0.78800000000000003</v>
      </c>
      <c r="J10">
        <v>0</v>
      </c>
      <c r="K10">
        <v>3.7832039152811102E-2</v>
      </c>
      <c r="L10">
        <v>0.33200000000000002</v>
      </c>
      <c r="M10">
        <f t="shared" si="0"/>
        <v>0.33200000000000002</v>
      </c>
      <c r="N10" t="s">
        <v>326</v>
      </c>
    </row>
    <row r="11" spans="1:15" x14ac:dyDescent="0.25">
      <c r="A11" t="s">
        <v>35</v>
      </c>
      <c r="B11" t="s">
        <v>12</v>
      </c>
      <c r="C11" t="s">
        <v>310</v>
      </c>
      <c r="E11" t="s">
        <v>89</v>
      </c>
      <c r="H11" t="s">
        <v>91</v>
      </c>
      <c r="I11" t="s">
        <v>335</v>
      </c>
      <c r="K11" s="73" t="s">
        <v>335</v>
      </c>
      <c r="L11" s="73" t="s">
        <v>335</v>
      </c>
      <c r="M11" s="73" t="s">
        <v>335</v>
      </c>
      <c r="N11" t="s">
        <v>326</v>
      </c>
    </row>
    <row r="12" spans="1:15" x14ac:dyDescent="0.25">
      <c r="A12" t="s">
        <v>35</v>
      </c>
      <c r="B12" t="s">
        <v>12</v>
      </c>
      <c r="C12" t="s">
        <v>310</v>
      </c>
      <c r="E12" t="s">
        <v>89</v>
      </c>
      <c r="H12" t="s">
        <v>91</v>
      </c>
      <c r="I12" t="s">
        <v>335</v>
      </c>
      <c r="K12" s="73" t="s">
        <v>335</v>
      </c>
      <c r="L12" s="73" t="s">
        <v>335</v>
      </c>
      <c r="M12" s="73" t="s">
        <v>335</v>
      </c>
      <c r="N12" t="s">
        <v>326</v>
      </c>
    </row>
    <row r="13" spans="1:15" x14ac:dyDescent="0.25">
      <c r="A13" t="s">
        <v>35</v>
      </c>
      <c r="B13" t="s">
        <v>12</v>
      </c>
      <c r="C13" t="s">
        <v>310</v>
      </c>
      <c r="E13" t="s">
        <v>89</v>
      </c>
      <c r="H13" t="s">
        <v>91</v>
      </c>
      <c r="I13" t="s">
        <v>335</v>
      </c>
      <c r="K13" s="73" t="s">
        <v>335</v>
      </c>
      <c r="L13" s="73" t="s">
        <v>335</v>
      </c>
      <c r="M13" s="73" t="s">
        <v>335</v>
      </c>
      <c r="N13" t="s">
        <v>326</v>
      </c>
    </row>
    <row r="14" spans="1:15" x14ac:dyDescent="0.25">
      <c r="A14" t="s">
        <v>36</v>
      </c>
      <c r="B14" t="s">
        <v>12</v>
      </c>
      <c r="C14" t="s">
        <v>310</v>
      </c>
      <c r="D14" t="s">
        <v>319</v>
      </c>
      <c r="E14" t="s">
        <v>89</v>
      </c>
      <c r="F14" t="s">
        <v>316</v>
      </c>
      <c r="G14" s="13" t="s">
        <v>112</v>
      </c>
      <c r="H14" t="s">
        <v>91</v>
      </c>
      <c r="I14">
        <v>4.958333333333333</v>
      </c>
      <c r="J14">
        <v>26.59</v>
      </c>
      <c r="K14" s="66">
        <v>1.1585743964712399E-2</v>
      </c>
      <c r="L14" s="66">
        <v>5.016</v>
      </c>
      <c r="M14">
        <f>L14</f>
        <v>5.016</v>
      </c>
      <c r="N14" t="s">
        <v>326</v>
      </c>
    </row>
    <row r="15" spans="1:15" x14ac:dyDescent="0.25">
      <c r="A15" t="s">
        <v>36</v>
      </c>
      <c r="B15" t="s">
        <v>12</v>
      </c>
      <c r="C15" t="s">
        <v>310</v>
      </c>
      <c r="D15" t="s">
        <v>319</v>
      </c>
      <c r="E15" t="s">
        <v>89</v>
      </c>
      <c r="F15" t="s">
        <v>317</v>
      </c>
      <c r="G15" s="13" t="s">
        <v>112</v>
      </c>
      <c r="H15" t="s">
        <v>91</v>
      </c>
      <c r="I15">
        <v>4.958333333333333</v>
      </c>
      <c r="J15">
        <v>0</v>
      </c>
      <c r="K15" s="66">
        <v>1.1585743964712399E-2</v>
      </c>
      <c r="L15" s="66">
        <v>4.2050000000000001</v>
      </c>
      <c r="M15">
        <f t="shared" ref="M15:M25" si="1">L15</f>
        <v>4.2050000000000001</v>
      </c>
      <c r="N15" t="s">
        <v>326</v>
      </c>
    </row>
    <row r="16" spans="1:15" x14ac:dyDescent="0.25">
      <c r="A16" t="s">
        <v>36</v>
      </c>
      <c r="B16" t="s">
        <v>12</v>
      </c>
      <c r="C16" t="s">
        <v>310</v>
      </c>
      <c r="D16" t="s">
        <v>319</v>
      </c>
      <c r="E16" t="s">
        <v>89</v>
      </c>
      <c r="F16" t="s">
        <v>318</v>
      </c>
      <c r="G16" s="13" t="s">
        <v>112</v>
      </c>
      <c r="H16" t="s">
        <v>91</v>
      </c>
      <c r="I16">
        <v>4.958333333333333</v>
      </c>
      <c r="J16">
        <v>0</v>
      </c>
      <c r="K16" s="66">
        <v>1.1585743964712399E-2</v>
      </c>
      <c r="L16" s="66">
        <v>4.8159999999999998</v>
      </c>
      <c r="M16">
        <f t="shared" si="1"/>
        <v>4.8159999999999998</v>
      </c>
      <c r="N16" t="s">
        <v>326</v>
      </c>
    </row>
    <row r="17" spans="1:15" x14ac:dyDescent="0.25">
      <c r="A17" t="s">
        <v>37</v>
      </c>
      <c r="B17" t="s">
        <v>12</v>
      </c>
      <c r="C17" t="s">
        <v>310</v>
      </c>
      <c r="D17" t="s">
        <v>319</v>
      </c>
      <c r="E17" t="s">
        <v>89</v>
      </c>
      <c r="F17" t="s">
        <v>316</v>
      </c>
      <c r="G17" s="13" t="s">
        <v>112</v>
      </c>
      <c r="H17" t="s">
        <v>91</v>
      </c>
      <c r="I17">
        <v>4.958333333333333</v>
      </c>
      <c r="J17">
        <v>26.59</v>
      </c>
      <c r="K17" s="66">
        <v>1.1585743964712399E-2</v>
      </c>
      <c r="L17" s="66">
        <v>5.016</v>
      </c>
      <c r="M17">
        <f t="shared" si="1"/>
        <v>5.016</v>
      </c>
      <c r="N17" t="s">
        <v>326</v>
      </c>
    </row>
    <row r="18" spans="1:15" x14ac:dyDescent="0.25">
      <c r="A18" t="s">
        <v>37</v>
      </c>
      <c r="B18" t="s">
        <v>12</v>
      </c>
      <c r="C18" t="s">
        <v>310</v>
      </c>
      <c r="D18" t="s">
        <v>319</v>
      </c>
      <c r="E18" t="s">
        <v>89</v>
      </c>
      <c r="F18" t="s">
        <v>317</v>
      </c>
      <c r="G18" s="13" t="s">
        <v>112</v>
      </c>
      <c r="H18" t="s">
        <v>91</v>
      </c>
      <c r="I18">
        <v>4.958333333333333</v>
      </c>
      <c r="J18">
        <v>0</v>
      </c>
      <c r="K18" s="66">
        <v>1.1585743964712399E-2</v>
      </c>
      <c r="L18" s="66">
        <v>4.2050000000000001</v>
      </c>
      <c r="M18">
        <f t="shared" si="1"/>
        <v>4.2050000000000001</v>
      </c>
      <c r="N18" t="s">
        <v>326</v>
      </c>
    </row>
    <row r="19" spans="1:15" x14ac:dyDescent="0.25">
      <c r="A19" t="s">
        <v>37</v>
      </c>
      <c r="B19" t="s">
        <v>12</v>
      </c>
      <c r="C19" t="s">
        <v>310</v>
      </c>
      <c r="D19" t="s">
        <v>319</v>
      </c>
      <c r="E19" t="s">
        <v>89</v>
      </c>
      <c r="F19" t="s">
        <v>318</v>
      </c>
      <c r="G19" s="13" t="s">
        <v>112</v>
      </c>
      <c r="H19" t="s">
        <v>91</v>
      </c>
      <c r="I19">
        <v>4.958333333333333</v>
      </c>
      <c r="J19">
        <v>0</v>
      </c>
      <c r="K19" s="66">
        <v>1.1585743964712399E-2</v>
      </c>
      <c r="L19" s="66">
        <v>4.8159999999999998</v>
      </c>
      <c r="M19">
        <f t="shared" si="1"/>
        <v>4.8159999999999998</v>
      </c>
      <c r="N19" t="s">
        <v>326</v>
      </c>
    </row>
    <row r="20" spans="1:15" x14ac:dyDescent="0.25">
      <c r="A20" t="s">
        <v>43</v>
      </c>
      <c r="B20" t="s">
        <v>12</v>
      </c>
      <c r="C20" t="s">
        <v>310</v>
      </c>
      <c r="D20" t="s">
        <v>319</v>
      </c>
      <c r="E20" t="s">
        <v>89</v>
      </c>
      <c r="F20" t="s">
        <v>316</v>
      </c>
      <c r="G20" s="13" t="s">
        <v>112</v>
      </c>
      <c r="H20" t="s">
        <v>91</v>
      </c>
      <c r="I20">
        <v>4.958333333333333</v>
      </c>
      <c r="J20">
        <v>26.59</v>
      </c>
      <c r="K20" s="66">
        <v>1.1585743964712399E-2</v>
      </c>
      <c r="L20" s="66">
        <v>5.016</v>
      </c>
      <c r="M20">
        <f t="shared" si="1"/>
        <v>5.016</v>
      </c>
      <c r="N20" t="s">
        <v>326</v>
      </c>
    </row>
    <row r="21" spans="1:15" x14ac:dyDescent="0.25">
      <c r="A21" t="s">
        <v>43</v>
      </c>
      <c r="B21" t="s">
        <v>12</v>
      </c>
      <c r="C21" t="s">
        <v>310</v>
      </c>
      <c r="D21" t="s">
        <v>319</v>
      </c>
      <c r="E21" t="s">
        <v>89</v>
      </c>
      <c r="F21" t="s">
        <v>317</v>
      </c>
      <c r="G21" s="13" t="s">
        <v>112</v>
      </c>
      <c r="H21" t="s">
        <v>91</v>
      </c>
      <c r="I21">
        <v>4.958333333333333</v>
      </c>
      <c r="J21">
        <v>0</v>
      </c>
      <c r="K21" s="66">
        <v>1.1585743964712399E-2</v>
      </c>
      <c r="L21" s="66">
        <v>4.2050000000000001</v>
      </c>
      <c r="M21">
        <f t="shared" si="1"/>
        <v>4.2050000000000001</v>
      </c>
      <c r="N21" t="s">
        <v>326</v>
      </c>
    </row>
    <row r="22" spans="1:15" x14ac:dyDescent="0.25">
      <c r="A22" t="s">
        <v>43</v>
      </c>
      <c r="B22" t="s">
        <v>12</v>
      </c>
      <c r="C22" t="s">
        <v>310</v>
      </c>
      <c r="D22" t="s">
        <v>319</v>
      </c>
      <c r="E22" t="s">
        <v>89</v>
      </c>
      <c r="F22" t="s">
        <v>318</v>
      </c>
      <c r="G22" s="13" t="s">
        <v>112</v>
      </c>
      <c r="H22" t="s">
        <v>91</v>
      </c>
      <c r="I22">
        <v>4.958333333333333</v>
      </c>
      <c r="J22">
        <v>0</v>
      </c>
      <c r="K22" s="66">
        <v>1.1585743964712399E-2</v>
      </c>
      <c r="L22" s="66">
        <v>4.8159999999999998</v>
      </c>
      <c r="M22">
        <f t="shared" si="1"/>
        <v>4.8159999999999998</v>
      </c>
      <c r="N22" t="s">
        <v>326</v>
      </c>
    </row>
    <row r="23" spans="1:15" x14ac:dyDescent="0.25">
      <c r="A23" t="s">
        <v>42</v>
      </c>
      <c r="B23" t="s">
        <v>12</v>
      </c>
      <c r="C23" t="s">
        <v>310</v>
      </c>
      <c r="D23" t="s">
        <v>319</v>
      </c>
      <c r="E23" t="s">
        <v>89</v>
      </c>
      <c r="F23" t="s">
        <v>316</v>
      </c>
      <c r="G23" s="13" t="s">
        <v>112</v>
      </c>
      <c r="H23" t="s">
        <v>91</v>
      </c>
      <c r="I23">
        <v>4.958333333333333</v>
      </c>
      <c r="J23">
        <v>26.59</v>
      </c>
      <c r="K23" s="66">
        <v>1.1585743964712399E-2</v>
      </c>
      <c r="L23" s="66">
        <v>5.016</v>
      </c>
      <c r="M23">
        <f t="shared" si="1"/>
        <v>5.016</v>
      </c>
      <c r="N23" t="s">
        <v>326</v>
      </c>
    </row>
    <row r="24" spans="1:15" x14ac:dyDescent="0.25">
      <c r="A24" t="s">
        <v>42</v>
      </c>
      <c r="B24" t="s">
        <v>12</v>
      </c>
      <c r="C24" t="s">
        <v>310</v>
      </c>
      <c r="D24" t="s">
        <v>319</v>
      </c>
      <c r="E24" t="s">
        <v>89</v>
      </c>
      <c r="F24" t="s">
        <v>317</v>
      </c>
      <c r="G24" s="13" t="s">
        <v>112</v>
      </c>
      <c r="H24" t="s">
        <v>91</v>
      </c>
      <c r="I24">
        <v>4.958333333333333</v>
      </c>
      <c r="J24">
        <v>0</v>
      </c>
      <c r="K24" s="66">
        <v>1.1585743964712399E-2</v>
      </c>
      <c r="L24" s="66">
        <v>4.2050000000000001</v>
      </c>
      <c r="M24">
        <f t="shared" si="1"/>
        <v>4.2050000000000001</v>
      </c>
      <c r="N24" t="s">
        <v>326</v>
      </c>
    </row>
    <row r="25" spans="1:15" x14ac:dyDescent="0.25">
      <c r="A25" t="s">
        <v>42</v>
      </c>
      <c r="B25" t="s">
        <v>12</v>
      </c>
      <c r="C25" t="s">
        <v>310</v>
      </c>
      <c r="D25" t="s">
        <v>319</v>
      </c>
      <c r="E25" t="s">
        <v>89</v>
      </c>
      <c r="F25" t="s">
        <v>318</v>
      </c>
      <c r="G25" s="13" t="s">
        <v>112</v>
      </c>
      <c r="H25" t="s">
        <v>91</v>
      </c>
      <c r="I25">
        <v>4.958333333333333</v>
      </c>
      <c r="J25">
        <v>0</v>
      </c>
      <c r="K25" s="66">
        <v>1.1585743964712399E-2</v>
      </c>
      <c r="L25" s="66">
        <v>4.8159999999999998</v>
      </c>
      <c r="M25">
        <f t="shared" si="1"/>
        <v>4.8159999999999998</v>
      </c>
      <c r="N25" t="s">
        <v>326</v>
      </c>
    </row>
    <row r="26" spans="1:15" x14ac:dyDescent="0.25">
      <c r="A26" t="s">
        <v>11</v>
      </c>
      <c r="B26" t="s">
        <v>19</v>
      </c>
      <c r="C26" t="s">
        <v>311</v>
      </c>
      <c r="D26" t="s">
        <v>321</v>
      </c>
      <c r="E26" t="s">
        <v>89</v>
      </c>
      <c r="F26" t="s">
        <v>316</v>
      </c>
      <c r="H26" t="s">
        <v>91</v>
      </c>
      <c r="I26" t="s">
        <v>335</v>
      </c>
      <c r="K26" s="73" t="s">
        <v>335</v>
      </c>
      <c r="L26" s="48">
        <v>7.5999999999999998E-2</v>
      </c>
      <c r="M26" s="8">
        <f>L26+M2/123</f>
        <v>7.6430894308943093E-2</v>
      </c>
      <c r="N26" t="s">
        <v>327</v>
      </c>
      <c r="O26" t="s">
        <v>379</v>
      </c>
    </row>
    <row r="27" spans="1:15" x14ac:dyDescent="0.25">
      <c r="A27" t="s">
        <v>11</v>
      </c>
      <c r="B27" t="s">
        <v>19</v>
      </c>
      <c r="C27" t="s">
        <v>311</v>
      </c>
      <c r="D27" t="s">
        <v>321</v>
      </c>
      <c r="E27" t="s">
        <v>89</v>
      </c>
      <c r="F27" t="s">
        <v>317</v>
      </c>
      <c r="H27" t="s">
        <v>91</v>
      </c>
      <c r="I27" t="s">
        <v>335</v>
      </c>
      <c r="K27" s="73" t="s">
        <v>335</v>
      </c>
      <c r="L27" s="48">
        <v>1.9E-2</v>
      </c>
      <c r="M27" s="8">
        <f>L27+M3/123</f>
        <v>1.9154471544715446E-2</v>
      </c>
      <c r="N27" t="s">
        <v>327</v>
      </c>
      <c r="O27" t="s">
        <v>378</v>
      </c>
    </row>
    <row r="28" spans="1:15" x14ac:dyDescent="0.25">
      <c r="A28" t="s">
        <v>11</v>
      </c>
      <c r="B28" t="s">
        <v>19</v>
      </c>
      <c r="C28" t="s">
        <v>311</v>
      </c>
      <c r="D28" t="s">
        <v>321</v>
      </c>
      <c r="E28" t="s">
        <v>89</v>
      </c>
      <c r="F28" t="s">
        <v>318</v>
      </c>
      <c r="H28" t="s">
        <v>91</v>
      </c>
      <c r="I28" t="s">
        <v>335</v>
      </c>
      <c r="K28" s="73" t="s">
        <v>335</v>
      </c>
      <c r="L28" s="48">
        <v>1.4E-2</v>
      </c>
      <c r="M28" s="8">
        <f>L28+M4/123</f>
        <v>1.4170731707317074E-2</v>
      </c>
      <c r="N28" t="s">
        <v>327</v>
      </c>
      <c r="O28" t="s">
        <v>378</v>
      </c>
    </row>
    <row r="29" spans="1:15" x14ac:dyDescent="0.25">
      <c r="A29" t="s">
        <v>40</v>
      </c>
      <c r="B29" t="s">
        <v>19</v>
      </c>
      <c r="C29" t="s">
        <v>311</v>
      </c>
      <c r="D29" t="s">
        <v>321</v>
      </c>
      <c r="E29" t="s">
        <v>89</v>
      </c>
      <c r="F29" t="s">
        <v>316</v>
      </c>
      <c r="G29" s="13" t="s">
        <v>307</v>
      </c>
      <c r="H29" t="s">
        <v>91</v>
      </c>
      <c r="I29" s="2">
        <v>10.436363636363636</v>
      </c>
      <c r="J29">
        <v>0</v>
      </c>
      <c r="K29">
        <v>0</v>
      </c>
      <c r="L29" s="48">
        <v>7.5999999999999998E-2</v>
      </c>
      <c r="M29">
        <f>L29</f>
        <v>7.5999999999999998E-2</v>
      </c>
      <c r="N29" t="s">
        <v>327</v>
      </c>
      <c r="O29" t="s">
        <v>375</v>
      </c>
    </row>
    <row r="30" spans="1:15" x14ac:dyDescent="0.25">
      <c r="A30" t="s">
        <v>40</v>
      </c>
      <c r="B30" t="s">
        <v>19</v>
      </c>
      <c r="C30" t="s">
        <v>311</v>
      </c>
      <c r="D30" t="s">
        <v>321</v>
      </c>
      <c r="E30" t="s">
        <v>89</v>
      </c>
      <c r="F30" t="s">
        <v>317</v>
      </c>
      <c r="G30" s="13" t="s">
        <v>307</v>
      </c>
      <c r="H30" t="s">
        <v>91</v>
      </c>
      <c r="I30" s="2">
        <v>10.436363636363636</v>
      </c>
      <c r="J30">
        <v>0</v>
      </c>
      <c r="K30">
        <v>0</v>
      </c>
      <c r="L30" s="48">
        <v>1.9E-2</v>
      </c>
      <c r="M30">
        <f t="shared" ref="M30:M31" si="2">L30</f>
        <v>1.9E-2</v>
      </c>
      <c r="N30" t="s">
        <v>327</v>
      </c>
      <c r="O30" t="s">
        <v>328</v>
      </c>
    </row>
    <row r="31" spans="1:15" x14ac:dyDescent="0.25">
      <c r="A31" t="s">
        <v>40</v>
      </c>
      <c r="B31" t="s">
        <v>19</v>
      </c>
      <c r="C31" t="s">
        <v>311</v>
      </c>
      <c r="D31" t="s">
        <v>321</v>
      </c>
      <c r="E31" t="s">
        <v>89</v>
      </c>
      <c r="F31" t="s">
        <v>318</v>
      </c>
      <c r="G31" s="13" t="s">
        <v>307</v>
      </c>
      <c r="H31" t="s">
        <v>91</v>
      </c>
      <c r="I31" s="2">
        <v>10.436363636363636</v>
      </c>
      <c r="J31">
        <v>0</v>
      </c>
      <c r="K31">
        <v>0</v>
      </c>
      <c r="L31" s="48">
        <v>1.4E-2</v>
      </c>
      <c r="M31">
        <f t="shared" si="2"/>
        <v>1.4E-2</v>
      </c>
      <c r="N31" t="s">
        <v>327</v>
      </c>
      <c r="O31" t="s">
        <v>328</v>
      </c>
    </row>
    <row r="32" spans="1:15" x14ac:dyDescent="0.25">
      <c r="A32" t="s">
        <v>37</v>
      </c>
      <c r="B32" t="s">
        <v>19</v>
      </c>
      <c r="C32" t="s">
        <v>311</v>
      </c>
      <c r="D32" t="s">
        <v>320</v>
      </c>
      <c r="E32" t="s">
        <v>89</v>
      </c>
      <c r="F32" t="s">
        <v>316</v>
      </c>
      <c r="G32" s="13" t="s">
        <v>308</v>
      </c>
      <c r="H32" t="s">
        <v>91</v>
      </c>
      <c r="I32">
        <v>0.23400000000000001</v>
      </c>
      <c r="J32">
        <v>0</v>
      </c>
      <c r="K32">
        <v>2.8358342136926399E-2</v>
      </c>
      <c r="L32">
        <v>0.24099999999999999</v>
      </c>
      <c r="M32" s="13">
        <f t="shared" ref="M32:M37" si="3">L32/7.46</f>
        <v>3.2305630026809654E-2</v>
      </c>
      <c r="N32" t="s">
        <v>327</v>
      </c>
      <c r="O32" t="s">
        <v>329</v>
      </c>
    </row>
    <row r="33" spans="1:15" x14ac:dyDescent="0.25">
      <c r="A33" t="s">
        <v>37</v>
      </c>
      <c r="B33" t="s">
        <v>19</v>
      </c>
      <c r="C33" t="s">
        <v>311</v>
      </c>
      <c r="D33" t="s">
        <v>320</v>
      </c>
      <c r="E33" t="s">
        <v>89</v>
      </c>
      <c r="F33" t="s">
        <v>317</v>
      </c>
      <c r="G33" s="13" t="s">
        <v>308</v>
      </c>
      <c r="H33" t="s">
        <v>91</v>
      </c>
      <c r="I33">
        <v>0.23400000000000001</v>
      </c>
      <c r="J33">
        <v>0</v>
      </c>
      <c r="K33">
        <v>2.8358342136926399E-2</v>
      </c>
      <c r="L33" s="66">
        <v>8.5000000000000006E-2</v>
      </c>
      <c r="M33" s="13">
        <f t="shared" si="3"/>
        <v>1.1394101876675604E-2</v>
      </c>
      <c r="N33" t="s">
        <v>327</v>
      </c>
      <c r="O33" t="s">
        <v>329</v>
      </c>
    </row>
    <row r="34" spans="1:15" x14ac:dyDescent="0.25">
      <c r="A34" t="s">
        <v>37</v>
      </c>
      <c r="B34" t="s">
        <v>19</v>
      </c>
      <c r="C34" t="s">
        <v>311</v>
      </c>
      <c r="D34" t="s">
        <v>320</v>
      </c>
      <c r="E34" t="s">
        <v>89</v>
      </c>
      <c r="F34" t="s">
        <v>318</v>
      </c>
      <c r="G34" s="13" t="s">
        <v>308</v>
      </c>
      <c r="H34" t="s">
        <v>91</v>
      </c>
      <c r="I34">
        <v>0.23400000000000001</v>
      </c>
      <c r="J34">
        <v>0</v>
      </c>
      <c r="K34">
        <v>2.8358342136926399E-2</v>
      </c>
      <c r="L34">
        <v>8.5999999999999993E-2</v>
      </c>
      <c r="M34" s="13">
        <f t="shared" si="3"/>
        <v>1.1528150134048256E-2</v>
      </c>
      <c r="N34" t="s">
        <v>327</v>
      </c>
      <c r="O34" t="s">
        <v>329</v>
      </c>
    </row>
    <row r="35" spans="1:15" x14ac:dyDescent="0.25">
      <c r="A35" t="s">
        <v>36</v>
      </c>
      <c r="B35" t="s">
        <v>19</v>
      </c>
      <c r="C35" t="s">
        <v>311</v>
      </c>
      <c r="D35" t="s">
        <v>320</v>
      </c>
      <c r="E35" t="s">
        <v>89</v>
      </c>
      <c r="F35" t="s">
        <v>316</v>
      </c>
      <c r="G35" s="13" t="s">
        <v>308</v>
      </c>
      <c r="H35" t="s">
        <v>91</v>
      </c>
      <c r="I35">
        <v>0.23400000000000001</v>
      </c>
      <c r="J35">
        <v>0</v>
      </c>
      <c r="K35">
        <v>2.8358342136926399E-2</v>
      </c>
      <c r="L35">
        <v>0.24099999999999999</v>
      </c>
      <c r="M35" s="13">
        <f t="shared" si="3"/>
        <v>3.2305630026809654E-2</v>
      </c>
      <c r="N35" t="s">
        <v>327</v>
      </c>
      <c r="O35" t="s">
        <v>329</v>
      </c>
    </row>
    <row r="36" spans="1:15" x14ac:dyDescent="0.25">
      <c r="A36" t="s">
        <v>36</v>
      </c>
      <c r="B36" t="s">
        <v>19</v>
      </c>
      <c r="C36" t="s">
        <v>311</v>
      </c>
      <c r="D36" t="s">
        <v>320</v>
      </c>
      <c r="E36" t="s">
        <v>89</v>
      </c>
      <c r="F36" t="s">
        <v>317</v>
      </c>
      <c r="G36" s="13" t="s">
        <v>308</v>
      </c>
      <c r="H36" t="s">
        <v>91</v>
      </c>
      <c r="I36">
        <v>0.23400000000000001</v>
      </c>
      <c r="J36">
        <v>0</v>
      </c>
      <c r="K36">
        <v>2.8358342136926399E-2</v>
      </c>
      <c r="L36" s="66">
        <v>8.5000000000000006E-2</v>
      </c>
      <c r="M36" s="13">
        <f t="shared" si="3"/>
        <v>1.1394101876675604E-2</v>
      </c>
      <c r="N36" t="s">
        <v>327</v>
      </c>
      <c r="O36" t="s">
        <v>329</v>
      </c>
    </row>
    <row r="37" spans="1:15" x14ac:dyDescent="0.25">
      <c r="A37" t="s">
        <v>36</v>
      </c>
      <c r="B37" t="s">
        <v>19</v>
      </c>
      <c r="C37" t="s">
        <v>311</v>
      </c>
      <c r="D37" t="s">
        <v>320</v>
      </c>
      <c r="E37" t="s">
        <v>89</v>
      </c>
      <c r="F37" t="s">
        <v>318</v>
      </c>
      <c r="G37" s="13" t="s">
        <v>308</v>
      </c>
      <c r="H37" t="s">
        <v>91</v>
      </c>
      <c r="I37">
        <v>0.23400000000000001</v>
      </c>
      <c r="J37">
        <v>0</v>
      </c>
      <c r="K37">
        <v>2.8358342136926399E-2</v>
      </c>
      <c r="L37">
        <v>8.5999999999999993E-2</v>
      </c>
      <c r="M37" s="13">
        <f t="shared" si="3"/>
        <v>1.1528150134048256E-2</v>
      </c>
      <c r="N37" t="s">
        <v>327</v>
      </c>
      <c r="O37" t="s">
        <v>329</v>
      </c>
    </row>
    <row r="38" spans="1:15" x14ac:dyDescent="0.25">
      <c r="A38" t="s">
        <v>43</v>
      </c>
      <c r="B38" t="s">
        <v>19</v>
      </c>
      <c r="C38" t="s">
        <v>311</v>
      </c>
      <c r="D38" t="s">
        <v>321</v>
      </c>
      <c r="E38" t="s">
        <v>89</v>
      </c>
      <c r="F38" t="s">
        <v>316</v>
      </c>
      <c r="G38" s="13" t="s">
        <v>307</v>
      </c>
      <c r="H38" t="s">
        <v>91</v>
      </c>
      <c r="I38" s="2">
        <v>10.436</v>
      </c>
      <c r="J38">
        <v>0</v>
      </c>
      <c r="K38">
        <v>2.8358342136926399E-2</v>
      </c>
      <c r="L38" s="48">
        <v>7.5999999999999998E-2</v>
      </c>
      <c r="M38" s="55">
        <f t="shared" ref="M38:M43" si="4">L38</f>
        <v>7.5999999999999998E-2</v>
      </c>
      <c r="N38" t="s">
        <v>327</v>
      </c>
      <c r="O38" t="s">
        <v>328</v>
      </c>
    </row>
    <row r="39" spans="1:15" x14ac:dyDescent="0.25">
      <c r="A39" t="s">
        <v>43</v>
      </c>
      <c r="B39" t="s">
        <v>19</v>
      </c>
      <c r="C39" t="s">
        <v>311</v>
      </c>
      <c r="D39" t="s">
        <v>321</v>
      </c>
      <c r="E39" t="s">
        <v>89</v>
      </c>
      <c r="F39" t="s">
        <v>317</v>
      </c>
      <c r="G39" s="13" t="s">
        <v>307</v>
      </c>
      <c r="H39" t="s">
        <v>91</v>
      </c>
      <c r="I39" s="2">
        <v>10.436</v>
      </c>
      <c r="J39">
        <v>0</v>
      </c>
      <c r="K39">
        <v>2.8358342136926399E-2</v>
      </c>
      <c r="L39" s="48">
        <v>1.9E-2</v>
      </c>
      <c r="M39" s="55">
        <f t="shared" si="4"/>
        <v>1.9E-2</v>
      </c>
      <c r="N39" t="s">
        <v>327</v>
      </c>
      <c r="O39" t="s">
        <v>328</v>
      </c>
    </row>
    <row r="40" spans="1:15" x14ac:dyDescent="0.25">
      <c r="A40" t="s">
        <v>43</v>
      </c>
      <c r="B40" t="s">
        <v>19</v>
      </c>
      <c r="C40" t="s">
        <v>311</v>
      </c>
      <c r="D40" t="s">
        <v>321</v>
      </c>
      <c r="E40" t="s">
        <v>89</v>
      </c>
      <c r="F40" t="s">
        <v>318</v>
      </c>
      <c r="G40" s="13" t="s">
        <v>307</v>
      </c>
      <c r="H40" t="s">
        <v>91</v>
      </c>
      <c r="I40" s="2">
        <v>10.436</v>
      </c>
      <c r="J40">
        <v>0</v>
      </c>
      <c r="K40">
        <v>2.8358342136926399E-2</v>
      </c>
      <c r="L40" s="48">
        <v>1.4E-2</v>
      </c>
      <c r="M40" s="55">
        <f t="shared" si="4"/>
        <v>1.4E-2</v>
      </c>
      <c r="N40" t="s">
        <v>327</v>
      </c>
      <c r="O40" t="s">
        <v>328</v>
      </c>
    </row>
    <row r="41" spans="1:15" x14ac:dyDescent="0.25">
      <c r="A41" t="s">
        <v>42</v>
      </c>
      <c r="B41" t="s">
        <v>19</v>
      </c>
      <c r="C41" t="s">
        <v>311</v>
      </c>
      <c r="D41" t="s">
        <v>321</v>
      </c>
      <c r="E41" t="s">
        <v>89</v>
      </c>
      <c r="F41" t="s">
        <v>316</v>
      </c>
      <c r="G41" s="13" t="s">
        <v>307</v>
      </c>
      <c r="H41" t="s">
        <v>91</v>
      </c>
      <c r="I41" s="2">
        <v>10.436</v>
      </c>
      <c r="J41">
        <v>0</v>
      </c>
      <c r="K41">
        <v>2.8358342136926399E-2</v>
      </c>
      <c r="L41" s="48">
        <v>7.5999999999999998E-2</v>
      </c>
      <c r="M41" s="55">
        <f t="shared" si="4"/>
        <v>7.5999999999999998E-2</v>
      </c>
      <c r="N41" t="s">
        <v>327</v>
      </c>
      <c r="O41" t="s">
        <v>328</v>
      </c>
    </row>
    <row r="42" spans="1:15" x14ac:dyDescent="0.25">
      <c r="A42" t="s">
        <v>42</v>
      </c>
      <c r="B42" t="s">
        <v>19</v>
      </c>
      <c r="C42" t="s">
        <v>311</v>
      </c>
      <c r="D42" t="s">
        <v>321</v>
      </c>
      <c r="E42" t="s">
        <v>89</v>
      </c>
      <c r="F42" t="s">
        <v>317</v>
      </c>
      <c r="G42" s="13" t="s">
        <v>307</v>
      </c>
      <c r="H42" t="s">
        <v>91</v>
      </c>
      <c r="I42" s="2">
        <v>10.436</v>
      </c>
      <c r="J42">
        <v>0</v>
      </c>
      <c r="K42">
        <v>2.8358342136926399E-2</v>
      </c>
      <c r="L42" s="48">
        <v>1.9E-2</v>
      </c>
      <c r="M42" s="55">
        <f t="shared" si="4"/>
        <v>1.9E-2</v>
      </c>
      <c r="N42" t="s">
        <v>327</v>
      </c>
      <c r="O42" t="s">
        <v>328</v>
      </c>
    </row>
    <row r="43" spans="1:15" x14ac:dyDescent="0.25">
      <c r="A43" t="s">
        <v>42</v>
      </c>
      <c r="B43" t="s">
        <v>19</v>
      </c>
      <c r="C43" t="s">
        <v>311</v>
      </c>
      <c r="D43" t="s">
        <v>321</v>
      </c>
      <c r="E43" t="s">
        <v>89</v>
      </c>
      <c r="F43" t="s">
        <v>318</v>
      </c>
      <c r="G43" s="13" t="s">
        <v>307</v>
      </c>
      <c r="H43" t="s">
        <v>91</v>
      </c>
      <c r="I43" s="2">
        <v>10.436</v>
      </c>
      <c r="J43">
        <v>0</v>
      </c>
      <c r="K43">
        <v>2.8358342136926399E-2</v>
      </c>
      <c r="L43" s="48">
        <v>1.4E-2</v>
      </c>
      <c r="M43" s="55">
        <f t="shared" si="4"/>
        <v>1.4E-2</v>
      </c>
      <c r="N43" t="s">
        <v>327</v>
      </c>
      <c r="O43" t="s">
        <v>328</v>
      </c>
    </row>
    <row r="44" spans="1:15" x14ac:dyDescent="0.25">
      <c r="A44" t="s">
        <v>43</v>
      </c>
      <c r="B44" t="s">
        <v>38</v>
      </c>
      <c r="C44" t="s">
        <v>311</v>
      </c>
      <c r="D44" t="s">
        <v>376</v>
      </c>
      <c r="E44" t="s">
        <v>89</v>
      </c>
      <c r="F44" t="s">
        <v>316</v>
      </c>
      <c r="G44" s="13" t="s">
        <v>330</v>
      </c>
      <c r="H44" t="s">
        <v>91</v>
      </c>
      <c r="I44">
        <v>0.51900000000000002</v>
      </c>
      <c r="J44">
        <v>0</v>
      </c>
      <c r="K44">
        <v>2.8358342136926399E-2</v>
      </c>
      <c r="L44">
        <v>0.23400000000000001</v>
      </c>
      <c r="M44">
        <f>I44/0.965</f>
        <v>0.53782383419689128</v>
      </c>
      <c r="N44" t="s">
        <v>331</v>
      </c>
      <c r="O44" t="s">
        <v>332</v>
      </c>
    </row>
    <row r="45" spans="1:15" x14ac:dyDescent="0.25">
      <c r="A45" t="s">
        <v>43</v>
      </c>
      <c r="B45" t="s">
        <v>38</v>
      </c>
      <c r="C45" t="s">
        <v>311</v>
      </c>
      <c r="D45" t="s">
        <v>376</v>
      </c>
      <c r="E45" t="s">
        <v>89</v>
      </c>
      <c r="F45" t="s">
        <v>317</v>
      </c>
      <c r="G45" s="13" t="s">
        <v>330</v>
      </c>
      <c r="H45" t="s">
        <v>91</v>
      </c>
      <c r="I45">
        <v>0.16900000000000001</v>
      </c>
      <c r="J45">
        <v>0</v>
      </c>
      <c r="K45">
        <v>2.8358342136926399E-2</v>
      </c>
      <c r="M45">
        <f t="shared" ref="M45:M49" si="5">I45/0.965</f>
        <v>0.1751295336787565</v>
      </c>
      <c r="N45" t="s">
        <v>331</v>
      </c>
      <c r="O45" t="s">
        <v>332</v>
      </c>
    </row>
    <row r="46" spans="1:15" x14ac:dyDescent="0.25">
      <c r="A46" t="s">
        <v>43</v>
      </c>
      <c r="B46" t="s">
        <v>38</v>
      </c>
      <c r="C46" t="s">
        <v>311</v>
      </c>
      <c r="D46" t="s">
        <v>376</v>
      </c>
      <c r="E46" t="s">
        <v>89</v>
      </c>
      <c r="F46" t="s">
        <v>318</v>
      </c>
      <c r="G46" s="13" t="s">
        <v>330</v>
      </c>
      <c r="H46" t="s">
        <v>91</v>
      </c>
      <c r="I46">
        <v>0.186</v>
      </c>
      <c r="J46">
        <v>0</v>
      </c>
      <c r="K46">
        <v>2.8358342136926399E-2</v>
      </c>
      <c r="M46">
        <f t="shared" si="5"/>
        <v>0.19274611398963731</v>
      </c>
      <c r="N46" t="s">
        <v>331</v>
      </c>
      <c r="O46" t="s">
        <v>332</v>
      </c>
    </row>
    <row r="47" spans="1:15" x14ac:dyDescent="0.25">
      <c r="A47" t="s">
        <v>42</v>
      </c>
      <c r="B47" t="s">
        <v>38</v>
      </c>
      <c r="C47" t="s">
        <v>311</v>
      </c>
      <c r="D47" t="s">
        <v>376</v>
      </c>
      <c r="E47" t="s">
        <v>89</v>
      </c>
      <c r="F47" t="s">
        <v>316</v>
      </c>
      <c r="G47" s="13" t="s">
        <v>330</v>
      </c>
      <c r="H47" t="s">
        <v>91</v>
      </c>
      <c r="I47">
        <v>0.51900000000000002</v>
      </c>
      <c r="J47">
        <v>0</v>
      </c>
      <c r="K47">
        <v>2.8358342136926399E-2</v>
      </c>
      <c r="L47">
        <v>0.23400000000000001</v>
      </c>
      <c r="M47">
        <f>I47/0.965</f>
        <v>0.53782383419689128</v>
      </c>
      <c r="N47" t="s">
        <v>331</v>
      </c>
      <c r="O47" t="s">
        <v>332</v>
      </c>
    </row>
    <row r="48" spans="1:15" x14ac:dyDescent="0.25">
      <c r="A48" t="s">
        <v>42</v>
      </c>
      <c r="B48" t="s">
        <v>38</v>
      </c>
      <c r="C48" t="s">
        <v>311</v>
      </c>
      <c r="D48" t="s">
        <v>376</v>
      </c>
      <c r="E48" t="s">
        <v>89</v>
      </c>
      <c r="F48" t="s">
        <v>317</v>
      </c>
      <c r="G48" s="13" t="s">
        <v>330</v>
      </c>
      <c r="H48" t="s">
        <v>91</v>
      </c>
      <c r="I48">
        <v>0.16900000000000001</v>
      </c>
      <c r="J48">
        <v>0</v>
      </c>
      <c r="K48">
        <v>2.8358342136926399E-2</v>
      </c>
      <c r="M48">
        <f t="shared" si="5"/>
        <v>0.1751295336787565</v>
      </c>
      <c r="N48" t="s">
        <v>331</v>
      </c>
      <c r="O48" t="s">
        <v>332</v>
      </c>
    </row>
    <row r="49" spans="1:15" x14ac:dyDescent="0.25">
      <c r="A49" t="s">
        <v>42</v>
      </c>
      <c r="B49" t="s">
        <v>38</v>
      </c>
      <c r="C49" t="s">
        <v>311</v>
      </c>
      <c r="D49" t="s">
        <v>376</v>
      </c>
      <c r="E49" t="s">
        <v>89</v>
      </c>
      <c r="F49" t="s">
        <v>318</v>
      </c>
      <c r="G49" s="13" t="s">
        <v>330</v>
      </c>
      <c r="H49" t="s">
        <v>91</v>
      </c>
      <c r="I49">
        <v>0.186</v>
      </c>
      <c r="J49">
        <v>0</v>
      </c>
      <c r="K49">
        <v>2.8358342136926399E-2</v>
      </c>
      <c r="M49">
        <f t="shared" si="5"/>
        <v>0.19274611398963731</v>
      </c>
      <c r="N49" t="s">
        <v>331</v>
      </c>
      <c r="O49" t="s">
        <v>332</v>
      </c>
    </row>
    <row r="50" spans="1:15" x14ac:dyDescent="0.25">
      <c r="A50" t="s">
        <v>48</v>
      </c>
      <c r="B50" t="s">
        <v>46</v>
      </c>
      <c r="C50" t="s">
        <v>311</v>
      </c>
      <c r="D50" t="s">
        <v>322</v>
      </c>
      <c r="E50" t="s">
        <v>89</v>
      </c>
      <c r="F50" t="s">
        <v>316</v>
      </c>
      <c r="G50" s="13" t="s">
        <v>330</v>
      </c>
      <c r="H50" t="s">
        <v>91</v>
      </c>
      <c r="I50">
        <v>0.23400000000000001</v>
      </c>
      <c r="J50">
        <v>0</v>
      </c>
      <c r="K50">
        <v>2.8358342136926399E-2</v>
      </c>
      <c r="L50">
        <v>1.7509999999999999</v>
      </c>
      <c r="M50" s="69">
        <f>L50/0.007</f>
        <v>250.14285714285711</v>
      </c>
      <c r="N50" t="s">
        <v>333</v>
      </c>
      <c r="O50" t="s">
        <v>334</v>
      </c>
    </row>
    <row r="51" spans="1:15" x14ac:dyDescent="0.25">
      <c r="A51" t="s">
        <v>48</v>
      </c>
      <c r="B51" t="s">
        <v>46</v>
      </c>
      <c r="C51" t="s">
        <v>311</v>
      </c>
      <c r="D51" t="s">
        <v>322</v>
      </c>
      <c r="E51" t="s">
        <v>89</v>
      </c>
      <c r="F51" t="s">
        <v>317</v>
      </c>
      <c r="G51" s="13" t="s">
        <v>330</v>
      </c>
      <c r="H51" t="s">
        <v>91</v>
      </c>
      <c r="I51">
        <v>0.23400000000000001</v>
      </c>
      <c r="J51">
        <v>0</v>
      </c>
      <c r="K51">
        <v>2.8358342136926399E-2</v>
      </c>
      <c r="L51">
        <v>0.78400000000000003</v>
      </c>
      <c r="M51" s="69">
        <f>L51/0.007</f>
        <v>112</v>
      </c>
      <c r="N51" t="s">
        <v>333</v>
      </c>
      <c r="O51" t="s">
        <v>334</v>
      </c>
    </row>
    <row r="52" spans="1:15" x14ac:dyDescent="0.25">
      <c r="A52" t="s">
        <v>48</v>
      </c>
      <c r="B52" t="s">
        <v>46</v>
      </c>
      <c r="C52" t="s">
        <v>311</v>
      </c>
      <c r="D52" t="s">
        <v>322</v>
      </c>
      <c r="E52" t="s">
        <v>89</v>
      </c>
      <c r="F52" t="s">
        <v>318</v>
      </c>
      <c r="G52" s="13" t="s">
        <v>330</v>
      </c>
      <c r="H52" t="s">
        <v>91</v>
      </c>
      <c r="I52">
        <v>0.23400000000000001</v>
      </c>
      <c r="J52">
        <v>0</v>
      </c>
      <c r="K52">
        <v>2.8358342136926399E-2</v>
      </c>
      <c r="L52">
        <v>0.70299999999999996</v>
      </c>
      <c r="M52" s="69">
        <f>L52/0.007</f>
        <v>100.42857142857142</v>
      </c>
      <c r="N52" t="s">
        <v>333</v>
      </c>
      <c r="O52" t="s">
        <v>334</v>
      </c>
    </row>
    <row r="53" spans="1:15" x14ac:dyDescent="0.25">
      <c r="A53" t="s">
        <v>37</v>
      </c>
      <c r="B53" t="s">
        <v>46</v>
      </c>
      <c r="C53" t="s">
        <v>311</v>
      </c>
      <c r="D53" t="s">
        <v>320</v>
      </c>
      <c r="E53" t="s">
        <v>89</v>
      </c>
      <c r="F53" t="s">
        <v>316</v>
      </c>
      <c r="G53" s="13" t="s">
        <v>308</v>
      </c>
      <c r="H53" t="s">
        <v>91</v>
      </c>
      <c r="I53">
        <v>0.23400000000000001</v>
      </c>
      <c r="J53">
        <v>0</v>
      </c>
      <c r="K53">
        <v>2.8358342136926399E-2</v>
      </c>
      <c r="L53">
        <v>0.24099999999999999</v>
      </c>
      <c r="M53" s="69">
        <f>L53/0.007</f>
        <v>34.428571428571423</v>
      </c>
      <c r="N53" t="s">
        <v>333</v>
      </c>
      <c r="O53" t="s">
        <v>334</v>
      </c>
    </row>
    <row r="54" spans="1:15" x14ac:dyDescent="0.25">
      <c r="A54" t="s">
        <v>37</v>
      </c>
      <c r="B54" t="s">
        <v>46</v>
      </c>
      <c r="C54" t="s">
        <v>311</v>
      </c>
      <c r="D54" t="s">
        <v>320</v>
      </c>
      <c r="E54" t="s">
        <v>89</v>
      </c>
      <c r="F54" t="s">
        <v>317</v>
      </c>
      <c r="G54" s="13" t="s">
        <v>308</v>
      </c>
      <c r="H54" t="s">
        <v>91</v>
      </c>
      <c r="I54">
        <v>0.23400000000000001</v>
      </c>
      <c r="J54">
        <v>0</v>
      </c>
      <c r="K54">
        <v>2.8358342136926399E-2</v>
      </c>
      <c r="L54" s="66">
        <v>8.5000000000000006E-2</v>
      </c>
      <c r="M54" s="69">
        <f>L54/0.007</f>
        <v>12.142857142857144</v>
      </c>
      <c r="N54" t="s">
        <v>333</v>
      </c>
      <c r="O54" t="s">
        <v>334</v>
      </c>
    </row>
    <row r="55" spans="1:15" x14ac:dyDescent="0.25">
      <c r="A55" t="s">
        <v>37</v>
      </c>
      <c r="B55" t="s">
        <v>46</v>
      </c>
      <c r="C55" t="s">
        <v>311</v>
      </c>
      <c r="D55" t="s">
        <v>320</v>
      </c>
      <c r="E55" t="s">
        <v>89</v>
      </c>
      <c r="F55" t="s">
        <v>318</v>
      </c>
      <c r="G55" s="13" t="s">
        <v>308</v>
      </c>
      <c r="H55" t="s">
        <v>91</v>
      </c>
      <c r="I55">
        <v>0.23400000000000001</v>
      </c>
      <c r="J55">
        <v>0</v>
      </c>
      <c r="K55">
        <v>2.8358342136926399E-2</v>
      </c>
      <c r="L55">
        <v>8.5999999999999993E-2</v>
      </c>
      <c r="M55" s="69">
        <f t="shared" ref="M55:M58" si="6">L55/0.007</f>
        <v>12.285714285714285</v>
      </c>
      <c r="N55" t="s">
        <v>333</v>
      </c>
      <c r="O55" t="s">
        <v>334</v>
      </c>
    </row>
    <row r="56" spans="1:15" x14ac:dyDescent="0.25">
      <c r="A56" t="s">
        <v>36</v>
      </c>
      <c r="B56" t="s">
        <v>46</v>
      </c>
      <c r="C56" t="s">
        <v>311</v>
      </c>
      <c r="D56" t="s">
        <v>320</v>
      </c>
      <c r="E56" t="s">
        <v>89</v>
      </c>
      <c r="F56" t="s">
        <v>316</v>
      </c>
      <c r="G56" s="13" t="s">
        <v>308</v>
      </c>
      <c r="H56" t="s">
        <v>91</v>
      </c>
      <c r="I56">
        <v>0.23400000000000001</v>
      </c>
      <c r="J56">
        <v>0</v>
      </c>
      <c r="K56">
        <v>2.8358342136926399E-2</v>
      </c>
      <c r="L56">
        <v>0.24099999999999999</v>
      </c>
      <c r="M56" s="69">
        <f t="shared" si="6"/>
        <v>34.428571428571423</v>
      </c>
      <c r="N56" t="s">
        <v>333</v>
      </c>
      <c r="O56" t="s">
        <v>334</v>
      </c>
    </row>
    <row r="57" spans="1:15" x14ac:dyDescent="0.25">
      <c r="A57" t="s">
        <v>36</v>
      </c>
      <c r="B57" t="s">
        <v>46</v>
      </c>
      <c r="C57" t="s">
        <v>311</v>
      </c>
      <c r="D57" t="s">
        <v>320</v>
      </c>
      <c r="E57" t="s">
        <v>89</v>
      </c>
      <c r="F57" t="s">
        <v>317</v>
      </c>
      <c r="G57" s="13" t="s">
        <v>308</v>
      </c>
      <c r="H57" t="s">
        <v>91</v>
      </c>
      <c r="I57">
        <v>0.23400000000000001</v>
      </c>
      <c r="J57">
        <v>0</v>
      </c>
      <c r="K57">
        <v>2.8358342136926399E-2</v>
      </c>
      <c r="L57" s="66">
        <v>8.5000000000000006E-2</v>
      </c>
      <c r="M57" s="69">
        <f t="shared" si="6"/>
        <v>12.142857142857144</v>
      </c>
      <c r="N57" t="s">
        <v>333</v>
      </c>
      <c r="O57" t="s">
        <v>334</v>
      </c>
    </row>
    <row r="58" spans="1:15" x14ac:dyDescent="0.25">
      <c r="A58" t="s">
        <v>36</v>
      </c>
      <c r="B58" t="s">
        <v>46</v>
      </c>
      <c r="C58" t="s">
        <v>311</v>
      </c>
      <c r="D58" t="s">
        <v>320</v>
      </c>
      <c r="E58" t="s">
        <v>89</v>
      </c>
      <c r="F58" t="s">
        <v>318</v>
      </c>
      <c r="G58" s="13" t="s">
        <v>308</v>
      </c>
      <c r="H58" t="s">
        <v>91</v>
      </c>
      <c r="I58">
        <v>0.23400000000000001</v>
      </c>
      <c r="J58">
        <v>0</v>
      </c>
      <c r="K58">
        <v>2.8358342136926399E-2</v>
      </c>
      <c r="L58">
        <v>8.5999999999999993E-2</v>
      </c>
      <c r="M58" s="69">
        <f t="shared" si="6"/>
        <v>12.285714285714285</v>
      </c>
      <c r="N58" t="s">
        <v>333</v>
      </c>
      <c r="O58" t="s">
        <v>334</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90F1B-2D07-493A-830D-4D26C0F8027E}">
  <sheetPr>
    <tabColor theme="5" tint="0.79998168889431442"/>
  </sheetPr>
  <dimension ref="A1:U19"/>
  <sheetViews>
    <sheetView workbookViewId="0">
      <selection activeCell="C19" sqref="C19"/>
    </sheetView>
  </sheetViews>
  <sheetFormatPr defaultRowHeight="15.75" x14ac:dyDescent="0.25"/>
  <cols>
    <col min="1" max="1" width="20.625" bestFit="1" customWidth="1"/>
    <col min="2" max="2" width="21.875" bestFit="1" customWidth="1"/>
    <col min="3" max="3" width="13" bestFit="1" customWidth="1"/>
    <col min="4" max="4" width="49.75" bestFit="1" customWidth="1"/>
    <col min="5" max="5" width="9.875" bestFit="1" customWidth="1"/>
    <col min="6" max="6" width="7.25" bestFit="1" customWidth="1"/>
    <col min="7" max="7" width="11.375" bestFit="1" customWidth="1"/>
    <col min="8" max="8" width="13.125" bestFit="1" customWidth="1"/>
    <col min="9" max="9" width="14.75" bestFit="1" customWidth="1"/>
    <col min="10" max="10" width="18.25" bestFit="1" customWidth="1"/>
    <col min="11" max="11" width="5.5" bestFit="1" customWidth="1"/>
    <col min="13" max="13" width="56.5" bestFit="1" customWidth="1"/>
    <col min="14" max="14" width="9.875" bestFit="1" customWidth="1"/>
    <col min="15" max="15" width="7.25" bestFit="1" customWidth="1"/>
    <col min="16" max="16" width="11.375" bestFit="1" customWidth="1"/>
    <col min="17" max="17" width="13.125" bestFit="1" customWidth="1"/>
    <col min="18" max="18" width="14.75" bestFit="1" customWidth="1"/>
    <col min="19" max="19" width="18.25" bestFit="1" customWidth="1"/>
    <col min="20" max="20" width="5.5" bestFit="1" customWidth="1"/>
    <col min="21" max="21" width="5" bestFit="1" customWidth="1"/>
  </cols>
  <sheetData>
    <row r="1" spans="1:21" x14ac:dyDescent="0.25">
      <c r="A1" t="s">
        <v>0</v>
      </c>
      <c r="B1" t="s">
        <v>1</v>
      </c>
      <c r="C1" t="s">
        <v>309</v>
      </c>
      <c r="D1" t="s">
        <v>314</v>
      </c>
      <c r="E1" t="s">
        <v>380</v>
      </c>
      <c r="F1" t="s">
        <v>381</v>
      </c>
      <c r="G1" t="s">
        <v>386</v>
      </c>
      <c r="H1" t="s">
        <v>385</v>
      </c>
      <c r="I1" t="s">
        <v>384</v>
      </c>
      <c r="J1" t="s">
        <v>383</v>
      </c>
      <c r="K1" t="s">
        <v>382</v>
      </c>
      <c r="M1" s="13"/>
      <c r="N1" s="13"/>
      <c r="O1" s="13"/>
      <c r="P1" s="13"/>
      <c r="Q1" s="13"/>
      <c r="R1" s="13"/>
      <c r="S1" s="13"/>
      <c r="T1" s="13"/>
      <c r="U1" s="13"/>
    </row>
    <row r="2" spans="1:21" x14ac:dyDescent="0.25">
      <c r="A2" t="s">
        <v>11</v>
      </c>
      <c r="B2" t="s">
        <v>12</v>
      </c>
      <c r="C2" t="s">
        <v>310</v>
      </c>
      <c r="D2" t="s">
        <v>315</v>
      </c>
      <c r="E2" s="71">
        <v>0</v>
      </c>
      <c r="F2" s="71">
        <v>2.564102564102564E-2</v>
      </c>
      <c r="G2" s="71">
        <v>0.51282051282051277</v>
      </c>
      <c r="H2" s="71">
        <v>0.12820512820512819</v>
      </c>
      <c r="I2" s="71">
        <v>7.6923076923076927E-2</v>
      </c>
      <c r="J2" s="71">
        <v>0.15384615384615385</v>
      </c>
      <c r="K2" s="71">
        <v>0.10256410256410256</v>
      </c>
      <c r="M2" s="13"/>
      <c r="N2" s="13"/>
      <c r="O2" s="13"/>
      <c r="P2" s="13"/>
      <c r="Q2" s="13"/>
      <c r="R2" s="13"/>
      <c r="S2" s="13"/>
      <c r="T2" s="13"/>
      <c r="U2" s="13"/>
    </row>
    <row r="3" spans="1:21" x14ac:dyDescent="0.25">
      <c r="A3" t="s">
        <v>22</v>
      </c>
      <c r="B3" t="s">
        <v>12</v>
      </c>
      <c r="C3" t="s">
        <v>310</v>
      </c>
      <c r="D3" t="s">
        <v>22</v>
      </c>
      <c r="E3" s="71">
        <v>0</v>
      </c>
      <c r="F3" s="71">
        <v>6.7226890756302518E-2</v>
      </c>
      <c r="G3" s="71">
        <v>0.36134453781512604</v>
      </c>
      <c r="H3" s="71">
        <v>0.18487394957983194</v>
      </c>
      <c r="I3" s="71">
        <v>0.10084033613445378</v>
      </c>
      <c r="J3" s="71">
        <v>0.26050420168067229</v>
      </c>
      <c r="K3" s="71">
        <v>2.5210084033613446E-2</v>
      </c>
      <c r="M3" s="13"/>
      <c r="N3" s="13"/>
      <c r="O3" s="13"/>
      <c r="P3" s="13"/>
      <c r="Q3" s="13"/>
      <c r="R3" s="13"/>
      <c r="S3" s="13"/>
      <c r="T3" s="13"/>
      <c r="U3" s="13"/>
    </row>
    <row r="4" spans="1:21" x14ac:dyDescent="0.25">
      <c r="A4" t="s">
        <v>34</v>
      </c>
      <c r="B4" t="s">
        <v>12</v>
      </c>
      <c r="C4" t="s">
        <v>310</v>
      </c>
      <c r="D4" t="s">
        <v>143</v>
      </c>
      <c r="E4" s="71">
        <v>0</v>
      </c>
      <c r="F4" s="71">
        <v>0</v>
      </c>
      <c r="G4" s="71">
        <v>0.51249999999999996</v>
      </c>
      <c r="H4" s="71">
        <v>0.1875</v>
      </c>
      <c r="I4" s="71">
        <v>0.1125</v>
      </c>
      <c r="J4" s="71">
        <v>0.17499999999999999</v>
      </c>
      <c r="K4" s="71">
        <v>1.2500000000000001E-2</v>
      </c>
      <c r="M4" s="13"/>
      <c r="N4" s="13"/>
      <c r="O4" s="13"/>
      <c r="P4" s="13"/>
      <c r="Q4" s="13"/>
      <c r="R4" s="13"/>
      <c r="S4" s="13"/>
      <c r="T4" s="13"/>
      <c r="U4" s="13"/>
    </row>
    <row r="5" spans="1:21" x14ac:dyDescent="0.25">
      <c r="A5" t="s">
        <v>36</v>
      </c>
      <c r="B5" t="s">
        <v>12</v>
      </c>
      <c r="C5" t="s">
        <v>310</v>
      </c>
      <c r="D5" t="s">
        <v>319</v>
      </c>
      <c r="E5" s="71">
        <v>0</v>
      </c>
      <c r="F5" s="71">
        <v>0.1702127659574468</v>
      </c>
      <c r="G5" s="71">
        <v>0.42553191489361702</v>
      </c>
      <c r="H5" s="71">
        <v>8.5106382978723402E-2</v>
      </c>
      <c r="I5" s="71">
        <v>4.2553191489361701E-2</v>
      </c>
      <c r="J5" s="71">
        <v>0.25531914893617019</v>
      </c>
      <c r="K5" s="71">
        <v>2.1276595744680851E-2</v>
      </c>
      <c r="M5" s="13"/>
      <c r="N5" s="13"/>
      <c r="O5" s="13"/>
      <c r="P5" s="13"/>
      <c r="Q5" s="13"/>
      <c r="R5" s="13"/>
      <c r="S5" s="13"/>
      <c r="T5" s="13"/>
      <c r="U5" s="13"/>
    </row>
    <row r="6" spans="1:21" x14ac:dyDescent="0.25">
      <c r="A6" t="s">
        <v>37</v>
      </c>
      <c r="B6" t="s">
        <v>12</v>
      </c>
      <c r="C6" t="s">
        <v>310</v>
      </c>
      <c r="D6" t="s">
        <v>319</v>
      </c>
      <c r="E6" s="71">
        <v>0</v>
      </c>
      <c r="F6" s="71">
        <v>0.1702127659574468</v>
      </c>
      <c r="G6" s="71">
        <v>0.42553191489361702</v>
      </c>
      <c r="H6" s="71">
        <v>8.5106382978723402E-2</v>
      </c>
      <c r="I6" s="71">
        <v>4.2553191489361701E-2</v>
      </c>
      <c r="J6" s="71">
        <v>0.25531914893617019</v>
      </c>
      <c r="K6" s="71">
        <v>2.1276595744680851E-2</v>
      </c>
      <c r="M6" s="13"/>
      <c r="N6" s="13"/>
      <c r="O6" s="13"/>
      <c r="P6" s="13"/>
      <c r="Q6" s="13"/>
      <c r="R6" s="13"/>
      <c r="S6" s="13"/>
      <c r="T6" s="13"/>
      <c r="U6" s="13"/>
    </row>
    <row r="7" spans="1:21" x14ac:dyDescent="0.25">
      <c r="A7" t="s">
        <v>43</v>
      </c>
      <c r="B7" t="s">
        <v>12</v>
      </c>
      <c r="C7" t="s">
        <v>310</v>
      </c>
      <c r="D7" t="s">
        <v>319</v>
      </c>
      <c r="E7" s="71">
        <v>0</v>
      </c>
      <c r="F7" s="71">
        <v>0.1702127659574468</v>
      </c>
      <c r="G7" s="71">
        <v>0.42553191489361702</v>
      </c>
      <c r="H7" s="71">
        <v>8.5106382978723402E-2</v>
      </c>
      <c r="I7" s="71">
        <v>4.2553191489361701E-2</v>
      </c>
      <c r="J7" s="71">
        <v>0.25531914893617019</v>
      </c>
      <c r="K7" s="71">
        <v>2.1276595744680851E-2</v>
      </c>
      <c r="M7" s="13"/>
      <c r="N7" s="13"/>
      <c r="O7" s="13"/>
      <c r="P7" s="13"/>
      <c r="Q7" s="13"/>
      <c r="R7" s="13"/>
      <c r="S7" s="13"/>
      <c r="T7" s="13"/>
      <c r="U7" s="13"/>
    </row>
    <row r="8" spans="1:21" x14ac:dyDescent="0.25">
      <c r="A8" t="s">
        <v>42</v>
      </c>
      <c r="B8" t="s">
        <v>12</v>
      </c>
      <c r="C8" t="s">
        <v>310</v>
      </c>
      <c r="D8" t="s">
        <v>319</v>
      </c>
      <c r="E8" s="71">
        <v>0</v>
      </c>
      <c r="F8" s="71">
        <v>0.1702127659574468</v>
      </c>
      <c r="G8" s="71">
        <v>0.42553191489361702</v>
      </c>
      <c r="H8" s="71">
        <v>8.5106382978723402E-2</v>
      </c>
      <c r="I8" s="71">
        <v>4.2553191489361701E-2</v>
      </c>
      <c r="J8" s="71">
        <v>0.25531914893617019</v>
      </c>
      <c r="K8" s="71">
        <v>2.1276595744680851E-2</v>
      </c>
      <c r="M8" s="13"/>
      <c r="N8" s="13"/>
      <c r="O8" s="13"/>
      <c r="P8" s="13"/>
      <c r="Q8" s="13"/>
      <c r="R8" s="13"/>
      <c r="S8" s="13"/>
      <c r="T8" s="13"/>
      <c r="U8" s="13"/>
    </row>
    <row r="9" spans="1:21" x14ac:dyDescent="0.25">
      <c r="A9" t="s">
        <v>11</v>
      </c>
      <c r="B9" t="s">
        <v>19</v>
      </c>
      <c r="C9" t="s">
        <v>311</v>
      </c>
      <c r="D9" t="s">
        <v>321</v>
      </c>
      <c r="E9" s="71">
        <v>0</v>
      </c>
      <c r="F9" s="71">
        <v>0</v>
      </c>
      <c r="G9" s="71">
        <v>0</v>
      </c>
      <c r="H9" s="71">
        <v>0.40625</v>
      </c>
      <c r="I9" s="71">
        <v>0.328125</v>
      </c>
      <c r="J9" s="71">
        <v>0.265625</v>
      </c>
      <c r="K9" s="71">
        <v>0</v>
      </c>
      <c r="M9" s="13"/>
      <c r="N9" s="13"/>
      <c r="O9" s="13"/>
      <c r="P9" s="13"/>
      <c r="Q9" s="13"/>
      <c r="R9" s="13"/>
      <c r="S9" s="13"/>
      <c r="T9" s="13"/>
      <c r="U9" s="13"/>
    </row>
    <row r="10" spans="1:21" x14ac:dyDescent="0.25">
      <c r="A10" t="s">
        <v>40</v>
      </c>
      <c r="B10" t="s">
        <v>19</v>
      </c>
      <c r="C10" t="s">
        <v>311</v>
      </c>
      <c r="D10" t="s">
        <v>321</v>
      </c>
      <c r="E10" s="40">
        <v>0</v>
      </c>
      <c r="F10" s="40">
        <v>0</v>
      </c>
      <c r="G10" s="40">
        <v>0</v>
      </c>
      <c r="H10" s="40">
        <v>0.40625</v>
      </c>
      <c r="I10" s="40">
        <v>0.328125</v>
      </c>
      <c r="J10" s="40">
        <v>0.265625</v>
      </c>
      <c r="K10" s="40">
        <v>0</v>
      </c>
      <c r="M10" s="13"/>
      <c r="N10" s="13"/>
      <c r="O10" s="13"/>
      <c r="P10" s="13"/>
      <c r="Q10" s="13"/>
      <c r="R10" s="13"/>
      <c r="S10" s="13"/>
      <c r="T10" s="13"/>
      <c r="U10" s="13"/>
    </row>
    <row r="11" spans="1:21" x14ac:dyDescent="0.25">
      <c r="A11" t="s">
        <v>37</v>
      </c>
      <c r="B11" t="s">
        <v>19</v>
      </c>
      <c r="C11" t="s">
        <v>311</v>
      </c>
      <c r="D11" t="s">
        <v>320</v>
      </c>
      <c r="E11" s="40">
        <v>0.5714285714285714</v>
      </c>
      <c r="F11" s="40">
        <v>0</v>
      </c>
      <c r="G11" s="40">
        <v>0</v>
      </c>
      <c r="H11" s="40">
        <v>0.14285714285714285</v>
      </c>
      <c r="I11" s="40">
        <v>0</v>
      </c>
      <c r="J11" s="40">
        <v>0.2857142857142857</v>
      </c>
      <c r="K11" s="40">
        <v>0</v>
      </c>
      <c r="M11" s="72"/>
    </row>
    <row r="12" spans="1:21" x14ac:dyDescent="0.25">
      <c r="A12" t="s">
        <v>36</v>
      </c>
      <c r="B12" t="s">
        <v>19</v>
      </c>
      <c r="C12" t="s">
        <v>311</v>
      </c>
      <c r="D12" t="s">
        <v>320</v>
      </c>
      <c r="E12" s="40">
        <v>0.5714285714285714</v>
      </c>
      <c r="F12" s="40">
        <v>0</v>
      </c>
      <c r="G12" s="40">
        <v>0</v>
      </c>
      <c r="H12" s="40">
        <v>0.14285714285714285</v>
      </c>
      <c r="I12" s="40">
        <v>0</v>
      </c>
      <c r="J12" s="40">
        <v>0.2857142857142857</v>
      </c>
      <c r="K12" s="40">
        <v>0</v>
      </c>
    </row>
    <row r="13" spans="1:21" x14ac:dyDescent="0.25">
      <c r="A13" t="s">
        <v>43</v>
      </c>
      <c r="B13" t="s">
        <v>19</v>
      </c>
      <c r="C13" t="s">
        <v>311</v>
      </c>
      <c r="D13" t="s">
        <v>321</v>
      </c>
      <c r="E13" s="40">
        <v>0</v>
      </c>
      <c r="F13" s="40">
        <v>0</v>
      </c>
      <c r="G13" s="40">
        <v>0</v>
      </c>
      <c r="H13" s="40">
        <v>0.40625</v>
      </c>
      <c r="I13" s="40">
        <v>0.328125</v>
      </c>
      <c r="J13" s="40">
        <v>0.265625</v>
      </c>
      <c r="K13" s="40">
        <v>0</v>
      </c>
    </row>
    <row r="14" spans="1:21" x14ac:dyDescent="0.25">
      <c r="A14" t="s">
        <v>42</v>
      </c>
      <c r="B14" t="s">
        <v>19</v>
      </c>
      <c r="C14" t="s">
        <v>311</v>
      </c>
      <c r="D14" t="s">
        <v>321</v>
      </c>
      <c r="E14" s="40">
        <v>0</v>
      </c>
      <c r="F14" s="40">
        <v>0</v>
      </c>
      <c r="G14" s="40">
        <v>0</v>
      </c>
      <c r="H14" s="40">
        <v>0.40625</v>
      </c>
      <c r="I14" s="40">
        <v>0.328125</v>
      </c>
      <c r="J14" s="40">
        <v>0.265625</v>
      </c>
      <c r="K14" s="40">
        <v>0</v>
      </c>
    </row>
    <row r="15" spans="1:21" x14ac:dyDescent="0.25">
      <c r="A15" t="s">
        <v>43</v>
      </c>
      <c r="B15" t="s">
        <v>38</v>
      </c>
      <c r="C15" t="s">
        <v>311</v>
      </c>
      <c r="D15" t="s">
        <v>376</v>
      </c>
      <c r="E15" s="71">
        <v>0</v>
      </c>
      <c r="F15" s="71">
        <v>0</v>
      </c>
      <c r="G15" s="71">
        <v>0</v>
      </c>
      <c r="H15" s="71">
        <v>4.7619047619047616E-2</v>
      </c>
      <c r="I15" s="71">
        <v>0</v>
      </c>
      <c r="J15" s="71">
        <v>0.95238095238095233</v>
      </c>
      <c r="K15" s="71">
        <v>0</v>
      </c>
    </row>
    <row r="16" spans="1:21" x14ac:dyDescent="0.25">
      <c r="A16" t="s">
        <v>42</v>
      </c>
      <c r="B16" t="s">
        <v>38</v>
      </c>
      <c r="C16" t="s">
        <v>311</v>
      </c>
      <c r="D16" t="s">
        <v>376</v>
      </c>
      <c r="E16" s="40">
        <v>0</v>
      </c>
      <c r="F16" s="40">
        <v>0</v>
      </c>
      <c r="G16" s="40">
        <v>0</v>
      </c>
      <c r="H16" s="40">
        <v>4.7619047619047616E-2</v>
      </c>
      <c r="I16" s="40">
        <v>0</v>
      </c>
      <c r="J16" s="40">
        <v>0.95238095238095233</v>
      </c>
      <c r="K16" s="40">
        <v>0</v>
      </c>
    </row>
    <row r="17" spans="1:11" x14ac:dyDescent="0.25">
      <c r="A17" t="s">
        <v>48</v>
      </c>
      <c r="B17" t="s">
        <v>46</v>
      </c>
      <c r="C17" t="s">
        <v>311</v>
      </c>
      <c r="D17" t="s">
        <v>322</v>
      </c>
      <c r="E17" s="71">
        <v>0.12209302325581395</v>
      </c>
      <c r="F17" s="71">
        <v>0</v>
      </c>
      <c r="G17" s="71">
        <v>0</v>
      </c>
      <c r="H17" s="71">
        <v>0.12790697674418605</v>
      </c>
      <c r="I17" s="71">
        <v>0.27325581395348836</v>
      </c>
      <c r="J17" s="71">
        <v>0.47093023255813954</v>
      </c>
      <c r="K17" s="71">
        <v>5.8139534883720929E-3</v>
      </c>
    </row>
    <row r="18" spans="1:11" x14ac:dyDescent="0.25">
      <c r="A18" t="s">
        <v>37</v>
      </c>
      <c r="B18" t="s">
        <v>46</v>
      </c>
      <c r="C18" t="s">
        <v>311</v>
      </c>
      <c r="D18" t="s">
        <v>320</v>
      </c>
      <c r="E18" s="40">
        <v>0.5714285714285714</v>
      </c>
      <c r="F18" s="40">
        <v>0</v>
      </c>
      <c r="G18" s="40">
        <v>0</v>
      </c>
      <c r="H18" s="40">
        <v>0.14285714285714285</v>
      </c>
      <c r="I18" s="40">
        <v>0</v>
      </c>
      <c r="J18" s="40">
        <v>0.2857142857142857</v>
      </c>
      <c r="K18" s="40">
        <v>0</v>
      </c>
    </row>
    <row r="19" spans="1:11" x14ac:dyDescent="0.25">
      <c r="A19" t="s">
        <v>36</v>
      </c>
      <c r="B19" t="s">
        <v>46</v>
      </c>
      <c r="C19" t="s">
        <v>311</v>
      </c>
      <c r="D19" t="s">
        <v>320</v>
      </c>
      <c r="E19" s="40">
        <v>0.5714285714285714</v>
      </c>
      <c r="F19" s="40">
        <v>0</v>
      </c>
      <c r="G19" s="40">
        <v>0</v>
      </c>
      <c r="H19" s="40">
        <v>0.14285714285714285</v>
      </c>
      <c r="I19" s="40">
        <v>0</v>
      </c>
      <c r="J19" s="40">
        <v>0.2857142857142857</v>
      </c>
      <c r="K19" s="4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B6CA4-5F91-483F-9DB3-0E00AF0370F3}">
  <sheetPr>
    <tabColor theme="5" tint="0.79998168889431442"/>
  </sheetPr>
  <dimension ref="A1:G3"/>
  <sheetViews>
    <sheetView workbookViewId="0">
      <selection activeCell="D10" sqref="D10"/>
    </sheetView>
  </sheetViews>
  <sheetFormatPr defaultRowHeight="15.75" x14ac:dyDescent="0.25"/>
  <cols>
    <col min="1" max="1" width="10" bestFit="1" customWidth="1"/>
    <col min="2" max="2" width="19.25" bestFit="1" customWidth="1"/>
    <col min="3" max="3" width="19.25" customWidth="1"/>
    <col min="4" max="4" width="14" bestFit="1" customWidth="1"/>
    <col min="5" max="5" width="11.5" bestFit="1" customWidth="1"/>
    <col min="6" max="6" width="34.75" bestFit="1" customWidth="1"/>
  </cols>
  <sheetData>
    <row r="1" spans="1:7" x14ac:dyDescent="0.25">
      <c r="A1" s="55" t="s">
        <v>1</v>
      </c>
      <c r="B1" s="55" t="s">
        <v>50</v>
      </c>
      <c r="C1" s="55" t="s">
        <v>2</v>
      </c>
      <c r="D1" t="s">
        <v>28</v>
      </c>
      <c r="E1" t="s">
        <v>29</v>
      </c>
      <c r="F1" t="s">
        <v>9</v>
      </c>
      <c r="G1" t="s">
        <v>54</v>
      </c>
    </row>
    <row r="2" spans="1:7" x14ac:dyDescent="0.25">
      <c r="A2" s="55" t="s">
        <v>19</v>
      </c>
      <c r="B2" s="55" t="s">
        <v>160</v>
      </c>
      <c r="C2" s="55" t="s">
        <v>344</v>
      </c>
      <c r="D2" t="s">
        <v>348</v>
      </c>
      <c r="E2" s="69">
        <f>34752*1000000/126832800000</f>
        <v>0.27399852404109976</v>
      </c>
      <c r="F2" t="s">
        <v>347</v>
      </c>
      <c r="G2" s="67" t="s">
        <v>346</v>
      </c>
    </row>
    <row r="3" spans="1:7" x14ac:dyDescent="0.25">
      <c r="A3" s="55" t="s">
        <v>19</v>
      </c>
      <c r="B3" s="55" t="s">
        <v>160</v>
      </c>
      <c r="C3" s="55" t="s">
        <v>345</v>
      </c>
      <c r="D3" t="s">
        <v>350</v>
      </c>
      <c r="E3" s="69">
        <f>343*1000000/126832800000</f>
        <v>2.7043477712389856E-3</v>
      </c>
      <c r="F3" t="s">
        <v>349</v>
      </c>
      <c r="G3" s="67" t="s">
        <v>346</v>
      </c>
    </row>
  </sheetData>
  <hyperlinks>
    <hyperlink ref="G2" r:id="rId1" display="https://arb.ca.gov/emfac/meta/on-road-hdv" xr:uid="{F07D1BF2-06AD-4598-AF94-C04C6DE054AA}"/>
    <hyperlink ref="G3" r:id="rId2" display="https://arb.ca.gov/emfac/meta/on-road-hdv" xr:uid="{61D1EEAB-16A7-441D-9D2C-18104D78ACFE}"/>
  </hyperlinks>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F2C Conversion</vt:lpstr>
      <vt:lpstr>F2C Land</vt:lpstr>
      <vt:lpstr>F2C CI</vt:lpstr>
      <vt:lpstr>C2U UO Adjustment</vt:lpstr>
      <vt:lpstr>C2U CI</vt:lpstr>
      <vt:lpstr>F2C Water</vt:lpstr>
      <vt:lpstr>F2C Jobs</vt:lpstr>
      <vt:lpstr>Job_IndustryWeights</vt:lpstr>
      <vt:lpstr>Emissions</vt:lpstr>
      <vt:lpstr>Commodity Prices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Hye Min Park</cp:lastModifiedBy>
  <cp:revision/>
  <dcterms:created xsi:type="dcterms:W3CDTF">2023-12-14T21:11:30Z</dcterms:created>
  <dcterms:modified xsi:type="dcterms:W3CDTF">2024-03-01T20:50:44Z</dcterms:modified>
  <cp:category/>
  <cp:contentStatus/>
</cp:coreProperties>
</file>