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nidhi/Library/CloudStorage/OneDrive-RANDCorporation/CATF/SJV-/data/"/>
    </mc:Choice>
  </mc:AlternateContent>
  <xr:revisionPtr revIDLastSave="0" documentId="13_ncr:1_{E7982983-6C65-484A-93A9-D82089A884F5}" xr6:coauthVersionLast="47" xr6:coauthVersionMax="47" xr10:uidLastSave="{00000000-0000-0000-0000-000000000000}"/>
  <bookViews>
    <workbookView xWindow="0" yWindow="880" windowWidth="36000" windowHeight="20800" activeTab="2" xr2:uid="{3EB5D1B8-C67A-D54A-8FBA-1478F31DBAA7}"/>
  </bookViews>
  <sheets>
    <sheet name="portfolio_input" sheetId="1" r:id="rId1"/>
    <sheet name="portfolio_metadata" sheetId="6" r:id="rId2"/>
    <sheet name="feedstock_to_commodity" sheetId="3" r:id="rId3"/>
    <sheet name="commodity_to_use" sheetId="5" r:id="rId4"/>
    <sheet name="Sheet2"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18" i="3" l="1"/>
  <c r="AA19" i="3"/>
  <c r="AA20" i="3"/>
  <c r="AA15" i="3"/>
  <c r="I14" i="3"/>
  <c r="J14" i="3" s="1"/>
  <c r="K14" i="3" s="1"/>
  <c r="L14" i="3" s="1"/>
  <c r="M14" i="3" s="1"/>
  <c r="N14" i="3" s="1"/>
  <c r="O14" i="3" s="1"/>
  <c r="P14" i="3" s="1"/>
  <c r="Q14" i="3" s="1"/>
  <c r="R14" i="3" s="1"/>
  <c r="S14" i="3" s="1"/>
  <c r="T14" i="3" s="1"/>
  <c r="U14" i="3" s="1"/>
  <c r="V14" i="3" s="1"/>
  <c r="W14" i="3" s="1"/>
  <c r="X14" i="3" s="1"/>
  <c r="Y14" i="3" s="1"/>
  <c r="Z14" i="3" s="1"/>
  <c r="G11" i="3"/>
  <c r="H11" i="3" s="1"/>
  <c r="G12" i="3"/>
  <c r="H12" i="3"/>
  <c r="G13" i="3"/>
  <c r="H13" i="3" s="1"/>
  <c r="G14" i="3"/>
  <c r="H14" i="3"/>
  <c r="AA11" i="3"/>
  <c r="AA12" i="3"/>
  <c r="AA13" i="3"/>
  <c r="AA14" i="3"/>
  <c r="I9" i="3"/>
  <c r="J9" i="3" s="1"/>
  <c r="K9" i="3" s="1"/>
  <c r="L9" i="3" s="1"/>
  <c r="M9" i="3" s="1"/>
  <c r="N9" i="3" s="1"/>
  <c r="O9" i="3" s="1"/>
  <c r="P9" i="3" s="1"/>
  <c r="Q9" i="3" s="1"/>
  <c r="R9" i="3" s="1"/>
  <c r="S9" i="3" s="1"/>
  <c r="T9" i="3" s="1"/>
  <c r="U9" i="3" s="1"/>
  <c r="V9" i="3" s="1"/>
  <c r="W9" i="3" s="1"/>
  <c r="X9" i="3" s="1"/>
  <c r="Y9" i="3" s="1"/>
  <c r="Z9" i="3" s="1"/>
  <c r="G3" i="3"/>
  <c r="H3" i="3" s="1"/>
  <c r="G4" i="3"/>
  <c r="H4" i="3" s="1"/>
  <c r="G5" i="3"/>
  <c r="H5" i="3"/>
  <c r="G6" i="3"/>
  <c r="H6" i="3"/>
  <c r="G7" i="3"/>
  <c r="H7" i="3" s="1"/>
  <c r="G8" i="3"/>
  <c r="H8" i="3"/>
  <c r="G9" i="3"/>
  <c r="H9" i="3"/>
  <c r="AA3" i="3"/>
  <c r="AA4" i="3"/>
  <c r="AA5" i="3"/>
  <c r="AA6" i="3"/>
  <c r="AA7" i="3"/>
  <c r="AA8" i="3"/>
  <c r="AA9" i="3"/>
  <c r="D16" i="2"/>
  <c r="D15" i="2"/>
  <c r="E15" i="2"/>
  <c r="F15" i="2"/>
  <c r="C15" i="2"/>
  <c r="C13" i="2"/>
  <c r="D13" i="2"/>
  <c r="E13" i="2"/>
  <c r="F13" i="2"/>
  <c r="C3" i="2"/>
  <c r="H2" i="2"/>
  <c r="C4" i="2" l="1"/>
  <c r="D4" i="2" s="1"/>
  <c r="C16" i="2" l="1"/>
  <c r="B5" i="6"/>
  <c r="B3" i="6"/>
  <c r="B2" i="6"/>
  <c r="G18" i="3"/>
  <c r="AA17" i="3"/>
  <c r="AA16" i="3"/>
  <c r="G16" i="3" s="1"/>
  <c r="H16" i="3" s="1"/>
  <c r="G15" i="3"/>
  <c r="H15" i="3" s="1"/>
  <c r="C9" i="2"/>
  <c r="C17" i="1"/>
  <c r="C16" i="1"/>
  <c r="AA10" i="3" s="1"/>
  <c r="C9" i="1"/>
  <c r="C10" i="1"/>
  <c r="C11" i="1"/>
  <c r="C8" i="1"/>
  <c r="AA2" i="3" s="1"/>
  <c r="G8" i="2"/>
  <c r="D8" i="2"/>
  <c r="H10" i="2"/>
  <c r="F11" i="2" s="1"/>
  <c r="C8" i="2"/>
  <c r="F6" i="2"/>
  <c r="F17" i="2" s="1"/>
  <c r="E6" i="2"/>
  <c r="D3" i="2"/>
  <c r="E3" i="2"/>
  <c r="F3" i="2"/>
  <c r="B33" i="1"/>
  <c r="C18" i="2" l="1"/>
  <c r="D9" i="2"/>
  <c r="D18" i="2" s="1"/>
  <c r="C14" i="2"/>
  <c r="H18" i="3"/>
  <c r="I18" i="3" s="1"/>
  <c r="J18" i="3" s="1"/>
  <c r="K18" i="3" s="1"/>
  <c r="L18" i="3" s="1"/>
  <c r="M18" i="3" s="1"/>
  <c r="N18" i="3" s="1"/>
  <c r="O18" i="3" s="1"/>
  <c r="P18" i="3" s="1"/>
  <c r="Q18" i="3" s="1"/>
  <c r="R18" i="3" s="1"/>
  <c r="S18" i="3" s="1"/>
  <c r="T18" i="3" s="1"/>
  <c r="U18" i="3" s="1"/>
  <c r="V18" i="3" s="1"/>
  <c r="W18" i="3" s="1"/>
  <c r="X18" i="3" s="1"/>
  <c r="Y18" i="3" s="1"/>
  <c r="Z18" i="3" s="1"/>
  <c r="G20" i="3"/>
  <c r="H20" i="3" s="1"/>
  <c r="I20" i="3" s="1"/>
  <c r="J20" i="3" s="1"/>
  <c r="K20" i="3" s="1"/>
  <c r="L20" i="3" s="1"/>
  <c r="M20" i="3" s="1"/>
  <c r="N20" i="3" s="1"/>
  <c r="O20" i="3" s="1"/>
  <c r="P20" i="3" s="1"/>
  <c r="Q20" i="3" s="1"/>
  <c r="R20" i="3" s="1"/>
  <c r="S20" i="3" s="1"/>
  <c r="T20" i="3" s="1"/>
  <c r="U20" i="3" s="1"/>
  <c r="V20" i="3" s="1"/>
  <c r="W20" i="3" s="1"/>
  <c r="X20" i="3" s="1"/>
  <c r="Y20" i="3" s="1"/>
  <c r="Z20" i="3" s="1"/>
  <c r="G19" i="3"/>
  <c r="H19" i="3" s="1"/>
  <c r="I19" i="3" s="1"/>
  <c r="J19" i="3" s="1"/>
  <c r="K19" i="3" s="1"/>
  <c r="L19" i="3" s="1"/>
  <c r="M19" i="3" s="1"/>
  <c r="N19" i="3" s="1"/>
  <c r="O19" i="3" s="1"/>
  <c r="P19" i="3" s="1"/>
  <c r="Q19" i="3" s="1"/>
  <c r="R19" i="3" s="1"/>
  <c r="S19" i="3" s="1"/>
  <c r="T19" i="3" s="1"/>
  <c r="U19" i="3" s="1"/>
  <c r="V19" i="3" s="1"/>
  <c r="W19" i="3" s="1"/>
  <c r="X19" i="3" s="1"/>
  <c r="Y19" i="3" s="1"/>
  <c r="Z19" i="3" s="1"/>
  <c r="I8" i="3"/>
  <c r="J8" i="3" s="1"/>
  <c r="K8" i="3" s="1"/>
  <c r="L8" i="3" s="1"/>
  <c r="M8" i="3" s="1"/>
  <c r="N8" i="3" s="1"/>
  <c r="O8" i="3" s="1"/>
  <c r="P8" i="3" s="1"/>
  <c r="Q8" i="3" s="1"/>
  <c r="R8" i="3" s="1"/>
  <c r="S8" i="3" s="1"/>
  <c r="T8" i="3" s="1"/>
  <c r="U8" i="3" s="1"/>
  <c r="V8" i="3" s="1"/>
  <c r="W8" i="3" s="1"/>
  <c r="X8" i="3" s="1"/>
  <c r="Y8" i="3" s="1"/>
  <c r="Z8" i="3" s="1"/>
  <c r="I13" i="3"/>
  <c r="J13" i="3" s="1"/>
  <c r="K13" i="3" s="1"/>
  <c r="L13" i="3" s="1"/>
  <c r="M13" i="3" s="1"/>
  <c r="N13" i="3" s="1"/>
  <c r="O13" i="3" s="1"/>
  <c r="P13" i="3" s="1"/>
  <c r="Q13" i="3" s="1"/>
  <c r="R13" i="3" s="1"/>
  <c r="S13" i="3" s="1"/>
  <c r="T13" i="3" s="1"/>
  <c r="U13" i="3" s="1"/>
  <c r="V13" i="3" s="1"/>
  <c r="W13" i="3" s="1"/>
  <c r="X13" i="3" s="1"/>
  <c r="Y13" i="3" s="1"/>
  <c r="Z13" i="3" s="1"/>
  <c r="I15" i="3"/>
  <c r="J15" i="3" s="1"/>
  <c r="K15" i="3" s="1"/>
  <c r="L15" i="3" s="1"/>
  <c r="M15" i="3" s="1"/>
  <c r="N15" i="3" s="1"/>
  <c r="O15" i="3" s="1"/>
  <c r="P15" i="3" s="1"/>
  <c r="Q15" i="3" s="1"/>
  <c r="R15" i="3" s="1"/>
  <c r="S15" i="3" s="1"/>
  <c r="T15" i="3" s="1"/>
  <c r="U15" i="3" s="1"/>
  <c r="V15" i="3" s="1"/>
  <c r="W15" i="3" s="1"/>
  <c r="X15" i="3" s="1"/>
  <c r="Y15" i="3" s="1"/>
  <c r="Z15" i="3" s="1"/>
  <c r="I16" i="3"/>
  <c r="J16" i="3" s="1"/>
  <c r="K16" i="3" s="1"/>
  <c r="L16" i="3" s="1"/>
  <c r="M16" i="3" s="1"/>
  <c r="N16" i="3" s="1"/>
  <c r="O16" i="3" s="1"/>
  <c r="P16" i="3" s="1"/>
  <c r="Q16" i="3" s="1"/>
  <c r="R16" i="3" s="1"/>
  <c r="S16" i="3" s="1"/>
  <c r="T16" i="3" s="1"/>
  <c r="U16" i="3" s="1"/>
  <c r="V16" i="3" s="1"/>
  <c r="W16" i="3" s="1"/>
  <c r="X16" i="3" s="1"/>
  <c r="Y16" i="3" s="1"/>
  <c r="Z16" i="3" s="1"/>
  <c r="G17" i="3"/>
  <c r="H17" i="3" s="1"/>
  <c r="I17" i="3" s="1"/>
  <c r="J17" i="3" s="1"/>
  <c r="K17" i="3" s="1"/>
  <c r="L17" i="3" s="1"/>
  <c r="M17" i="3" s="1"/>
  <c r="N17" i="3" s="1"/>
  <c r="O17" i="3" s="1"/>
  <c r="P17" i="3" s="1"/>
  <c r="Q17" i="3" s="1"/>
  <c r="R17" i="3" s="1"/>
  <c r="S17" i="3" s="1"/>
  <c r="T17" i="3" s="1"/>
  <c r="U17" i="3" s="1"/>
  <c r="V17" i="3" s="1"/>
  <c r="W17" i="3" s="1"/>
  <c r="X17" i="3" s="1"/>
  <c r="Y17" i="3" s="1"/>
  <c r="Z17" i="3" s="1"/>
  <c r="G10" i="3"/>
  <c r="H10" i="3" s="1"/>
  <c r="I10" i="3" s="1"/>
  <c r="J10" i="3" s="1"/>
  <c r="K10" i="3" s="1"/>
  <c r="L10" i="3" s="1"/>
  <c r="M10" i="3" s="1"/>
  <c r="N10" i="3" s="1"/>
  <c r="O10" i="3" s="1"/>
  <c r="P10" i="3" s="1"/>
  <c r="Q10" i="3" s="1"/>
  <c r="R10" i="3" s="1"/>
  <c r="S10" i="3" s="1"/>
  <c r="T10" i="3" s="1"/>
  <c r="U10" i="3" s="1"/>
  <c r="V10" i="3" s="1"/>
  <c r="W10" i="3" s="1"/>
  <c r="X10" i="3" s="1"/>
  <c r="Y10" i="3" s="1"/>
  <c r="Z10" i="3" s="1"/>
  <c r="G2" i="3"/>
  <c r="H2" i="3" s="1"/>
  <c r="I2" i="3" s="1"/>
  <c r="J2" i="3" s="1"/>
  <c r="K2" i="3" s="1"/>
  <c r="L2" i="3" s="1"/>
  <c r="M2" i="3" s="1"/>
  <c r="N2" i="3" s="1"/>
  <c r="O2" i="3" s="1"/>
  <c r="P2" i="3" s="1"/>
  <c r="Q2" i="3" s="1"/>
  <c r="R2" i="3" s="1"/>
  <c r="S2" i="3" s="1"/>
  <c r="T2" i="3" s="1"/>
  <c r="U2" i="3" s="1"/>
  <c r="V2" i="3" s="1"/>
  <c r="W2" i="3" s="1"/>
  <c r="X2" i="3" s="1"/>
  <c r="Y2" i="3" s="1"/>
  <c r="Z2" i="3" s="1"/>
  <c r="I6" i="3"/>
  <c r="J6" i="3" s="1"/>
  <c r="K6" i="3" s="1"/>
  <c r="L6" i="3" s="1"/>
  <c r="M6" i="3" s="1"/>
  <c r="N6" i="3" s="1"/>
  <c r="O6" i="3" s="1"/>
  <c r="P6" i="3" s="1"/>
  <c r="Q6" i="3" s="1"/>
  <c r="R6" i="3" s="1"/>
  <c r="S6" i="3" s="1"/>
  <c r="T6" i="3" s="1"/>
  <c r="U6" i="3" s="1"/>
  <c r="V6" i="3" s="1"/>
  <c r="W6" i="3" s="1"/>
  <c r="X6" i="3" s="1"/>
  <c r="Y6" i="3" s="1"/>
  <c r="Z6" i="3" s="1"/>
  <c r="I7" i="3"/>
  <c r="J7" i="3" s="1"/>
  <c r="K7" i="3" s="1"/>
  <c r="L7" i="3" s="1"/>
  <c r="M7" i="3" s="1"/>
  <c r="N7" i="3" s="1"/>
  <c r="O7" i="3" s="1"/>
  <c r="P7" i="3" s="1"/>
  <c r="Q7" i="3" s="1"/>
  <c r="R7" i="3" s="1"/>
  <c r="S7" i="3" s="1"/>
  <c r="T7" i="3" s="1"/>
  <c r="U7" i="3" s="1"/>
  <c r="V7" i="3" s="1"/>
  <c r="W7" i="3" s="1"/>
  <c r="X7" i="3" s="1"/>
  <c r="Y7" i="3" s="1"/>
  <c r="Z7" i="3" s="1"/>
  <c r="I5" i="3"/>
  <c r="J5" i="3" s="1"/>
  <c r="K5" i="3" s="1"/>
  <c r="L5" i="3" s="1"/>
  <c r="M5" i="3" s="1"/>
  <c r="N5" i="3" s="1"/>
  <c r="O5" i="3" s="1"/>
  <c r="P5" i="3" s="1"/>
  <c r="Q5" i="3" s="1"/>
  <c r="R5" i="3" s="1"/>
  <c r="S5" i="3" s="1"/>
  <c r="T5" i="3" s="1"/>
  <c r="U5" i="3" s="1"/>
  <c r="V5" i="3" s="1"/>
  <c r="W5" i="3" s="1"/>
  <c r="X5" i="3" s="1"/>
  <c r="Y5" i="3" s="1"/>
  <c r="Z5" i="3" s="1"/>
  <c r="I12" i="3"/>
  <c r="J12" i="3" s="1"/>
  <c r="K12" i="3" s="1"/>
  <c r="L12" i="3" s="1"/>
  <c r="M12" i="3" s="1"/>
  <c r="N12" i="3" s="1"/>
  <c r="O12" i="3" s="1"/>
  <c r="P12" i="3" s="1"/>
  <c r="Q12" i="3" s="1"/>
  <c r="R12" i="3" s="1"/>
  <c r="S12" i="3" s="1"/>
  <c r="T12" i="3" s="1"/>
  <c r="U12" i="3" s="1"/>
  <c r="V12" i="3" s="1"/>
  <c r="W12" i="3" s="1"/>
  <c r="X12" i="3" s="1"/>
  <c r="Y12" i="3" s="1"/>
  <c r="Z12" i="3" s="1"/>
  <c r="I3" i="3"/>
  <c r="J3" i="3" s="1"/>
  <c r="K3" i="3" s="1"/>
  <c r="L3" i="3" s="1"/>
  <c r="M3" i="3" s="1"/>
  <c r="N3" i="3" s="1"/>
  <c r="O3" i="3" s="1"/>
  <c r="P3" i="3" s="1"/>
  <c r="Q3" i="3" s="1"/>
  <c r="R3" i="3" s="1"/>
  <c r="S3" i="3" s="1"/>
  <c r="T3" i="3" s="1"/>
  <c r="U3" i="3" s="1"/>
  <c r="V3" i="3" s="1"/>
  <c r="W3" i="3" s="1"/>
  <c r="X3" i="3" s="1"/>
  <c r="Y3" i="3" s="1"/>
  <c r="Z3" i="3" s="1"/>
  <c r="I4" i="3"/>
  <c r="J4" i="3" s="1"/>
  <c r="K4" i="3" s="1"/>
  <c r="L4" i="3" s="1"/>
  <c r="M4" i="3" s="1"/>
  <c r="N4" i="3" s="1"/>
  <c r="O4" i="3" s="1"/>
  <c r="P4" i="3" s="1"/>
  <c r="Q4" i="3" s="1"/>
  <c r="R4" i="3" s="1"/>
  <c r="S4" i="3" s="1"/>
  <c r="T4" i="3" s="1"/>
  <c r="U4" i="3" s="1"/>
  <c r="V4" i="3" s="1"/>
  <c r="W4" i="3" s="1"/>
  <c r="X4" i="3" s="1"/>
  <c r="Y4" i="3" s="1"/>
  <c r="Z4" i="3" s="1"/>
  <c r="I11" i="3"/>
  <c r="J11" i="3" s="1"/>
  <c r="K11" i="3" s="1"/>
  <c r="L11" i="3" s="1"/>
  <c r="M11" i="3" s="1"/>
  <c r="N11" i="3" s="1"/>
  <c r="O11" i="3" s="1"/>
  <c r="P11" i="3" s="1"/>
  <c r="Q11" i="3" s="1"/>
  <c r="R11" i="3" s="1"/>
  <c r="S11" i="3" s="1"/>
  <c r="T11" i="3" s="1"/>
  <c r="U11" i="3" s="1"/>
  <c r="V11" i="3" s="1"/>
  <c r="W11" i="3" s="1"/>
  <c r="X11" i="3" s="1"/>
  <c r="Y11" i="3" s="1"/>
  <c r="Z11" i="3" s="1"/>
  <c r="H6" i="2"/>
  <c r="H8" i="2"/>
  <c r="E17" i="2"/>
  <c r="H3" i="2"/>
  <c r="C11" i="2"/>
  <c r="D14" i="2" s="1"/>
  <c r="E11" i="2"/>
  <c r="D11" i="2"/>
  <c r="H11" i="2"/>
</calcChain>
</file>

<file path=xl/sharedStrings.xml><?xml version="1.0" encoding="utf-8"?>
<sst xmlns="http://schemas.openxmlformats.org/spreadsheetml/2006/main" count="248" uniqueCount="99">
  <si>
    <t>Solar</t>
  </si>
  <si>
    <t>Electricity</t>
  </si>
  <si>
    <t>Wind</t>
  </si>
  <si>
    <t>Li Battery</t>
  </si>
  <si>
    <t>LDES</t>
  </si>
  <si>
    <t>Forest waste</t>
  </si>
  <si>
    <t>Agricultural waste</t>
  </si>
  <si>
    <t>Biomethane</t>
  </si>
  <si>
    <t>Hydrogen</t>
  </si>
  <si>
    <t>Metric Tons</t>
  </si>
  <si>
    <t>Natural Gas + CCS</t>
  </si>
  <si>
    <t>Animal Manure</t>
  </si>
  <si>
    <t>Million Cubic Feet</t>
  </si>
  <si>
    <t>Diverted Organic Waste</t>
  </si>
  <si>
    <t>Sustainable Aviation Fuel</t>
  </si>
  <si>
    <t>Million Gallons</t>
  </si>
  <si>
    <t>Energy Type</t>
  </si>
  <si>
    <t>Energy Unit</t>
  </si>
  <si>
    <t>Total (Should be 100%)</t>
  </si>
  <si>
    <t>Transportation Fuel</t>
  </si>
  <si>
    <t>Ammonia (e.g., for fertilzier)</t>
  </si>
  <si>
    <t>Generated From Feedstock</t>
  </si>
  <si>
    <t>Note: All electricity is sent to the power grid; all sustainable aviation fuel is used in aviation transport.</t>
  </si>
  <si>
    <t>Quantity in Example Portfolio</t>
  </si>
  <si>
    <t>Context</t>
  </si>
  <si>
    <t>Gigawatts</t>
  </si>
  <si>
    <t>According to the Power of Place West, the SJV could support up to 117 GW of new solar production used for grid electricity, hydrogen production, or other uses. The 2023-2024 Transmission Planning Process in support of the IRP anticipates 13.3 GW of new utility solar in the SJV by 2035, which projects to 26.6 GW by 2045. According to CARB's Scoping Plan, approximately 72 GW of new utility solar is needed in total by 2045 (not only from the SJV) to meet the state's electricity demands modeled in SB100.</t>
  </si>
  <si>
    <t>According to the Power of Place West Study, the SJV land could support up to 5 GW of new wind.  The 2023-2024 Transmission Planning Process in support of the IRP anticipates 270 MW (0.27 GW) of new wind in the SJV by 2035, which projects to 550 MW (0.55 GW) by 2045. According to CARB's Scoping Plan, approximately 3.5 GW of new on-shore wind is needed in total by 2045 (not only from the SJV) to meet the state's electricity demands modeled in SB100.</t>
  </si>
  <si>
    <t>The 2023-2024 Transmission Planning Process in support of the IRP anticipates 7.4 GW of ew battery storage in the SJV by 2035, which projects to 14.8 GW by 2045. According to CARB's Scoping Plan, approximately 37 GW of battery storage are needed in total (not only from the SJV) to meet statewide electricity demands modeled in SB100.</t>
  </si>
  <si>
    <t>The California IRP anticipates 1 GW of new Long-Duration Energy Storage (i.e., pumped hydropower) in the SJV by 2035. According to CARB's Scoping Plan, approximately 3 GW of LDES are needed in total by 2045 (not only from the SJV) to meet statewide electricity demands modeled in SB100.</t>
  </si>
  <si>
    <t>The Scoping Plan estimates demand for approximately 1.2 million metric tons of H2 in 2045 from solar. According to NREL (2020), the SJV has approximately 40% of California's solar H2 production potential, though this resource must be shared between both electricity and hydrogen. If the region were to produce 25% of the Scoping Plan's demands, this would amount to 310,000 metric tons of H2.</t>
  </si>
  <si>
    <t>The Scoping Plan estimates demand for approximately 0.7 million metric tons of H2 in 2045 from biomass. According to NREL (2020), the SJV has approximately 20% of California's solid and gaseous biomass resources. If the region were to produce 20% of the Scoping Plan's demands for H2 from biomass, this would amount to 140,000 metric tons of H2 from biomass. The total potential based on total biomass resource is approximately 700,000 tons of H2.</t>
  </si>
  <si>
    <t>The Lone Cypress Blue Hydrogen facility in Kern County is scheduled to come online in 2026 and produce 11,000 tons of H2 per year (30 tons/day). However, such "blue" hydrogen is not part of the Scoping Plan as is not expected to receive new investments from the State.</t>
  </si>
  <si>
    <t>Step 1: How much additional  electrictity, hydrogen, biomethane, or sustainable aviation fuel is produced in the SJV from each input/feedstock in 2045? Assume the buildout occurs over time from 2025-2045.</t>
  </si>
  <si>
    <t>SJV Portfolio Design Tool
 (v0.0) (Spreadsheet)</t>
  </si>
  <si>
    <t>Quantity in Your Portfolio</t>
  </si>
  <si>
    <t>Percent in Your Portfolio</t>
  </si>
  <si>
    <t>The Scoping Plan anticipates an additional 400 million gallons of sustainable aviation fuel (SAF) by 2045. Fats, oils, and greases can be refined alongside fossil fuel feedstocks to produce SAF. The valley has approximately 2.5% of the state's refining capacity. If half of that refining capacity were used as the basis of the valley's production of SAF from fats, oils, and greases, it would amount to approximately 5 million gallons of jet fuel. The example portfolio produces this equally from plant oils and animal fats.</t>
  </si>
  <si>
    <t>Biomass includes animal manure and agricultural, forest, and diverted organic waste. The California IRP anticipates approximately 20 MW (0.02 GW) of electricity generated from biomass, which projects to 40 MW (0.040 GW by 2045). According to CARB's Scoping Plan, approximately 134 MW (0.134 GW) of electricity from new biomass is needed in total by 2045 (not only from the SJV) to meet statewide electricity demands modeled in SB100. The example portfolio shown here divides this production equally between forest and agricultural waste.</t>
  </si>
  <si>
    <t>The Scoping Plan anticipates an additinoal statewide demand of 21 billion cubic feet of biomethane by 2045 compared to today (based on a demand of 0.04 EJ of biogas). According to NREL (2020), the SJV has approximately 28% of California's gaseous waste from manure and diverted organic waste, some of which may go to producing hydrogen or electricity. If the region were to produce 28% of the Scoping Plan's demands for biomethane (separate from biomethane's use in hydrogen or electricity production), this would amount to 6 billion cubic feet of biomethane. The example portfolio shown here divides this production equally between animal manure and diverted organic waste.</t>
  </si>
  <si>
    <t>SAF can be produced from forest and agricultural biomass. According to LLNL, the SJV has 24% of the state's forest and agricultural biomass resources. If the region were to produce 24% of the additional 400 million gallons of SAF demanded in the scoping plan, it would be approximately 100 million gallons. Given other uses of this resource, the example portfolio describes a future in which the valley produces half of that, split equally between agricultural and forest waste.</t>
  </si>
  <si>
    <r>
      <rPr>
        <b/>
        <sz val="14"/>
        <color theme="1"/>
        <rFont val="Aptos Narrow"/>
        <scheme val="minor"/>
      </rPr>
      <t xml:space="preserve">Instructions: </t>
    </r>
    <r>
      <rPr>
        <sz val="14"/>
        <color theme="1"/>
        <rFont val="Aptos Narrow"/>
        <scheme val="minor"/>
      </rPr>
      <t xml:space="preserve">This tool presents an </t>
    </r>
    <r>
      <rPr>
        <sz val="14"/>
        <color theme="8" tint="0.39997558519241921"/>
        <rFont val="Aptos Narrow (Body)"/>
      </rPr>
      <t>example portfolio</t>
    </r>
    <r>
      <rPr>
        <sz val="14"/>
        <color theme="1"/>
        <rFont val="Aptos Narrow"/>
        <scheme val="minor"/>
      </rPr>
      <t xml:space="preserve"> of additional electricity, hydrogen, biomethane, and jet fuel energy buildouts in the SJV between 2025 and 2045, and how they should be used. The Context column provides  information you may find useful in creating </t>
    </r>
    <r>
      <rPr>
        <sz val="14"/>
        <color rgb="FF75B260"/>
        <rFont val="Aptos Narrow (Body)"/>
      </rPr>
      <t>your portfolio</t>
    </r>
    <r>
      <rPr>
        <sz val="14"/>
        <color theme="1"/>
        <rFont val="Aptos Narrow"/>
        <scheme val="minor"/>
      </rPr>
      <t xml:space="preserve">. You can create your portfolio by entering values in the green boxes in steps 1 to 3 below. </t>
    </r>
    <r>
      <rPr>
        <b/>
        <sz val="14"/>
        <color theme="1"/>
        <rFont val="Aptos Narrow"/>
        <scheme val="minor"/>
      </rPr>
      <t>Please email your edited portfolio to nidhi@rand.org</t>
    </r>
  </si>
  <si>
    <r>
      <rPr>
        <b/>
        <sz val="14"/>
        <color theme="1"/>
        <rFont val="Aptos Narrow"/>
        <scheme val="minor"/>
      </rPr>
      <t xml:space="preserve">About: </t>
    </r>
    <r>
      <rPr>
        <sz val="14"/>
        <color theme="1"/>
        <rFont val="Aptos Narrow"/>
        <scheme val="minor"/>
      </rPr>
      <t>This Portfolio Design Tool is part of the San Joaquin Valley Energy Visioning Toolkit supported by the Clean Air Task Force. You can use it to design a portfolio of additional energy buildouts in the San Joaquin Valley and download and email the spreadsheet to nidhi@rand.org to run through the SJV Energy Visioning Model. It will be evaluated in terms of energy produced, jobs created, land requirements, water requirements, and GHG emissions.</t>
    </r>
  </si>
  <si>
    <t>Hydrogen Use</t>
  </si>
  <si>
    <t>N/A</t>
  </si>
  <si>
    <t>Hydrogen (tons)a</t>
  </si>
  <si>
    <t>Biomethane (BCF)b</t>
  </si>
  <si>
    <t>SAF (Millions of Gallons)c</t>
  </si>
  <si>
    <t>Agricultural Biomass</t>
  </si>
  <si>
    <t>Forest Biomass</t>
  </si>
  <si>
    <t xml:space="preserve"> Biogas from Dairy Manure</t>
  </si>
  <si>
    <t>Biogas from Diverted Organic Waste</t>
  </si>
  <si>
    <t>Fats, Oils, and Greases</t>
  </si>
  <si>
    <t>Hydrogen (Tons)</t>
  </si>
  <si>
    <t>Electricity (GW)</t>
  </si>
  <si>
    <t>Step 3: What percent of the produced hydrogen should go to transportation vs. ammonia</t>
  </si>
  <si>
    <t>Feedstock</t>
  </si>
  <si>
    <t>“Primary” Conversion Technology</t>
  </si>
  <si>
    <t>Commodity</t>
  </si>
  <si>
    <t>Commodity Unit</t>
  </si>
  <si>
    <t>Unit Code</t>
  </si>
  <si>
    <t>PV</t>
  </si>
  <si>
    <t>Megawatts</t>
  </si>
  <si>
    <t>MW</t>
  </si>
  <si>
    <t>Wind turbine</t>
  </si>
  <si>
    <t>Battery Storage</t>
  </si>
  <si>
    <t>Pumped hydro</t>
  </si>
  <si>
    <t>Gasification + Gas Engine</t>
  </si>
  <si>
    <t>PV + Electrolysis</t>
  </si>
  <si>
    <t>MT</t>
  </si>
  <si>
    <t>SMR + CCS</t>
  </si>
  <si>
    <t>Gasification/ Pyrolysis + Conditioning</t>
  </si>
  <si>
    <t>Anaerobic Digestion + Conditioning</t>
  </si>
  <si>
    <t>MCF</t>
  </si>
  <si>
    <t>HEFA</t>
  </si>
  <si>
    <t>MGal</t>
  </si>
  <si>
    <t>FT-Gasification</t>
  </si>
  <si>
    <t>Input Category</t>
  </si>
  <si>
    <t>Use</t>
  </si>
  <si>
    <t>Power Grid</t>
  </si>
  <si>
    <t>Surface Transport Fuel</t>
  </si>
  <si>
    <t>Ammonia Production</t>
  </si>
  <si>
    <t>Gas Grid</t>
  </si>
  <si>
    <t>Aviation Fuel</t>
  </si>
  <si>
    <t>Anaerobic Digestion + Conditioning + Gas Engine</t>
  </si>
  <si>
    <t>Anaerobic Digestion + SMR or ATR (Autothermal Reforming)</t>
  </si>
  <si>
    <t>biomethane (BCF)</t>
  </si>
  <si>
    <t>SAF rom Biomass</t>
  </si>
  <si>
    <t>Step 1: Name and Describe Your Portfolio and add your name</t>
  </si>
  <si>
    <t>Metadata</t>
  </si>
  <si>
    <t>Name</t>
  </si>
  <si>
    <t>Creator</t>
  </si>
  <si>
    <t>Date</t>
  </si>
  <si>
    <t>Description</t>
  </si>
  <si>
    <t>Proportional Portfolio</t>
  </si>
  <si>
    <t>Nidhi Kalra (nidhi@rand.org)</t>
  </si>
  <si>
    <t>Metadata Value</t>
  </si>
  <si>
    <t>The Proportional portfolio reflects a buildout of energy resources in the SJV consistent with the idea that the SJV contributes to the State's energy goals proportional to its resources. That proportionality is defined differently for each feedstock to commodity pathway and should be thought of as a guiding principle rather than a strict rule. THIS PORTFOLIO ONLY USES BIOGAS TO PRODUCE BIOMETHANE FOR THE GAS GRID WHILE WE UPDATE THE MODEL.</t>
  </si>
  <si>
    <t>Animal Fat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</si>
</sst>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2" x14ac:knownFonts="1">
    <font>
      <sz val="12"/>
      <color theme="1"/>
      <name val="Aptos Narrow"/>
      <family val="2"/>
      <scheme val="minor"/>
    </font>
    <font>
      <sz val="12"/>
      <color theme="1"/>
      <name val="Aptos Narrow"/>
      <family val="2"/>
      <scheme val="minor"/>
    </font>
    <font>
      <sz val="12"/>
      <color rgb="FF000000"/>
      <name val="Aptos Narrow"/>
      <family val="2"/>
      <scheme val="minor"/>
    </font>
    <font>
      <b/>
      <sz val="12"/>
      <color theme="1"/>
      <name val="Aptos Narrow"/>
      <scheme val="minor"/>
    </font>
    <font>
      <i/>
      <sz val="12"/>
      <color theme="1"/>
      <name val="Aptos Narrow"/>
      <scheme val="minor"/>
    </font>
    <font>
      <b/>
      <sz val="14"/>
      <color theme="1"/>
      <name val="Aptos Narrow"/>
      <scheme val="minor"/>
    </font>
    <font>
      <b/>
      <sz val="16"/>
      <color theme="1"/>
      <name val="Aptos Narrow"/>
      <scheme val="minor"/>
    </font>
    <font>
      <sz val="14"/>
      <color theme="1"/>
      <name val="Aptos Narrow"/>
      <scheme val="minor"/>
    </font>
    <font>
      <sz val="14"/>
      <color theme="8" tint="0.39997558519241921"/>
      <name val="Aptos Narrow (Body)"/>
    </font>
    <font>
      <sz val="14"/>
      <color rgb="FF75B260"/>
      <name val="Aptos Narrow (Body)"/>
    </font>
    <font>
      <sz val="12"/>
      <color theme="1"/>
      <name val="Aptos Narrow"/>
      <scheme val="minor"/>
    </font>
    <font>
      <sz val="12"/>
      <color rgb="FF000000"/>
      <name val="Calibri"/>
      <family val="2"/>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9" tint="0.59999389629810485"/>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
    <xf numFmtId="0" fontId="0" fillId="0" borderId="0"/>
    <xf numFmtId="9" fontId="1" fillId="0" borderId="0" applyFont="0" applyFill="0" applyBorder="0" applyAlignment="0" applyProtection="0"/>
  </cellStyleXfs>
  <cellXfs count="30">
    <xf numFmtId="0" fontId="0" fillId="0" borderId="0" xfId="0"/>
    <xf numFmtId="0" fontId="3" fillId="0" borderId="0" xfId="0" applyFont="1"/>
    <xf numFmtId="0" fontId="3" fillId="2" borderId="0" xfId="0" applyFont="1" applyFill="1"/>
    <xf numFmtId="0" fontId="3" fillId="3" borderId="0" xfId="0" applyFont="1" applyFill="1"/>
    <xf numFmtId="0" fontId="3" fillId="3" borderId="1" xfId="0" applyFont="1" applyFill="1" applyBorder="1"/>
    <xf numFmtId="0" fontId="4" fillId="0" borderId="0" xfId="0" applyFont="1"/>
    <xf numFmtId="9" fontId="0" fillId="3" borderId="1" xfId="1" applyFont="1" applyFill="1" applyBorder="1"/>
    <xf numFmtId="9" fontId="4" fillId="0" borderId="0" xfId="1" applyFont="1"/>
    <xf numFmtId="0" fontId="0" fillId="0" borderId="0" xfId="0" applyAlignment="1">
      <alignment wrapText="1"/>
    </xf>
    <xf numFmtId="0" fontId="3" fillId="0" borderId="0" xfId="0" applyFont="1" applyAlignment="1">
      <alignment wrapText="1"/>
    </xf>
    <xf numFmtId="0" fontId="6" fillId="0" borderId="0" xfId="0" applyFont="1"/>
    <xf numFmtId="0" fontId="0" fillId="3" borderId="1" xfId="0" applyFill="1" applyBorder="1" applyAlignment="1">
      <alignment horizontal="center"/>
    </xf>
    <xf numFmtId="0" fontId="3" fillId="4" borderId="1" xfId="0" applyFont="1" applyFill="1" applyBorder="1"/>
    <xf numFmtId="0" fontId="0" fillId="4" borderId="1" xfId="0" applyFill="1" applyBorder="1" applyAlignment="1">
      <alignment horizontal="center"/>
    </xf>
    <xf numFmtId="0" fontId="2" fillId="4" borderId="1" xfId="0" applyFont="1" applyFill="1" applyBorder="1" applyAlignment="1">
      <alignment horizontal="center"/>
    </xf>
    <xf numFmtId="0" fontId="7" fillId="0" borderId="0" xfId="0" applyFont="1" applyAlignment="1">
      <alignment horizontal="left" vertical="center" wrapText="1"/>
    </xf>
    <xf numFmtId="3" fontId="0" fillId="4" borderId="1" xfId="0" applyNumberFormat="1" applyFill="1" applyBorder="1" applyAlignment="1">
      <alignment horizontal="center"/>
    </xf>
    <xf numFmtId="0" fontId="3" fillId="2" borderId="0" xfId="0" applyFont="1" applyFill="1" applyAlignment="1">
      <alignment horizontal="left" vertical="center" wrapText="1"/>
    </xf>
    <xf numFmtId="3" fontId="0" fillId="0" borderId="0" xfId="0" applyNumberFormat="1"/>
    <xf numFmtId="9" fontId="0" fillId="0" borderId="0" xfId="0" applyNumberFormat="1"/>
    <xf numFmtId="9" fontId="0" fillId="0" borderId="0" xfId="1" applyFont="1"/>
    <xf numFmtId="3" fontId="0" fillId="3" borderId="1" xfId="0" applyNumberFormat="1" applyFill="1" applyBorder="1" applyAlignment="1">
      <alignment horizontal="center"/>
    </xf>
    <xf numFmtId="0" fontId="10" fillId="0" borderId="0" xfId="0" applyFont="1"/>
    <xf numFmtId="0" fontId="11" fillId="0" borderId="0" xfId="0" applyFont="1"/>
    <xf numFmtId="14" fontId="0" fillId="0" borderId="0" xfId="0" applyNumberFormat="1"/>
    <xf numFmtId="164" fontId="10" fillId="3" borderId="1" xfId="0" applyNumberFormat="1" applyFont="1" applyFill="1" applyBorder="1" applyAlignment="1">
      <alignment horizontal="center"/>
    </xf>
    <xf numFmtId="1" fontId="10" fillId="3" borderId="1" xfId="0" applyNumberFormat="1" applyFont="1" applyFill="1" applyBorder="1" applyAlignment="1">
      <alignment horizontal="center"/>
    </xf>
    <xf numFmtId="0" fontId="7" fillId="0" borderId="0" xfId="0" applyFont="1" applyAlignment="1">
      <alignment horizontal="left" vertical="center" wrapText="1"/>
    </xf>
    <xf numFmtId="0" fontId="4" fillId="5" borderId="0" xfId="0" applyFont="1" applyFill="1" applyAlignment="1">
      <alignment horizontal="center" vertical="center" wrapText="1"/>
    </xf>
    <xf numFmtId="0" fontId="4" fillId="5" borderId="0" xfId="0" applyFont="1" applyFill="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colors>
    <mruColors>
      <color rgb="FF75B2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35989-F8F5-C645-8F8C-CB2D79A95BD0}">
  <dimension ref="A1:I35"/>
  <sheetViews>
    <sheetView topLeftCell="A3" zoomScale="133" workbookViewId="0">
      <selection activeCell="C18" sqref="C18"/>
    </sheetView>
  </sheetViews>
  <sheetFormatPr baseColWidth="10" defaultRowHeight="16" x14ac:dyDescent="0.2"/>
  <cols>
    <col min="1" max="1" width="30" customWidth="1"/>
    <col min="2" max="2" width="35.33203125" customWidth="1"/>
    <col min="3" max="4" width="27" customWidth="1"/>
    <col min="5" max="5" width="30" customWidth="1"/>
    <col min="6" max="6" width="27" customWidth="1"/>
    <col min="7" max="7" width="34.83203125" customWidth="1"/>
  </cols>
  <sheetData>
    <row r="1" spans="1:9" s="8" customFormat="1" ht="22" x14ac:dyDescent="0.3">
      <c r="A1" s="10" t="s">
        <v>34</v>
      </c>
      <c r="B1" s="9"/>
    </row>
    <row r="2" spans="1:9" ht="115" customHeight="1" x14ac:dyDescent="0.2">
      <c r="A2" s="27" t="s">
        <v>42</v>
      </c>
      <c r="B2" s="27"/>
      <c r="C2" s="27"/>
      <c r="D2" s="27" t="s">
        <v>41</v>
      </c>
      <c r="E2" s="27"/>
      <c r="F2" s="27"/>
    </row>
    <row r="3" spans="1:9" ht="84" customHeight="1" x14ac:dyDescent="0.2">
      <c r="A3" s="17" t="s">
        <v>88</v>
      </c>
      <c r="B3" s="28" t="s">
        <v>94</v>
      </c>
      <c r="C3" s="28"/>
      <c r="D3" s="29" t="s">
        <v>97</v>
      </c>
      <c r="E3" s="29"/>
      <c r="F3" s="29"/>
      <c r="G3" s="29" t="s">
        <v>95</v>
      </c>
      <c r="H3" s="29"/>
      <c r="I3" s="29"/>
    </row>
    <row r="4" spans="1:9" ht="14" customHeight="1" x14ac:dyDescent="0.2">
      <c r="A4" s="15"/>
      <c r="B4" s="15"/>
      <c r="C4" s="15"/>
      <c r="D4" s="15"/>
      <c r="E4" s="15"/>
      <c r="F4" s="15"/>
    </row>
    <row r="6" spans="1:9" s="2" customFormat="1" x14ac:dyDescent="0.2">
      <c r="A6" s="2" t="s">
        <v>33</v>
      </c>
    </row>
    <row r="7" spans="1:9" s="1" customFormat="1" x14ac:dyDescent="0.2">
      <c r="A7" s="1" t="s">
        <v>16</v>
      </c>
      <c r="B7" s="1" t="s">
        <v>21</v>
      </c>
      <c r="C7" s="4" t="s">
        <v>35</v>
      </c>
      <c r="D7" s="12" t="s">
        <v>23</v>
      </c>
      <c r="E7" s="1" t="s">
        <v>17</v>
      </c>
      <c r="F7" s="1" t="s">
        <v>24</v>
      </c>
    </row>
    <row r="8" spans="1:9" x14ac:dyDescent="0.2">
      <c r="A8" t="s">
        <v>1</v>
      </c>
      <c r="B8" t="s">
        <v>0</v>
      </c>
      <c r="C8" s="11">
        <f>D8</f>
        <v>26.6</v>
      </c>
      <c r="D8" s="13">
        <v>26.6</v>
      </c>
      <c r="E8" t="s">
        <v>25</v>
      </c>
      <c r="F8" t="s">
        <v>26</v>
      </c>
    </row>
    <row r="9" spans="1:9" x14ac:dyDescent="0.2">
      <c r="A9" t="s">
        <v>1</v>
      </c>
      <c r="B9" t="s">
        <v>2</v>
      </c>
      <c r="C9" s="11">
        <f t="shared" ref="C9:C11" si="0">D9</f>
        <v>0.55000000000000004</v>
      </c>
      <c r="D9" s="14">
        <v>0.55000000000000004</v>
      </c>
      <c r="E9" t="s">
        <v>25</v>
      </c>
      <c r="F9" t="s">
        <v>27</v>
      </c>
    </row>
    <row r="10" spans="1:9" x14ac:dyDescent="0.2">
      <c r="A10" t="s">
        <v>1</v>
      </c>
      <c r="B10" t="s">
        <v>3</v>
      </c>
      <c r="C10" s="11">
        <f t="shared" si="0"/>
        <v>14.8</v>
      </c>
      <c r="D10" s="13">
        <v>14.8</v>
      </c>
      <c r="E10" t="s">
        <v>25</v>
      </c>
      <c r="F10" t="s">
        <v>28</v>
      </c>
    </row>
    <row r="11" spans="1:9" x14ac:dyDescent="0.2">
      <c r="A11" t="s">
        <v>1</v>
      </c>
      <c r="B11" t="s">
        <v>4</v>
      </c>
      <c r="C11" s="11">
        <f t="shared" si="0"/>
        <v>1</v>
      </c>
      <c r="D11" s="14">
        <v>1</v>
      </c>
      <c r="E11" t="s">
        <v>25</v>
      </c>
      <c r="F11" t="s">
        <v>29</v>
      </c>
    </row>
    <row r="12" spans="1:9" x14ac:dyDescent="0.2">
      <c r="A12" t="s">
        <v>1</v>
      </c>
      <c r="B12" t="s">
        <v>6</v>
      </c>
      <c r="C12" s="25">
        <v>2.1118012422360249E-2</v>
      </c>
      <c r="D12" s="14">
        <v>0.02</v>
      </c>
      <c r="E12" t="s">
        <v>25</v>
      </c>
      <c r="F12" t="s">
        <v>38</v>
      </c>
    </row>
    <row r="13" spans="1:9" x14ac:dyDescent="0.2">
      <c r="A13" t="s">
        <v>1</v>
      </c>
      <c r="B13" t="s">
        <v>5</v>
      </c>
      <c r="C13" s="25">
        <v>3.478260869565218E-3</v>
      </c>
      <c r="D13" s="13">
        <v>0.02</v>
      </c>
      <c r="E13" t="s">
        <v>25</v>
      </c>
      <c r="F13" t="s">
        <v>38</v>
      </c>
    </row>
    <row r="14" spans="1:9" x14ac:dyDescent="0.2">
      <c r="A14" t="s">
        <v>1</v>
      </c>
      <c r="B14" t="s">
        <v>11</v>
      </c>
      <c r="C14" s="25">
        <v>1.4906832298136647E-2</v>
      </c>
      <c r="D14" s="13"/>
    </row>
    <row r="15" spans="1:9" x14ac:dyDescent="0.2">
      <c r="A15" t="s">
        <v>1</v>
      </c>
      <c r="B15" t="s">
        <v>13</v>
      </c>
      <c r="C15" s="25">
        <v>4.9689440993788822E-4</v>
      </c>
      <c r="D15" s="14"/>
    </row>
    <row r="16" spans="1:9" x14ac:dyDescent="0.2">
      <c r="A16" t="s">
        <v>8</v>
      </c>
      <c r="B16" t="s">
        <v>0</v>
      </c>
      <c r="C16" s="21">
        <f>D16</f>
        <v>310000</v>
      </c>
      <c r="D16" s="16">
        <v>310000</v>
      </c>
      <c r="E16" t="s">
        <v>9</v>
      </c>
      <c r="F16" t="s">
        <v>30</v>
      </c>
    </row>
    <row r="17" spans="1:6" x14ac:dyDescent="0.2">
      <c r="A17" t="s">
        <v>8</v>
      </c>
      <c r="B17" t="s">
        <v>10</v>
      </c>
      <c r="C17" s="21">
        <f>D17</f>
        <v>11000</v>
      </c>
      <c r="D17" s="16">
        <v>11000</v>
      </c>
      <c r="E17" t="s">
        <v>9</v>
      </c>
      <c r="F17" t="s">
        <v>32</v>
      </c>
    </row>
    <row r="18" spans="1:6" x14ac:dyDescent="0.2">
      <c r="A18" t="s">
        <v>8</v>
      </c>
      <c r="B18" t="s">
        <v>6</v>
      </c>
      <c r="C18" s="26">
        <v>83854.869455332082</v>
      </c>
      <c r="D18" s="16">
        <v>70000</v>
      </c>
      <c r="E18" t="s">
        <v>9</v>
      </c>
      <c r="F18" t="s">
        <v>31</v>
      </c>
    </row>
    <row r="19" spans="1:6" x14ac:dyDescent="0.2">
      <c r="A19" t="s">
        <v>8</v>
      </c>
      <c r="B19" t="s">
        <v>5</v>
      </c>
      <c r="C19" s="26">
        <v>13811.390263231167</v>
      </c>
      <c r="D19" s="16">
        <v>70000</v>
      </c>
      <c r="E19" t="s">
        <v>9</v>
      </c>
      <c r="F19" t="s">
        <v>31</v>
      </c>
    </row>
    <row r="20" spans="1:6" x14ac:dyDescent="0.2">
      <c r="A20" t="s">
        <v>8</v>
      </c>
      <c r="B20" t="s">
        <v>11</v>
      </c>
      <c r="C20" s="26">
        <v>39760.971535051081</v>
      </c>
      <c r="D20" s="16"/>
    </row>
    <row r="21" spans="1:6" x14ac:dyDescent="0.2">
      <c r="A21" t="s">
        <v>8</v>
      </c>
      <c r="B21" t="s">
        <v>13</v>
      </c>
      <c r="C21" s="26">
        <v>2572.7687463856578</v>
      </c>
      <c r="D21" s="16"/>
    </row>
    <row r="22" spans="1:6" x14ac:dyDescent="0.2">
      <c r="A22" t="s">
        <v>7</v>
      </c>
      <c r="B22" t="s">
        <v>11</v>
      </c>
      <c r="C22" s="11">
        <v>5.7692307692307692</v>
      </c>
      <c r="D22" s="13">
        <v>3</v>
      </c>
      <c r="E22" t="s">
        <v>12</v>
      </c>
      <c r="F22" t="s">
        <v>39</v>
      </c>
    </row>
    <row r="23" spans="1:6" x14ac:dyDescent="0.2">
      <c r="A23" t="s">
        <v>7</v>
      </c>
      <c r="B23" t="s">
        <v>13</v>
      </c>
      <c r="C23" s="11">
        <v>0.23076923076923078</v>
      </c>
      <c r="D23" s="13">
        <v>3</v>
      </c>
      <c r="E23" t="s">
        <v>12</v>
      </c>
      <c r="F23" t="s">
        <v>39</v>
      </c>
    </row>
    <row r="24" spans="1:6" x14ac:dyDescent="0.2">
      <c r="A24" t="s">
        <v>14</v>
      </c>
      <c r="B24" t="s">
        <v>6</v>
      </c>
      <c r="C24" s="11">
        <v>85.714285714285708</v>
      </c>
      <c r="D24" s="13">
        <v>50</v>
      </c>
      <c r="E24" t="s">
        <v>15</v>
      </c>
      <c r="F24" t="s">
        <v>40</v>
      </c>
    </row>
    <row r="25" spans="1:6" x14ac:dyDescent="0.2">
      <c r="A25" t="s">
        <v>14</v>
      </c>
      <c r="B25" t="s">
        <v>5</v>
      </c>
      <c r="C25" s="11">
        <v>14.285714285714285</v>
      </c>
      <c r="D25" s="13">
        <v>50</v>
      </c>
      <c r="E25" t="s">
        <v>15</v>
      </c>
      <c r="F25" t="s">
        <v>40</v>
      </c>
    </row>
    <row r="26" spans="1:6" x14ac:dyDescent="0.2">
      <c r="A26" t="s">
        <v>14</v>
      </c>
      <c r="B26" t="s">
        <v>52</v>
      </c>
      <c r="C26" s="11">
        <v>5</v>
      </c>
      <c r="D26" s="13">
        <v>5</v>
      </c>
      <c r="E26" t="s">
        <v>15</v>
      </c>
      <c r="F26" t="s">
        <v>37</v>
      </c>
    </row>
    <row r="29" spans="1:6" x14ac:dyDescent="0.2">
      <c r="A29" s="2" t="s">
        <v>55</v>
      </c>
      <c r="B29" s="2"/>
      <c r="C29" s="2"/>
    </row>
    <row r="30" spans="1:6" x14ac:dyDescent="0.2">
      <c r="A30" s="1" t="s">
        <v>43</v>
      </c>
      <c r="B30" s="3" t="s">
        <v>36</v>
      </c>
    </row>
    <row r="31" spans="1:6" x14ac:dyDescent="0.2">
      <c r="A31" t="s">
        <v>19</v>
      </c>
      <c r="B31" s="6">
        <v>0.5</v>
      </c>
    </row>
    <row r="32" spans="1:6" x14ac:dyDescent="0.2">
      <c r="A32" t="s">
        <v>20</v>
      </c>
      <c r="B32" s="6">
        <v>0.5</v>
      </c>
    </row>
    <row r="33" spans="1:2" x14ac:dyDescent="0.2">
      <c r="A33" s="5" t="s">
        <v>18</v>
      </c>
      <c r="B33" s="7">
        <f>SUM(B31:B32)</f>
        <v>1</v>
      </c>
    </row>
    <row r="35" spans="1:2" x14ac:dyDescent="0.2">
      <c r="A35" s="5" t="s">
        <v>22</v>
      </c>
    </row>
  </sheetData>
  <mergeCells count="5">
    <mergeCell ref="A2:C2"/>
    <mergeCell ref="D2:F2"/>
    <mergeCell ref="B3:C3"/>
    <mergeCell ref="D3:F3"/>
    <mergeCell ref="G3:I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53C6B-5B9E-C54B-B988-736AC488AE93}">
  <dimension ref="A1:B5"/>
  <sheetViews>
    <sheetView workbookViewId="0">
      <selection activeCell="C7" sqref="C7"/>
    </sheetView>
  </sheetViews>
  <sheetFormatPr baseColWidth="10" defaultRowHeight="16" x14ac:dyDescent="0.2"/>
  <sheetData>
    <row r="1" spans="1:2" x14ac:dyDescent="0.2">
      <c r="A1" t="s">
        <v>89</v>
      </c>
      <c r="B1" t="s">
        <v>96</v>
      </c>
    </row>
    <row r="2" spans="1:2" x14ac:dyDescent="0.2">
      <c r="A2" t="s">
        <v>90</v>
      </c>
      <c r="B2" t="str">
        <f>portfolio_input!B3</f>
        <v>Proportional Portfolio</v>
      </c>
    </row>
    <row r="3" spans="1:2" x14ac:dyDescent="0.2">
      <c r="A3" t="s">
        <v>91</v>
      </c>
      <c r="B3" t="str">
        <f>portfolio_input!D3</f>
        <v>The Proportional portfolio reflects a buildout of energy resources in the SJV consistent with the idea that the SJV contributes to the State's energy goals proportional to its resources. That proportionality is defined differently for each feedstock to commodity pathway and should be thought of as a guiding principle rather than a strict rule. THIS PORTFOLIO ONLY USES BIOGAS TO PRODUCE BIOMETHANE FOR THE GAS GRID WHILE WE UPDATE THE MODEL.</v>
      </c>
    </row>
    <row r="4" spans="1:2" x14ac:dyDescent="0.2">
      <c r="A4" t="s">
        <v>92</v>
      </c>
      <c r="B4" s="24">
        <v>45322</v>
      </c>
    </row>
    <row r="5" spans="1:2" x14ac:dyDescent="0.2">
      <c r="A5" t="s">
        <v>93</v>
      </c>
      <c r="B5" t="str">
        <f>portfolio_input!D3</f>
        <v>The Proportional portfolio reflects a buildout of energy resources in the SJV consistent with the idea that the SJV contributes to the State's energy goals proportional to its resources. That proportionality is defined differently for each feedstock to commodity pathway and should be thought of as a guiding principle rather than a strict rule. THIS PORTFOLIO ONLY USES BIOGAS TO PRODUCE BIOMETHANE FOR THE GAS GRID WHILE WE UPDATE THE MODEL.</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537EC-F8DB-7B4E-B90C-2D6AA935C6A7}">
  <dimension ref="A1:AA20"/>
  <sheetViews>
    <sheetView tabSelected="1" workbookViewId="0">
      <selection activeCell="B20" sqref="B20"/>
    </sheetView>
  </sheetViews>
  <sheetFormatPr baseColWidth="10" defaultRowHeight="16" x14ac:dyDescent="0.2"/>
  <cols>
    <col min="1" max="1" width="19.1640625" customWidth="1"/>
    <col min="2" max="2" width="21" customWidth="1"/>
    <col min="3" max="3" width="26" customWidth="1"/>
    <col min="7" max="27" width="8.1640625" customWidth="1"/>
  </cols>
  <sheetData>
    <row r="1" spans="1:27" x14ac:dyDescent="0.2">
      <c r="A1" t="s">
        <v>77</v>
      </c>
      <c r="B1" t="s">
        <v>56</v>
      </c>
      <c r="C1" t="s">
        <v>57</v>
      </c>
      <c r="D1" t="s">
        <v>58</v>
      </c>
      <c r="E1" t="s">
        <v>59</v>
      </c>
      <c r="F1" t="s">
        <v>60</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2">
      <c r="A2" t="s">
        <v>0</v>
      </c>
      <c r="B2" t="s">
        <v>0</v>
      </c>
      <c r="C2" t="s">
        <v>61</v>
      </c>
      <c r="D2" t="s">
        <v>1</v>
      </c>
      <c r="E2" t="s">
        <v>62</v>
      </c>
      <c r="F2" t="s">
        <v>63</v>
      </c>
      <c r="G2" s="18">
        <f>AA2/21</f>
        <v>1266.6666666666667</v>
      </c>
      <c r="H2">
        <f>$AA2/21+G2</f>
        <v>2533.3333333333335</v>
      </c>
      <c r="I2">
        <f t="shared" ref="I2:Z15" si="0">$AA2/21+H2</f>
        <v>3800</v>
      </c>
      <c r="J2">
        <f t="shared" si="0"/>
        <v>5066.666666666667</v>
      </c>
      <c r="K2">
        <f t="shared" si="0"/>
        <v>6333.3333333333339</v>
      </c>
      <c r="L2">
        <f t="shared" si="0"/>
        <v>7600.0000000000009</v>
      </c>
      <c r="M2">
        <f t="shared" si="0"/>
        <v>8866.6666666666679</v>
      </c>
      <c r="N2">
        <f t="shared" si="0"/>
        <v>10133.333333333334</v>
      </c>
      <c r="O2">
        <f t="shared" si="0"/>
        <v>11400</v>
      </c>
      <c r="P2">
        <f t="shared" si="0"/>
        <v>12666.666666666666</v>
      </c>
      <c r="Q2">
        <f t="shared" si="0"/>
        <v>13933.333333333332</v>
      </c>
      <c r="R2">
        <f t="shared" si="0"/>
        <v>15199.999999999998</v>
      </c>
      <c r="S2">
        <f t="shared" si="0"/>
        <v>16466.666666666664</v>
      </c>
      <c r="T2">
        <f t="shared" si="0"/>
        <v>17733.333333333332</v>
      </c>
      <c r="U2">
        <f t="shared" si="0"/>
        <v>19000</v>
      </c>
      <c r="V2">
        <f t="shared" si="0"/>
        <v>20266.666666666668</v>
      </c>
      <c r="W2">
        <f t="shared" si="0"/>
        <v>21533.333333333336</v>
      </c>
      <c r="X2">
        <f t="shared" si="0"/>
        <v>22800.000000000004</v>
      </c>
      <c r="Y2">
        <f t="shared" si="0"/>
        <v>24066.666666666672</v>
      </c>
      <c r="Z2">
        <f t="shared" si="0"/>
        <v>25333.333333333339</v>
      </c>
      <c r="AA2">
        <f>portfolio_input!C8*1000</f>
        <v>26600</v>
      </c>
    </row>
    <row r="3" spans="1:27" x14ac:dyDescent="0.2">
      <c r="A3" t="s">
        <v>2</v>
      </c>
      <c r="B3" t="s">
        <v>2</v>
      </c>
      <c r="C3" t="s">
        <v>64</v>
      </c>
      <c r="D3" t="s">
        <v>1</v>
      </c>
      <c r="E3" t="s">
        <v>62</v>
      </c>
      <c r="F3" t="s">
        <v>63</v>
      </c>
      <c r="G3" s="18">
        <f t="shared" ref="G3:G9" si="1">AA3/21</f>
        <v>26.19047619047619</v>
      </c>
      <c r="H3">
        <f t="shared" ref="H3:W9" si="2">$AA3/21+G3</f>
        <v>52.38095238095238</v>
      </c>
      <c r="I3">
        <f t="shared" ref="H3:W15" si="3">$AA3/21+H3</f>
        <v>78.571428571428569</v>
      </c>
      <c r="J3">
        <f t="shared" si="3"/>
        <v>104.76190476190476</v>
      </c>
      <c r="K3">
        <f t="shared" si="3"/>
        <v>130.95238095238096</v>
      </c>
      <c r="L3">
        <f t="shared" si="3"/>
        <v>157.14285714285717</v>
      </c>
      <c r="M3">
        <f t="shared" si="3"/>
        <v>183.33333333333337</v>
      </c>
      <c r="N3">
        <f t="shared" si="3"/>
        <v>209.52380952380958</v>
      </c>
      <c r="O3">
        <f t="shared" si="3"/>
        <v>235.71428571428578</v>
      </c>
      <c r="P3">
        <f t="shared" si="3"/>
        <v>261.90476190476198</v>
      </c>
      <c r="Q3">
        <f t="shared" si="3"/>
        <v>288.09523809523819</v>
      </c>
      <c r="R3">
        <f t="shared" si="3"/>
        <v>314.28571428571439</v>
      </c>
      <c r="S3">
        <f t="shared" si="3"/>
        <v>340.4761904761906</v>
      </c>
      <c r="T3">
        <f t="shared" si="3"/>
        <v>366.6666666666668</v>
      </c>
      <c r="U3">
        <f t="shared" si="3"/>
        <v>392.857142857143</v>
      </c>
      <c r="V3">
        <f t="shared" si="3"/>
        <v>419.04761904761921</v>
      </c>
      <c r="W3">
        <f t="shared" si="3"/>
        <v>445.23809523809541</v>
      </c>
      <c r="X3">
        <f t="shared" si="0"/>
        <v>471.42857142857162</v>
      </c>
      <c r="Y3">
        <f t="shared" si="0"/>
        <v>497.61904761904782</v>
      </c>
      <c r="Z3">
        <f t="shared" si="0"/>
        <v>523.80952380952397</v>
      </c>
      <c r="AA3">
        <f>portfolio_input!C9*1000</f>
        <v>550</v>
      </c>
    </row>
    <row r="4" spans="1:27" x14ac:dyDescent="0.2">
      <c r="A4" t="s">
        <v>3</v>
      </c>
      <c r="B4" t="s">
        <v>3</v>
      </c>
      <c r="C4" t="s">
        <v>65</v>
      </c>
      <c r="D4" t="s">
        <v>1</v>
      </c>
      <c r="E4" t="s">
        <v>62</v>
      </c>
      <c r="F4" t="s">
        <v>63</v>
      </c>
      <c r="G4" s="18">
        <f t="shared" si="1"/>
        <v>704.76190476190482</v>
      </c>
      <c r="H4">
        <f t="shared" si="2"/>
        <v>1409.5238095238096</v>
      </c>
      <c r="I4">
        <f t="shared" si="0"/>
        <v>2114.2857142857147</v>
      </c>
      <c r="J4">
        <f t="shared" si="0"/>
        <v>2819.0476190476193</v>
      </c>
      <c r="K4">
        <f t="shared" si="0"/>
        <v>3523.8095238095239</v>
      </c>
      <c r="L4">
        <f t="shared" si="0"/>
        <v>4228.5714285714284</v>
      </c>
      <c r="M4">
        <f t="shared" si="0"/>
        <v>4933.333333333333</v>
      </c>
      <c r="N4">
        <f t="shared" si="0"/>
        <v>5638.0952380952376</v>
      </c>
      <c r="O4">
        <f t="shared" si="0"/>
        <v>6342.8571428571422</v>
      </c>
      <c r="P4">
        <f t="shared" si="0"/>
        <v>7047.6190476190468</v>
      </c>
      <c r="Q4">
        <f t="shared" si="0"/>
        <v>7752.3809523809514</v>
      </c>
      <c r="R4">
        <f t="shared" si="0"/>
        <v>8457.1428571428569</v>
      </c>
      <c r="S4">
        <f t="shared" si="0"/>
        <v>9161.9047619047615</v>
      </c>
      <c r="T4">
        <f t="shared" si="0"/>
        <v>9866.6666666666661</v>
      </c>
      <c r="U4">
        <f t="shared" si="0"/>
        <v>10571.428571428571</v>
      </c>
      <c r="V4">
        <f t="shared" si="0"/>
        <v>11276.190476190475</v>
      </c>
      <c r="W4">
        <f t="shared" si="0"/>
        <v>11980.95238095238</v>
      </c>
      <c r="X4">
        <f t="shared" si="0"/>
        <v>12685.714285714284</v>
      </c>
      <c r="Y4">
        <f t="shared" si="0"/>
        <v>13390.476190476189</v>
      </c>
      <c r="Z4">
        <f t="shared" si="0"/>
        <v>14095.238095238094</v>
      </c>
      <c r="AA4">
        <f>portfolio_input!C10*1000</f>
        <v>14800</v>
      </c>
    </row>
    <row r="5" spans="1:27" x14ac:dyDescent="0.2">
      <c r="A5" t="s">
        <v>4</v>
      </c>
      <c r="B5" t="s">
        <v>4</v>
      </c>
      <c r="C5" t="s">
        <v>66</v>
      </c>
      <c r="D5" t="s">
        <v>1</v>
      </c>
      <c r="E5" t="s">
        <v>62</v>
      </c>
      <c r="F5" t="s">
        <v>63</v>
      </c>
      <c r="G5" s="18">
        <f t="shared" si="1"/>
        <v>47.61904761904762</v>
      </c>
      <c r="H5">
        <f t="shared" si="2"/>
        <v>95.238095238095241</v>
      </c>
      <c r="I5">
        <f t="shared" si="0"/>
        <v>142.85714285714286</v>
      </c>
      <c r="J5">
        <f t="shared" si="0"/>
        <v>190.47619047619048</v>
      </c>
      <c r="K5">
        <f t="shared" si="0"/>
        <v>238.0952380952381</v>
      </c>
      <c r="L5">
        <f t="shared" si="0"/>
        <v>285.71428571428572</v>
      </c>
      <c r="M5">
        <f t="shared" si="0"/>
        <v>333.33333333333337</v>
      </c>
      <c r="N5">
        <f t="shared" si="0"/>
        <v>380.95238095238096</v>
      </c>
      <c r="O5">
        <f t="shared" si="0"/>
        <v>428.57142857142856</v>
      </c>
      <c r="P5">
        <f t="shared" si="0"/>
        <v>476.19047619047615</v>
      </c>
      <c r="Q5">
        <f t="shared" si="0"/>
        <v>523.80952380952374</v>
      </c>
      <c r="R5">
        <f t="shared" si="0"/>
        <v>571.42857142857133</v>
      </c>
      <c r="S5">
        <f t="shared" si="0"/>
        <v>619.04761904761892</v>
      </c>
      <c r="T5">
        <f t="shared" si="0"/>
        <v>666.66666666666652</v>
      </c>
      <c r="U5">
        <f t="shared" si="0"/>
        <v>714.28571428571411</v>
      </c>
      <c r="V5">
        <f t="shared" si="0"/>
        <v>761.9047619047617</v>
      </c>
      <c r="W5">
        <f t="shared" si="0"/>
        <v>809.52380952380929</v>
      </c>
      <c r="X5">
        <f t="shared" si="0"/>
        <v>857.14285714285688</v>
      </c>
      <c r="Y5">
        <f t="shared" si="0"/>
        <v>904.76190476190447</v>
      </c>
      <c r="Z5">
        <f t="shared" si="0"/>
        <v>952.38095238095207</v>
      </c>
      <c r="AA5">
        <f>portfolio_input!C11*1000</f>
        <v>1000</v>
      </c>
    </row>
    <row r="6" spans="1:27" x14ac:dyDescent="0.2">
      <c r="A6" t="s">
        <v>6</v>
      </c>
      <c r="B6" t="s">
        <v>6</v>
      </c>
      <c r="C6" t="s">
        <v>67</v>
      </c>
      <c r="D6" t="s">
        <v>1</v>
      </c>
      <c r="E6" t="s">
        <v>62</v>
      </c>
      <c r="F6" t="s">
        <v>63</v>
      </c>
      <c r="G6" s="18">
        <f t="shared" si="1"/>
        <v>1.0056196391600118</v>
      </c>
      <c r="H6">
        <f t="shared" si="2"/>
        <v>2.0112392783200237</v>
      </c>
      <c r="I6">
        <f t="shared" si="0"/>
        <v>3.0168589174800355</v>
      </c>
      <c r="J6">
        <f t="shared" si="0"/>
        <v>4.0224785566400474</v>
      </c>
      <c r="K6">
        <f t="shared" si="0"/>
        <v>5.0280981958000588</v>
      </c>
      <c r="L6">
        <f t="shared" si="0"/>
        <v>6.0337178349600702</v>
      </c>
      <c r="M6">
        <f t="shared" si="0"/>
        <v>7.0393374741200816</v>
      </c>
      <c r="N6">
        <f t="shared" si="0"/>
        <v>8.044957113280093</v>
      </c>
      <c r="O6">
        <f t="shared" si="0"/>
        <v>9.0505767524401044</v>
      </c>
      <c r="P6">
        <f t="shared" si="0"/>
        <v>10.056196391600116</v>
      </c>
      <c r="Q6">
        <f t="shared" si="0"/>
        <v>11.061816030760127</v>
      </c>
      <c r="R6">
        <f t="shared" si="0"/>
        <v>12.067435669920139</v>
      </c>
      <c r="S6">
        <f t="shared" si="0"/>
        <v>13.07305530908015</v>
      </c>
      <c r="T6">
        <f t="shared" si="0"/>
        <v>14.078674948240161</v>
      </c>
      <c r="U6">
        <f t="shared" si="0"/>
        <v>15.084294587400173</v>
      </c>
      <c r="V6">
        <f t="shared" si="0"/>
        <v>16.089914226560186</v>
      </c>
      <c r="W6">
        <f t="shared" si="0"/>
        <v>17.095533865720199</v>
      </c>
      <c r="X6">
        <f t="shared" si="0"/>
        <v>18.101153504880212</v>
      </c>
      <c r="Y6">
        <f t="shared" si="0"/>
        <v>19.106773144040226</v>
      </c>
      <c r="Z6">
        <f t="shared" si="0"/>
        <v>20.112392783200239</v>
      </c>
      <c r="AA6">
        <f>portfolio_input!C12*1000</f>
        <v>21.118012422360248</v>
      </c>
    </row>
    <row r="7" spans="1:27" x14ac:dyDescent="0.2">
      <c r="A7" t="s">
        <v>5</v>
      </c>
      <c r="B7" t="s">
        <v>5</v>
      </c>
      <c r="C7" t="s">
        <v>67</v>
      </c>
      <c r="D7" t="s">
        <v>1</v>
      </c>
      <c r="E7" t="s">
        <v>62</v>
      </c>
      <c r="F7" t="s">
        <v>63</v>
      </c>
      <c r="G7" s="18">
        <f t="shared" si="1"/>
        <v>0.16563146997929609</v>
      </c>
      <c r="H7">
        <f t="shared" si="2"/>
        <v>0.33126293995859218</v>
      </c>
      <c r="I7">
        <f t="shared" si="0"/>
        <v>0.49689440993788825</v>
      </c>
      <c r="J7">
        <f t="shared" si="0"/>
        <v>0.66252587991718437</v>
      </c>
      <c r="K7">
        <f t="shared" si="0"/>
        <v>0.82815734989648049</v>
      </c>
      <c r="L7">
        <f t="shared" si="0"/>
        <v>0.99378881987577661</v>
      </c>
      <c r="M7">
        <f t="shared" si="0"/>
        <v>1.1594202898550727</v>
      </c>
      <c r="N7">
        <f t="shared" si="0"/>
        <v>1.3250517598343687</v>
      </c>
      <c r="O7">
        <f t="shared" si="0"/>
        <v>1.4906832298136647</v>
      </c>
      <c r="P7">
        <f t="shared" si="0"/>
        <v>1.6563146997929608</v>
      </c>
      <c r="Q7">
        <f t="shared" si="0"/>
        <v>1.8219461697722568</v>
      </c>
      <c r="R7">
        <f t="shared" si="0"/>
        <v>1.9875776397515528</v>
      </c>
      <c r="S7">
        <f t="shared" si="0"/>
        <v>2.1532091097308488</v>
      </c>
      <c r="T7">
        <f t="shared" si="0"/>
        <v>2.318840579710145</v>
      </c>
      <c r="U7">
        <f t="shared" si="0"/>
        <v>2.4844720496894412</v>
      </c>
      <c r="V7">
        <f t="shared" si="0"/>
        <v>2.6501035196687375</v>
      </c>
      <c r="W7">
        <f t="shared" si="0"/>
        <v>2.8157349896480337</v>
      </c>
      <c r="X7">
        <f t="shared" si="0"/>
        <v>2.9813664596273299</v>
      </c>
      <c r="Y7">
        <f t="shared" si="0"/>
        <v>3.1469979296066262</v>
      </c>
      <c r="Z7">
        <f t="shared" si="0"/>
        <v>3.3126293995859224</v>
      </c>
      <c r="AA7">
        <f>portfolio_input!C13*1000</f>
        <v>3.4782608695652177</v>
      </c>
    </row>
    <row r="8" spans="1:27" x14ac:dyDescent="0.2">
      <c r="A8" t="s">
        <v>11</v>
      </c>
      <c r="B8" t="s">
        <v>11</v>
      </c>
      <c r="C8" t="s">
        <v>84</v>
      </c>
      <c r="D8" t="s">
        <v>1</v>
      </c>
      <c r="E8" t="s">
        <v>62</v>
      </c>
      <c r="F8" t="s">
        <v>63</v>
      </c>
      <c r="G8" s="18">
        <f t="shared" si="1"/>
        <v>0.7098491570541261</v>
      </c>
      <c r="H8">
        <f t="shared" si="2"/>
        <v>1.4196983141082522</v>
      </c>
      <c r="I8">
        <f t="shared" si="0"/>
        <v>2.1295474711623781</v>
      </c>
      <c r="J8">
        <f t="shared" si="0"/>
        <v>2.8393966282165044</v>
      </c>
      <c r="K8">
        <f t="shared" si="0"/>
        <v>3.5492457852706307</v>
      </c>
      <c r="L8">
        <f t="shared" si="0"/>
        <v>4.259094942324757</v>
      </c>
      <c r="M8">
        <f t="shared" si="0"/>
        <v>4.9689440993788834</v>
      </c>
      <c r="N8">
        <f t="shared" si="0"/>
        <v>5.6787932564330097</v>
      </c>
      <c r="O8">
        <f t="shared" si="0"/>
        <v>6.388642413487136</v>
      </c>
      <c r="P8">
        <f t="shared" si="0"/>
        <v>7.0984915705412623</v>
      </c>
      <c r="Q8">
        <f t="shared" si="0"/>
        <v>7.8083407275953887</v>
      </c>
      <c r="R8">
        <f t="shared" si="0"/>
        <v>8.5181898846495141</v>
      </c>
      <c r="S8">
        <f t="shared" si="0"/>
        <v>9.2280390417036404</v>
      </c>
      <c r="T8">
        <f t="shared" si="0"/>
        <v>9.9378881987577667</v>
      </c>
      <c r="U8">
        <f t="shared" si="0"/>
        <v>10.647737355811893</v>
      </c>
      <c r="V8">
        <f t="shared" si="0"/>
        <v>11.357586512866019</v>
      </c>
      <c r="W8">
        <f t="shared" si="0"/>
        <v>12.067435669920146</v>
      </c>
      <c r="X8">
        <f t="shared" si="0"/>
        <v>12.777284826974272</v>
      </c>
      <c r="Y8">
        <f t="shared" si="0"/>
        <v>13.487133984028398</v>
      </c>
      <c r="Z8">
        <f t="shared" si="0"/>
        <v>14.196983141082525</v>
      </c>
      <c r="AA8">
        <f>portfolio_input!C14*1000</f>
        <v>14.906832298136647</v>
      </c>
    </row>
    <row r="9" spans="1:27" x14ac:dyDescent="0.2">
      <c r="A9" t="s">
        <v>13</v>
      </c>
      <c r="B9" t="s">
        <v>13</v>
      </c>
      <c r="C9" t="s">
        <v>84</v>
      </c>
      <c r="D9" t="s">
        <v>1</v>
      </c>
      <c r="E9" t="s">
        <v>62</v>
      </c>
      <c r="F9" t="s">
        <v>63</v>
      </c>
      <c r="G9" s="18">
        <f t="shared" si="1"/>
        <v>2.3661638568470866E-2</v>
      </c>
      <c r="H9">
        <f t="shared" si="2"/>
        <v>4.7323277136941733E-2</v>
      </c>
      <c r="I9">
        <f t="shared" si="2"/>
        <v>7.0984915705412599E-2</v>
      </c>
      <c r="J9">
        <f t="shared" si="2"/>
        <v>9.4646554273883465E-2</v>
      </c>
      <c r="K9">
        <f t="shared" si="2"/>
        <v>0.11830819284235433</v>
      </c>
      <c r="L9">
        <f t="shared" si="2"/>
        <v>0.1419698314108252</v>
      </c>
      <c r="M9">
        <f t="shared" si="2"/>
        <v>0.16563146997929606</v>
      </c>
      <c r="N9">
        <f t="shared" si="2"/>
        <v>0.18929310854776693</v>
      </c>
      <c r="O9">
        <f t="shared" si="2"/>
        <v>0.2129547471162378</v>
      </c>
      <c r="P9">
        <f t="shared" si="2"/>
        <v>0.23661638568470866</v>
      </c>
      <c r="Q9">
        <f t="shared" si="2"/>
        <v>0.26027802425317953</v>
      </c>
      <c r="R9">
        <f t="shared" si="2"/>
        <v>0.2839396628216504</v>
      </c>
      <c r="S9">
        <f t="shared" si="2"/>
        <v>0.30760130139012126</v>
      </c>
      <c r="T9">
        <f t="shared" si="2"/>
        <v>0.33126293995859213</v>
      </c>
      <c r="U9">
        <f t="shared" si="2"/>
        <v>0.35492457852706299</v>
      </c>
      <c r="V9">
        <f t="shared" si="2"/>
        <v>0.37858621709553386</v>
      </c>
      <c r="W9">
        <f t="shared" si="2"/>
        <v>0.40224785566400473</v>
      </c>
      <c r="X9">
        <f t="shared" si="0"/>
        <v>0.42590949423247559</v>
      </c>
      <c r="Y9">
        <f t="shared" si="0"/>
        <v>0.44957113280094646</v>
      </c>
      <c r="Z9">
        <f t="shared" si="0"/>
        <v>0.47323277136941733</v>
      </c>
      <c r="AA9">
        <f>portfolio_input!C15*1000</f>
        <v>0.49689440993788819</v>
      </c>
    </row>
    <row r="10" spans="1:27" x14ac:dyDescent="0.2">
      <c r="A10" t="s">
        <v>0</v>
      </c>
      <c r="B10" t="s">
        <v>0</v>
      </c>
      <c r="C10" t="s">
        <v>68</v>
      </c>
      <c r="D10" t="s">
        <v>8</v>
      </c>
      <c r="E10" t="s">
        <v>9</v>
      </c>
      <c r="F10" t="s">
        <v>69</v>
      </c>
      <c r="G10" s="18">
        <f t="shared" ref="G10:G20" si="4">AA10/21</f>
        <v>14761.904761904761</v>
      </c>
      <c r="H10">
        <f t="shared" si="3"/>
        <v>29523.809523809523</v>
      </c>
      <c r="I10">
        <f t="shared" si="0"/>
        <v>44285.714285714283</v>
      </c>
      <c r="J10">
        <f t="shared" si="0"/>
        <v>59047.619047619046</v>
      </c>
      <c r="K10">
        <f t="shared" si="0"/>
        <v>73809.523809523802</v>
      </c>
      <c r="L10">
        <f t="shared" si="0"/>
        <v>88571.428571428565</v>
      </c>
      <c r="M10">
        <f t="shared" si="0"/>
        <v>103333.33333333333</v>
      </c>
      <c r="N10">
        <f t="shared" si="0"/>
        <v>118095.23809523809</v>
      </c>
      <c r="O10">
        <f t="shared" si="0"/>
        <v>132857.14285714284</v>
      </c>
      <c r="P10">
        <f t="shared" si="0"/>
        <v>147619.0476190476</v>
      </c>
      <c r="Q10">
        <f t="shared" si="0"/>
        <v>162380.95238095237</v>
      </c>
      <c r="R10">
        <f t="shared" si="0"/>
        <v>177142.85714285713</v>
      </c>
      <c r="S10">
        <f t="shared" si="0"/>
        <v>191904.76190476189</v>
      </c>
      <c r="T10">
        <f t="shared" si="0"/>
        <v>206666.66666666666</v>
      </c>
      <c r="U10">
        <f t="shared" si="0"/>
        <v>221428.57142857142</v>
      </c>
      <c r="V10">
        <f t="shared" si="0"/>
        <v>236190.47619047618</v>
      </c>
      <c r="W10">
        <f t="shared" si="0"/>
        <v>250952.38095238095</v>
      </c>
      <c r="X10">
        <f t="shared" si="0"/>
        <v>265714.28571428568</v>
      </c>
      <c r="Y10">
        <f t="shared" si="0"/>
        <v>280476.19047619042</v>
      </c>
      <c r="Z10">
        <f t="shared" si="0"/>
        <v>295238.09523809515</v>
      </c>
      <c r="AA10" s="18">
        <f>portfolio_input!C16</f>
        <v>310000</v>
      </c>
    </row>
    <row r="11" spans="1:27" x14ac:dyDescent="0.2">
      <c r="A11" t="s">
        <v>10</v>
      </c>
      <c r="B11" t="s">
        <v>10</v>
      </c>
      <c r="C11" t="s">
        <v>70</v>
      </c>
      <c r="D11" t="s">
        <v>8</v>
      </c>
      <c r="E11" t="s">
        <v>9</v>
      </c>
      <c r="F11" t="s">
        <v>69</v>
      </c>
      <c r="G11" s="18">
        <f t="shared" ref="G11:G14" si="5">AA11/21</f>
        <v>523.80952380952385</v>
      </c>
      <c r="H11">
        <f t="shared" ref="H11:H14" si="6">$AA11/21+G11</f>
        <v>1047.6190476190477</v>
      </c>
      <c r="I11">
        <f t="shared" si="0"/>
        <v>1571.4285714285716</v>
      </c>
      <c r="J11">
        <f t="shared" si="0"/>
        <v>2095.2380952380954</v>
      </c>
      <c r="K11">
        <f t="shared" si="0"/>
        <v>2619.0476190476193</v>
      </c>
      <c r="L11">
        <f t="shared" si="0"/>
        <v>3142.8571428571431</v>
      </c>
      <c r="M11">
        <f t="shared" si="0"/>
        <v>3666.666666666667</v>
      </c>
      <c r="N11">
        <f t="shared" si="0"/>
        <v>4190.4761904761908</v>
      </c>
      <c r="O11">
        <f t="shared" si="0"/>
        <v>4714.2857142857147</v>
      </c>
      <c r="P11">
        <f t="shared" si="0"/>
        <v>5238.0952380952385</v>
      </c>
      <c r="Q11">
        <f t="shared" si="0"/>
        <v>5761.9047619047624</v>
      </c>
      <c r="R11">
        <f t="shared" si="0"/>
        <v>6285.7142857142862</v>
      </c>
      <c r="S11">
        <f t="shared" si="0"/>
        <v>6809.5238095238101</v>
      </c>
      <c r="T11">
        <f t="shared" si="0"/>
        <v>7333.3333333333339</v>
      </c>
      <c r="U11">
        <f t="shared" si="0"/>
        <v>7857.1428571428578</v>
      </c>
      <c r="V11">
        <f t="shared" si="0"/>
        <v>8380.9523809523816</v>
      </c>
      <c r="W11">
        <f t="shared" si="0"/>
        <v>8904.7619047619046</v>
      </c>
      <c r="X11">
        <f t="shared" si="0"/>
        <v>9428.5714285714275</v>
      </c>
      <c r="Y11">
        <f t="shared" si="0"/>
        <v>9952.3809523809505</v>
      </c>
      <c r="Z11">
        <f t="shared" si="0"/>
        <v>10476.190476190473</v>
      </c>
      <c r="AA11" s="18">
        <f>portfolio_input!C17</f>
        <v>11000</v>
      </c>
    </row>
    <row r="12" spans="1:27" x14ac:dyDescent="0.2">
      <c r="A12" t="s">
        <v>6</v>
      </c>
      <c r="B12" t="s">
        <v>6</v>
      </c>
      <c r="C12" t="s">
        <v>71</v>
      </c>
      <c r="D12" t="s">
        <v>8</v>
      </c>
      <c r="E12" t="s">
        <v>9</v>
      </c>
      <c r="F12" t="s">
        <v>69</v>
      </c>
      <c r="G12" s="18">
        <f t="shared" si="5"/>
        <v>3993.0890216824801</v>
      </c>
      <c r="H12">
        <f t="shared" si="6"/>
        <v>7986.1780433649601</v>
      </c>
      <c r="I12">
        <f t="shared" si="0"/>
        <v>11979.267065047439</v>
      </c>
      <c r="J12">
        <f t="shared" si="0"/>
        <v>15972.35608672992</v>
      </c>
      <c r="K12">
        <f t="shared" si="0"/>
        <v>19965.445108412401</v>
      </c>
      <c r="L12">
        <f t="shared" si="0"/>
        <v>23958.534130094882</v>
      </c>
      <c r="M12">
        <f t="shared" si="0"/>
        <v>27951.623151777363</v>
      </c>
      <c r="N12">
        <f t="shared" si="0"/>
        <v>31944.712173459844</v>
      </c>
      <c r="O12">
        <f t="shared" si="0"/>
        <v>35937.801195142325</v>
      </c>
      <c r="P12">
        <f t="shared" si="0"/>
        <v>39930.890216824802</v>
      </c>
      <c r="Q12">
        <f t="shared" si="0"/>
        <v>43923.97923850728</v>
      </c>
      <c r="R12">
        <f t="shared" si="0"/>
        <v>47917.068260189757</v>
      </c>
      <c r="S12">
        <f t="shared" si="0"/>
        <v>51910.157281872234</v>
      </c>
      <c r="T12">
        <f t="shared" si="0"/>
        <v>55903.246303554712</v>
      </c>
      <c r="U12">
        <f t="shared" si="0"/>
        <v>59896.335325237189</v>
      </c>
      <c r="V12">
        <f t="shared" si="0"/>
        <v>63889.424346919666</v>
      </c>
      <c r="W12">
        <f t="shared" si="0"/>
        <v>67882.513368602144</v>
      </c>
      <c r="X12">
        <f t="shared" si="0"/>
        <v>71875.602390284621</v>
      </c>
      <c r="Y12">
        <f t="shared" si="0"/>
        <v>75868.691411967098</v>
      </c>
      <c r="Z12">
        <f t="shared" si="0"/>
        <v>79861.780433649576</v>
      </c>
      <c r="AA12" s="18">
        <f>portfolio_input!C18</f>
        <v>83854.869455332082</v>
      </c>
    </row>
    <row r="13" spans="1:27" x14ac:dyDescent="0.2">
      <c r="A13" t="s">
        <v>5</v>
      </c>
      <c r="B13" t="s">
        <v>5</v>
      </c>
      <c r="C13" t="s">
        <v>71</v>
      </c>
      <c r="D13" t="s">
        <v>8</v>
      </c>
      <c r="E13" t="s">
        <v>9</v>
      </c>
      <c r="F13" t="s">
        <v>69</v>
      </c>
      <c r="G13" s="18">
        <f t="shared" si="5"/>
        <v>657.68525063005563</v>
      </c>
      <c r="H13">
        <f t="shared" si="6"/>
        <v>1315.3705012601113</v>
      </c>
      <c r="I13">
        <f t="shared" si="0"/>
        <v>1973.0557518901669</v>
      </c>
      <c r="J13">
        <f t="shared" si="0"/>
        <v>2630.7410025202225</v>
      </c>
      <c r="K13">
        <f t="shared" si="0"/>
        <v>3288.4262531502782</v>
      </c>
      <c r="L13">
        <f t="shared" si="0"/>
        <v>3946.1115037803338</v>
      </c>
      <c r="M13">
        <f t="shared" si="0"/>
        <v>4603.7967544103894</v>
      </c>
      <c r="N13">
        <f t="shared" si="0"/>
        <v>5261.4820050404451</v>
      </c>
      <c r="O13">
        <f t="shared" si="0"/>
        <v>5919.1672556705007</v>
      </c>
      <c r="P13">
        <f t="shared" si="0"/>
        <v>6576.8525063005563</v>
      </c>
      <c r="Q13">
        <f t="shared" si="0"/>
        <v>7234.537756930612</v>
      </c>
      <c r="R13">
        <f t="shared" si="0"/>
        <v>7892.2230075606676</v>
      </c>
      <c r="S13">
        <f t="shared" si="0"/>
        <v>8549.9082581907242</v>
      </c>
      <c r="T13">
        <f t="shared" si="0"/>
        <v>9207.5935088207807</v>
      </c>
      <c r="U13">
        <f t="shared" si="0"/>
        <v>9865.2787594508372</v>
      </c>
      <c r="V13">
        <f t="shared" si="0"/>
        <v>10522.964010080894</v>
      </c>
      <c r="W13">
        <f t="shared" si="0"/>
        <v>11180.64926071095</v>
      </c>
      <c r="X13">
        <f t="shared" si="0"/>
        <v>11838.334511341007</v>
      </c>
      <c r="Y13">
        <f t="shared" si="0"/>
        <v>12496.019761971063</v>
      </c>
      <c r="Z13">
        <f t="shared" si="0"/>
        <v>13153.70501260112</v>
      </c>
      <c r="AA13" s="18">
        <f>portfolio_input!C19</f>
        <v>13811.390263231167</v>
      </c>
    </row>
    <row r="14" spans="1:27" x14ac:dyDescent="0.2">
      <c r="A14" t="s">
        <v>11</v>
      </c>
      <c r="B14" t="s">
        <v>11</v>
      </c>
      <c r="C14" t="s">
        <v>71</v>
      </c>
      <c r="D14" t="s">
        <v>8</v>
      </c>
      <c r="E14" t="s">
        <v>9</v>
      </c>
      <c r="F14" t="s">
        <v>69</v>
      </c>
      <c r="G14" s="18">
        <f t="shared" si="5"/>
        <v>1893.3795969071944</v>
      </c>
      <c r="H14">
        <f t="shared" si="6"/>
        <v>3786.7591938143887</v>
      </c>
      <c r="I14">
        <f t="shared" si="0"/>
        <v>5680.1387907215831</v>
      </c>
      <c r="J14">
        <f t="shared" si="0"/>
        <v>7573.5183876287774</v>
      </c>
      <c r="K14">
        <f t="shared" si="0"/>
        <v>9466.8979845359718</v>
      </c>
      <c r="L14">
        <f t="shared" si="0"/>
        <v>11360.277581443166</v>
      </c>
      <c r="M14">
        <f t="shared" si="0"/>
        <v>13253.65717835036</v>
      </c>
      <c r="N14">
        <f t="shared" si="0"/>
        <v>15147.036775257555</v>
      </c>
      <c r="O14">
        <f t="shared" si="0"/>
        <v>17040.416372164749</v>
      </c>
      <c r="P14">
        <f t="shared" si="0"/>
        <v>18933.795969071944</v>
      </c>
      <c r="Q14">
        <f t="shared" si="0"/>
        <v>20827.175565979138</v>
      </c>
      <c r="R14">
        <f t="shared" si="0"/>
        <v>22720.555162886332</v>
      </c>
      <c r="S14">
        <f t="shared" si="0"/>
        <v>24613.934759793527</v>
      </c>
      <c r="T14">
        <f t="shared" si="0"/>
        <v>26507.314356700721</v>
      </c>
      <c r="U14">
        <f t="shared" si="0"/>
        <v>28400.693953607915</v>
      </c>
      <c r="V14">
        <f t="shared" si="0"/>
        <v>30294.07355051511</v>
      </c>
      <c r="W14">
        <f t="shared" si="0"/>
        <v>32187.453147422304</v>
      </c>
      <c r="X14">
        <f t="shared" si="0"/>
        <v>34080.832744329498</v>
      </c>
      <c r="Y14">
        <f t="shared" si="0"/>
        <v>35974.212341236693</v>
      </c>
      <c r="Z14">
        <f t="shared" si="0"/>
        <v>37867.591938143887</v>
      </c>
      <c r="AA14" s="18">
        <f>portfolio_input!C20</f>
        <v>39760.971535051081</v>
      </c>
    </row>
    <row r="15" spans="1:27" x14ac:dyDescent="0.2">
      <c r="A15" t="s">
        <v>13</v>
      </c>
      <c r="B15" t="s">
        <v>13</v>
      </c>
      <c r="C15" t="s">
        <v>85</v>
      </c>
      <c r="D15" t="s">
        <v>8</v>
      </c>
      <c r="E15" t="s">
        <v>9</v>
      </c>
      <c r="F15" t="s">
        <v>69</v>
      </c>
      <c r="G15" s="18">
        <f t="shared" si="4"/>
        <v>122.51279744693609</v>
      </c>
      <c r="H15">
        <f t="shared" si="3"/>
        <v>245.02559489387218</v>
      </c>
      <c r="I15">
        <f t="shared" si="0"/>
        <v>367.53839234080829</v>
      </c>
      <c r="J15">
        <f t="shared" si="0"/>
        <v>490.05118978774436</v>
      </c>
      <c r="K15">
        <f t="shared" si="0"/>
        <v>612.56398723468044</v>
      </c>
      <c r="L15">
        <f t="shared" si="0"/>
        <v>735.07678468161657</v>
      </c>
      <c r="M15">
        <f t="shared" si="0"/>
        <v>857.58958212855271</v>
      </c>
      <c r="N15">
        <f t="shared" si="0"/>
        <v>980.10237957548884</v>
      </c>
      <c r="O15">
        <f t="shared" si="0"/>
        <v>1102.6151770224249</v>
      </c>
      <c r="P15">
        <f t="shared" si="0"/>
        <v>1225.1279744693609</v>
      </c>
      <c r="Q15">
        <f t="shared" si="0"/>
        <v>1347.6407719162969</v>
      </c>
      <c r="R15">
        <f t="shared" si="0"/>
        <v>1470.1535693632329</v>
      </c>
      <c r="S15">
        <f t="shared" si="0"/>
        <v>1592.6663668101689</v>
      </c>
      <c r="T15">
        <f t="shared" si="0"/>
        <v>1715.179164257105</v>
      </c>
      <c r="U15">
        <f t="shared" si="0"/>
        <v>1837.691961704041</v>
      </c>
      <c r="V15">
        <f t="shared" si="0"/>
        <v>1960.204759150977</v>
      </c>
      <c r="W15">
        <f t="shared" si="0"/>
        <v>2082.7175565979132</v>
      </c>
      <c r="X15">
        <f t="shared" si="0"/>
        <v>2205.2303540448493</v>
      </c>
      <c r="Y15">
        <f t="shared" si="0"/>
        <v>2327.7431514917853</v>
      </c>
      <c r="Z15">
        <f t="shared" si="0"/>
        <v>2450.2559489387213</v>
      </c>
      <c r="AA15" s="18">
        <f>portfolio_input!C21</f>
        <v>2572.7687463856578</v>
      </c>
    </row>
    <row r="16" spans="1:27" x14ac:dyDescent="0.2">
      <c r="A16" t="s">
        <v>11</v>
      </c>
      <c r="B16" t="s">
        <v>11</v>
      </c>
      <c r="C16" t="s">
        <v>72</v>
      </c>
      <c r="D16" t="s">
        <v>7</v>
      </c>
      <c r="E16" t="s">
        <v>12</v>
      </c>
      <c r="F16" t="s">
        <v>73</v>
      </c>
      <c r="G16" s="18">
        <f t="shared" si="4"/>
        <v>274.72527472527474</v>
      </c>
      <c r="H16">
        <f t="shared" ref="H16:Z16" si="7">$AA16/21+G16</f>
        <v>549.45054945054949</v>
      </c>
      <c r="I16">
        <f t="shared" si="7"/>
        <v>824.17582417582423</v>
      </c>
      <c r="J16">
        <f t="shared" si="7"/>
        <v>1098.901098901099</v>
      </c>
      <c r="K16">
        <f t="shared" si="7"/>
        <v>1373.6263736263736</v>
      </c>
      <c r="L16">
        <f t="shared" si="7"/>
        <v>1648.3516483516482</v>
      </c>
      <c r="M16">
        <f t="shared" si="7"/>
        <v>1923.0769230769229</v>
      </c>
      <c r="N16">
        <f t="shared" si="7"/>
        <v>2197.8021978021975</v>
      </c>
      <c r="O16">
        <f t="shared" si="7"/>
        <v>2472.5274725274721</v>
      </c>
      <c r="P16">
        <f t="shared" si="7"/>
        <v>2747.2527472527468</v>
      </c>
      <c r="Q16">
        <f t="shared" si="7"/>
        <v>3021.9780219780214</v>
      </c>
      <c r="R16">
        <f t="shared" si="7"/>
        <v>3296.703296703296</v>
      </c>
      <c r="S16">
        <f t="shared" si="7"/>
        <v>3571.4285714285706</v>
      </c>
      <c r="T16">
        <f t="shared" si="7"/>
        <v>3846.1538461538453</v>
      </c>
      <c r="U16">
        <f t="shared" si="7"/>
        <v>4120.8791208791199</v>
      </c>
      <c r="V16">
        <f t="shared" si="7"/>
        <v>4395.604395604395</v>
      </c>
      <c r="W16">
        <f t="shared" si="7"/>
        <v>4670.3296703296701</v>
      </c>
      <c r="X16">
        <f t="shared" si="7"/>
        <v>4945.0549450549452</v>
      </c>
      <c r="Y16">
        <f t="shared" si="7"/>
        <v>5219.7802197802202</v>
      </c>
      <c r="Z16">
        <f t="shared" si="7"/>
        <v>5494.5054945054953</v>
      </c>
      <c r="AA16" s="18">
        <f>portfolio_input!C22*1000</f>
        <v>5769.2307692307695</v>
      </c>
    </row>
    <row r="17" spans="1:27" x14ac:dyDescent="0.2">
      <c r="A17" t="s">
        <v>13</v>
      </c>
      <c r="B17" t="s">
        <v>13</v>
      </c>
      <c r="C17" t="s">
        <v>72</v>
      </c>
      <c r="D17" t="s">
        <v>7</v>
      </c>
      <c r="E17" t="s">
        <v>12</v>
      </c>
      <c r="F17" t="s">
        <v>73</v>
      </c>
      <c r="G17" s="18">
        <f t="shared" si="4"/>
        <v>10.989010989010989</v>
      </c>
      <c r="H17">
        <f t="shared" ref="H17:Z17" si="8">$AA17/21+G17</f>
        <v>21.978021978021978</v>
      </c>
      <c r="I17">
        <f t="shared" si="8"/>
        <v>32.967032967032964</v>
      </c>
      <c r="J17">
        <f t="shared" si="8"/>
        <v>43.956043956043956</v>
      </c>
      <c r="K17">
        <f t="shared" si="8"/>
        <v>54.945054945054949</v>
      </c>
      <c r="L17">
        <f t="shared" si="8"/>
        <v>65.934065934065941</v>
      </c>
      <c r="M17">
        <f t="shared" si="8"/>
        <v>76.923076923076934</v>
      </c>
      <c r="N17">
        <f t="shared" si="8"/>
        <v>87.912087912087927</v>
      </c>
      <c r="O17">
        <f t="shared" si="8"/>
        <v>98.901098901098919</v>
      </c>
      <c r="P17">
        <f t="shared" si="8"/>
        <v>109.89010989010991</v>
      </c>
      <c r="Q17">
        <f t="shared" si="8"/>
        <v>120.8791208791209</v>
      </c>
      <c r="R17">
        <f t="shared" si="8"/>
        <v>131.86813186813188</v>
      </c>
      <c r="S17">
        <f t="shared" si="8"/>
        <v>142.85714285714286</v>
      </c>
      <c r="T17">
        <f t="shared" si="8"/>
        <v>153.84615384615384</v>
      </c>
      <c r="U17">
        <f t="shared" si="8"/>
        <v>164.83516483516482</v>
      </c>
      <c r="V17">
        <f t="shared" si="8"/>
        <v>175.8241758241758</v>
      </c>
      <c r="W17">
        <f t="shared" si="8"/>
        <v>186.81318681318677</v>
      </c>
      <c r="X17">
        <f t="shared" si="8"/>
        <v>197.80219780219775</v>
      </c>
      <c r="Y17">
        <f t="shared" si="8"/>
        <v>208.79120879120873</v>
      </c>
      <c r="Z17">
        <f t="shared" si="8"/>
        <v>219.78021978021971</v>
      </c>
      <c r="AA17" s="18">
        <f>portfolio_input!C23*1000</f>
        <v>230.76923076923077</v>
      </c>
    </row>
    <row r="18" spans="1:27" x14ac:dyDescent="0.2">
      <c r="A18" t="s">
        <v>6</v>
      </c>
      <c r="B18" t="s">
        <v>6</v>
      </c>
      <c r="C18" t="s">
        <v>76</v>
      </c>
      <c r="D18" t="s">
        <v>14</v>
      </c>
      <c r="E18" t="s">
        <v>15</v>
      </c>
      <c r="F18" t="s">
        <v>75</v>
      </c>
      <c r="G18" s="18">
        <f t="shared" si="4"/>
        <v>4.0816326530612246</v>
      </c>
      <c r="H18">
        <f t="shared" ref="H18:Z18" si="9">$AA18/21+G18</f>
        <v>8.1632653061224492</v>
      </c>
      <c r="I18">
        <f t="shared" si="9"/>
        <v>12.244897959183675</v>
      </c>
      <c r="J18">
        <f t="shared" si="9"/>
        <v>16.326530612244898</v>
      </c>
      <c r="K18">
        <f t="shared" si="9"/>
        <v>20.408163265306122</v>
      </c>
      <c r="L18">
        <f t="shared" si="9"/>
        <v>24.489795918367346</v>
      </c>
      <c r="M18">
        <f t="shared" si="9"/>
        <v>28.571428571428569</v>
      </c>
      <c r="N18">
        <f t="shared" si="9"/>
        <v>32.653061224489797</v>
      </c>
      <c r="O18">
        <f t="shared" si="9"/>
        <v>36.734693877551024</v>
      </c>
      <c r="P18">
        <f t="shared" si="9"/>
        <v>40.816326530612251</v>
      </c>
      <c r="Q18">
        <f t="shared" si="9"/>
        <v>44.897959183673478</v>
      </c>
      <c r="R18">
        <f t="shared" si="9"/>
        <v>48.979591836734706</v>
      </c>
      <c r="S18">
        <f t="shared" si="9"/>
        <v>53.061224489795933</v>
      </c>
      <c r="T18">
        <f t="shared" si="9"/>
        <v>57.14285714285716</v>
      </c>
      <c r="U18">
        <f t="shared" si="9"/>
        <v>61.224489795918387</v>
      </c>
      <c r="V18">
        <f t="shared" si="9"/>
        <v>65.306122448979607</v>
      </c>
      <c r="W18">
        <f t="shared" si="9"/>
        <v>69.387755102040828</v>
      </c>
      <c r="X18">
        <f t="shared" si="9"/>
        <v>73.469387755102048</v>
      </c>
      <c r="Y18">
        <f t="shared" si="9"/>
        <v>77.551020408163268</v>
      </c>
      <c r="Z18">
        <f t="shared" si="9"/>
        <v>81.632653061224488</v>
      </c>
      <c r="AA18">
        <f>portfolio_input!C24</f>
        <v>85.714285714285708</v>
      </c>
    </row>
    <row r="19" spans="1:27" x14ac:dyDescent="0.2">
      <c r="A19" t="s">
        <v>5</v>
      </c>
      <c r="B19" t="s">
        <v>5</v>
      </c>
      <c r="C19" t="s">
        <v>76</v>
      </c>
      <c r="D19" t="s">
        <v>14</v>
      </c>
      <c r="E19" t="s">
        <v>15</v>
      </c>
      <c r="F19" t="s">
        <v>75</v>
      </c>
      <c r="G19" s="18">
        <f t="shared" si="4"/>
        <v>0.68027210884353739</v>
      </c>
      <c r="H19">
        <f t="shared" ref="H19:Z19" si="10">$AA19/21+G19</f>
        <v>1.3605442176870748</v>
      </c>
      <c r="I19">
        <f t="shared" si="10"/>
        <v>2.0408163265306123</v>
      </c>
      <c r="J19">
        <f t="shared" si="10"/>
        <v>2.7210884353741496</v>
      </c>
      <c r="K19">
        <f t="shared" si="10"/>
        <v>3.4013605442176869</v>
      </c>
      <c r="L19">
        <f t="shared" si="10"/>
        <v>4.0816326530612246</v>
      </c>
      <c r="M19">
        <f t="shared" si="10"/>
        <v>4.7619047619047619</v>
      </c>
      <c r="N19">
        <f t="shared" si="10"/>
        <v>5.4421768707482991</v>
      </c>
      <c r="O19">
        <f t="shared" si="10"/>
        <v>6.1224489795918364</v>
      </c>
      <c r="P19">
        <f t="shared" si="10"/>
        <v>6.8027210884353737</v>
      </c>
      <c r="Q19">
        <f t="shared" si="10"/>
        <v>7.482993197278911</v>
      </c>
      <c r="R19">
        <f t="shared" si="10"/>
        <v>8.1632653061224492</v>
      </c>
      <c r="S19">
        <f t="shared" si="10"/>
        <v>8.8435374149659864</v>
      </c>
      <c r="T19">
        <f t="shared" si="10"/>
        <v>9.5238095238095237</v>
      </c>
      <c r="U19">
        <f t="shared" si="10"/>
        <v>10.204081632653061</v>
      </c>
      <c r="V19">
        <f t="shared" si="10"/>
        <v>10.884353741496598</v>
      </c>
      <c r="W19">
        <f t="shared" si="10"/>
        <v>11.564625850340136</v>
      </c>
      <c r="X19">
        <f t="shared" si="10"/>
        <v>12.244897959183673</v>
      </c>
      <c r="Y19">
        <f t="shared" si="10"/>
        <v>12.92517006802721</v>
      </c>
      <c r="Z19">
        <f t="shared" si="10"/>
        <v>13.605442176870747</v>
      </c>
      <c r="AA19">
        <f>portfolio_input!C25</f>
        <v>14.285714285714285</v>
      </c>
    </row>
    <row r="20" spans="1:27" x14ac:dyDescent="0.2">
      <c r="A20" t="s">
        <v>52</v>
      </c>
      <c r="B20" s="22" t="s">
        <v>98</v>
      </c>
      <c r="C20" t="s">
        <v>74</v>
      </c>
      <c r="D20" t="s">
        <v>14</v>
      </c>
      <c r="E20" t="s">
        <v>15</v>
      </c>
      <c r="F20" t="s">
        <v>75</v>
      </c>
      <c r="G20" s="18">
        <f t="shared" si="4"/>
        <v>0.23809523809523808</v>
      </c>
      <c r="H20">
        <f t="shared" ref="H20:Z20" si="11">$AA20/21+G20</f>
        <v>0.47619047619047616</v>
      </c>
      <c r="I20">
        <f t="shared" si="11"/>
        <v>0.71428571428571419</v>
      </c>
      <c r="J20">
        <f t="shared" si="11"/>
        <v>0.95238095238095233</v>
      </c>
      <c r="K20">
        <f t="shared" si="11"/>
        <v>1.1904761904761905</v>
      </c>
      <c r="L20">
        <f t="shared" si="11"/>
        <v>1.4285714285714286</v>
      </c>
      <c r="M20">
        <f t="shared" si="11"/>
        <v>1.6666666666666667</v>
      </c>
      <c r="N20">
        <f t="shared" si="11"/>
        <v>1.9047619047619049</v>
      </c>
      <c r="O20">
        <f t="shared" si="11"/>
        <v>2.1428571428571428</v>
      </c>
      <c r="P20">
        <f t="shared" si="11"/>
        <v>2.3809523809523809</v>
      </c>
      <c r="Q20">
        <f t="shared" si="11"/>
        <v>2.6190476190476191</v>
      </c>
      <c r="R20">
        <f t="shared" si="11"/>
        <v>2.8571428571428572</v>
      </c>
      <c r="S20">
        <f t="shared" si="11"/>
        <v>3.0952380952380953</v>
      </c>
      <c r="T20">
        <f t="shared" si="11"/>
        <v>3.3333333333333335</v>
      </c>
      <c r="U20">
        <f t="shared" si="11"/>
        <v>3.5714285714285716</v>
      </c>
      <c r="V20">
        <f t="shared" si="11"/>
        <v>3.8095238095238098</v>
      </c>
      <c r="W20">
        <f t="shared" si="11"/>
        <v>4.0476190476190474</v>
      </c>
      <c r="X20">
        <f t="shared" si="11"/>
        <v>4.2857142857142856</v>
      </c>
      <c r="Y20">
        <f t="shared" si="11"/>
        <v>4.5238095238095237</v>
      </c>
      <c r="Z20">
        <f t="shared" si="11"/>
        <v>4.7619047619047619</v>
      </c>
      <c r="AA20">
        <f>portfolio_input!C26</f>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02D73-9F74-D647-9FC8-5951743D164F}">
  <dimension ref="A1:W8"/>
  <sheetViews>
    <sheetView workbookViewId="0">
      <selection activeCell="T15" sqref="T15"/>
    </sheetView>
  </sheetViews>
  <sheetFormatPr baseColWidth="10" defaultRowHeight="16" x14ac:dyDescent="0.2"/>
  <cols>
    <col min="1" max="1" width="39.83203125" customWidth="1"/>
    <col min="2" max="2" width="25.33203125" customWidth="1"/>
  </cols>
  <sheetData>
    <row r="1" spans="1:23" x14ac:dyDescent="0.2">
      <c r="A1" s="23" t="s">
        <v>58</v>
      </c>
      <c r="B1" s="23" t="s">
        <v>78</v>
      </c>
      <c r="C1" s="23">
        <v>2025</v>
      </c>
      <c r="D1" s="23">
        <v>2026</v>
      </c>
      <c r="E1" s="23">
        <v>2027</v>
      </c>
      <c r="F1" s="23">
        <v>2028</v>
      </c>
      <c r="G1" s="23">
        <v>2029</v>
      </c>
      <c r="H1" s="23">
        <v>2030</v>
      </c>
      <c r="I1" s="23">
        <v>2031</v>
      </c>
      <c r="J1" s="23">
        <v>2032</v>
      </c>
      <c r="K1" s="23">
        <v>2033</v>
      </c>
      <c r="L1" s="23">
        <v>2034</v>
      </c>
      <c r="M1" s="23">
        <v>2035</v>
      </c>
      <c r="N1" s="23">
        <v>2036</v>
      </c>
      <c r="O1" s="23">
        <v>2037</v>
      </c>
      <c r="P1" s="23">
        <v>2038</v>
      </c>
      <c r="Q1" s="23">
        <v>2039</v>
      </c>
      <c r="R1" s="23">
        <v>2040</v>
      </c>
      <c r="S1" s="23">
        <v>2041</v>
      </c>
      <c r="T1" s="23">
        <v>2042</v>
      </c>
      <c r="U1" s="23">
        <v>2043</v>
      </c>
      <c r="V1" s="23">
        <v>2044</v>
      </c>
      <c r="W1" s="23">
        <v>2045</v>
      </c>
    </row>
    <row r="2" spans="1:23" x14ac:dyDescent="0.2">
      <c r="A2" s="23" t="s">
        <v>1</v>
      </c>
      <c r="B2" s="23" t="s">
        <v>79</v>
      </c>
      <c r="C2" s="23">
        <v>1</v>
      </c>
      <c r="D2" s="23">
        <v>1</v>
      </c>
      <c r="E2" s="23">
        <v>1</v>
      </c>
      <c r="F2" s="23">
        <v>1</v>
      </c>
      <c r="G2" s="23">
        <v>1</v>
      </c>
      <c r="H2" s="23">
        <v>1</v>
      </c>
      <c r="I2" s="23">
        <v>1</v>
      </c>
      <c r="J2" s="23">
        <v>1</v>
      </c>
      <c r="K2" s="23">
        <v>1</v>
      </c>
      <c r="L2" s="23">
        <v>1</v>
      </c>
      <c r="M2" s="23">
        <v>1</v>
      </c>
      <c r="N2" s="23">
        <v>1</v>
      </c>
      <c r="O2" s="23">
        <v>1</v>
      </c>
      <c r="P2" s="23">
        <v>1</v>
      </c>
      <c r="Q2" s="23">
        <v>1</v>
      </c>
      <c r="R2" s="23">
        <v>1</v>
      </c>
      <c r="S2" s="23">
        <v>1</v>
      </c>
      <c r="T2" s="23">
        <v>1</v>
      </c>
      <c r="U2" s="23">
        <v>1</v>
      </c>
      <c r="V2" s="23">
        <v>1</v>
      </c>
      <c r="W2" s="23">
        <v>1</v>
      </c>
    </row>
    <row r="3" spans="1:23" x14ac:dyDescent="0.2">
      <c r="A3" s="23" t="s">
        <v>8</v>
      </c>
      <c r="B3" s="23" t="s">
        <v>80</v>
      </c>
      <c r="C3" s="23">
        <v>0.5</v>
      </c>
      <c r="D3" s="23">
        <v>0.5</v>
      </c>
      <c r="E3" s="23">
        <v>0.5</v>
      </c>
      <c r="F3" s="23">
        <v>0.5</v>
      </c>
      <c r="G3" s="23">
        <v>0.5</v>
      </c>
      <c r="H3" s="23">
        <v>0.5</v>
      </c>
      <c r="I3" s="23">
        <v>0.5</v>
      </c>
      <c r="J3" s="23">
        <v>0.5</v>
      </c>
      <c r="K3" s="23">
        <v>0.5</v>
      </c>
      <c r="L3" s="23">
        <v>0.5</v>
      </c>
      <c r="M3" s="23">
        <v>0.5</v>
      </c>
      <c r="N3" s="23">
        <v>0.5</v>
      </c>
      <c r="O3" s="23">
        <v>0.5</v>
      </c>
      <c r="P3" s="23">
        <v>0.5</v>
      </c>
      <c r="Q3" s="23">
        <v>0.5</v>
      </c>
      <c r="R3" s="23">
        <v>0.5</v>
      </c>
      <c r="S3" s="23">
        <v>0.5</v>
      </c>
      <c r="T3" s="23">
        <v>0.5</v>
      </c>
      <c r="U3" s="23">
        <v>0.5</v>
      </c>
      <c r="V3" s="23">
        <v>0.5</v>
      </c>
      <c r="W3" s="23">
        <v>0.5</v>
      </c>
    </row>
    <row r="4" spans="1:23" x14ac:dyDescent="0.2">
      <c r="A4" s="23" t="s">
        <v>8</v>
      </c>
      <c r="B4" s="23" t="s">
        <v>81</v>
      </c>
      <c r="C4" s="23">
        <v>0.5</v>
      </c>
      <c r="D4" s="23">
        <v>0.5</v>
      </c>
      <c r="E4" s="23">
        <v>0.5</v>
      </c>
      <c r="F4" s="23">
        <v>0.5</v>
      </c>
      <c r="G4" s="23">
        <v>0.5</v>
      </c>
      <c r="H4" s="23">
        <v>0.5</v>
      </c>
      <c r="I4" s="23">
        <v>0.5</v>
      </c>
      <c r="J4" s="23">
        <v>0.5</v>
      </c>
      <c r="K4" s="23">
        <v>0.5</v>
      </c>
      <c r="L4" s="23">
        <v>0.5</v>
      </c>
      <c r="M4" s="23">
        <v>0.5</v>
      </c>
      <c r="N4" s="23">
        <v>0.5</v>
      </c>
      <c r="O4" s="23">
        <v>0.5</v>
      </c>
      <c r="P4" s="23">
        <v>0.5</v>
      </c>
      <c r="Q4" s="23">
        <v>0.5</v>
      </c>
      <c r="R4" s="23">
        <v>0.5</v>
      </c>
      <c r="S4" s="23">
        <v>0.5</v>
      </c>
      <c r="T4" s="23">
        <v>0.5</v>
      </c>
      <c r="U4" s="23">
        <v>0.5</v>
      </c>
      <c r="V4" s="23">
        <v>0.5</v>
      </c>
      <c r="W4" s="23">
        <v>0.5</v>
      </c>
    </row>
    <row r="5" spans="1:23" x14ac:dyDescent="0.2">
      <c r="A5" s="23" t="s">
        <v>14</v>
      </c>
      <c r="B5" s="23" t="s">
        <v>83</v>
      </c>
      <c r="C5" s="23">
        <v>1</v>
      </c>
      <c r="D5" s="23">
        <v>1</v>
      </c>
      <c r="E5" s="23">
        <v>1</v>
      </c>
      <c r="F5" s="23">
        <v>1</v>
      </c>
      <c r="G5" s="23">
        <v>1</v>
      </c>
      <c r="H5" s="23">
        <v>1</v>
      </c>
      <c r="I5" s="23">
        <v>1</v>
      </c>
      <c r="J5" s="23">
        <v>1</v>
      </c>
      <c r="K5" s="23">
        <v>1</v>
      </c>
      <c r="L5" s="23">
        <v>1</v>
      </c>
      <c r="M5" s="23">
        <v>1</v>
      </c>
      <c r="N5" s="23">
        <v>1</v>
      </c>
      <c r="O5" s="23">
        <v>1</v>
      </c>
      <c r="P5" s="23">
        <v>1</v>
      </c>
      <c r="Q5" s="23">
        <v>1</v>
      </c>
      <c r="R5" s="23">
        <v>1</v>
      </c>
      <c r="S5" s="23">
        <v>1</v>
      </c>
      <c r="T5" s="23">
        <v>1</v>
      </c>
      <c r="U5" s="23">
        <v>1</v>
      </c>
      <c r="V5" s="23">
        <v>1</v>
      </c>
      <c r="W5" s="23">
        <v>1</v>
      </c>
    </row>
    <row r="6" spans="1:23" x14ac:dyDescent="0.2">
      <c r="A6" t="s">
        <v>7</v>
      </c>
      <c r="B6" t="s">
        <v>1</v>
      </c>
      <c r="C6">
        <v>0</v>
      </c>
      <c r="D6">
        <v>0</v>
      </c>
      <c r="E6">
        <v>0</v>
      </c>
      <c r="F6">
        <v>0</v>
      </c>
      <c r="G6">
        <v>0</v>
      </c>
      <c r="H6">
        <v>0</v>
      </c>
      <c r="I6">
        <v>0</v>
      </c>
      <c r="J6">
        <v>0</v>
      </c>
      <c r="K6">
        <v>0</v>
      </c>
      <c r="L6">
        <v>0</v>
      </c>
      <c r="M6">
        <v>0</v>
      </c>
      <c r="N6">
        <v>0</v>
      </c>
      <c r="O6">
        <v>0</v>
      </c>
      <c r="P6">
        <v>0</v>
      </c>
      <c r="Q6">
        <v>0</v>
      </c>
      <c r="R6">
        <v>0</v>
      </c>
      <c r="S6">
        <v>0</v>
      </c>
      <c r="T6">
        <v>0</v>
      </c>
      <c r="U6">
        <v>0</v>
      </c>
      <c r="V6">
        <v>0</v>
      </c>
      <c r="W6">
        <v>0</v>
      </c>
    </row>
    <row r="7" spans="1:23" x14ac:dyDescent="0.2">
      <c r="A7" t="s">
        <v>7</v>
      </c>
      <c r="B7" t="s">
        <v>8</v>
      </c>
      <c r="C7">
        <v>0</v>
      </c>
      <c r="D7">
        <v>0</v>
      </c>
      <c r="E7">
        <v>0</v>
      </c>
      <c r="F7">
        <v>0</v>
      </c>
      <c r="G7">
        <v>0</v>
      </c>
      <c r="H7">
        <v>0</v>
      </c>
      <c r="I7">
        <v>0</v>
      </c>
      <c r="J7">
        <v>0</v>
      </c>
      <c r="K7">
        <v>0</v>
      </c>
      <c r="L7">
        <v>0</v>
      </c>
      <c r="M7">
        <v>0</v>
      </c>
      <c r="N7">
        <v>0</v>
      </c>
      <c r="O7">
        <v>0</v>
      </c>
      <c r="P7">
        <v>0</v>
      </c>
      <c r="Q7">
        <v>0</v>
      </c>
      <c r="R7">
        <v>0</v>
      </c>
      <c r="S7">
        <v>0</v>
      </c>
      <c r="T7">
        <v>0</v>
      </c>
      <c r="U7">
        <v>0</v>
      </c>
      <c r="V7">
        <v>0</v>
      </c>
      <c r="W7">
        <v>0</v>
      </c>
    </row>
    <row r="8" spans="1:23" x14ac:dyDescent="0.2">
      <c r="A8" t="s">
        <v>7</v>
      </c>
      <c r="B8" t="s">
        <v>82</v>
      </c>
      <c r="C8">
        <v>1</v>
      </c>
      <c r="D8">
        <v>1</v>
      </c>
      <c r="E8">
        <v>1</v>
      </c>
      <c r="F8">
        <v>1</v>
      </c>
      <c r="G8">
        <v>1</v>
      </c>
      <c r="H8">
        <v>1</v>
      </c>
      <c r="I8">
        <v>1</v>
      </c>
      <c r="J8">
        <v>1</v>
      </c>
      <c r="K8">
        <v>1</v>
      </c>
      <c r="L8">
        <v>1</v>
      </c>
      <c r="M8">
        <v>1</v>
      </c>
      <c r="N8">
        <v>1</v>
      </c>
      <c r="O8">
        <v>1</v>
      </c>
      <c r="P8">
        <v>1</v>
      </c>
      <c r="Q8">
        <v>1</v>
      </c>
      <c r="R8">
        <v>1</v>
      </c>
      <c r="S8">
        <v>1</v>
      </c>
      <c r="T8">
        <v>1</v>
      </c>
      <c r="U8">
        <v>1</v>
      </c>
      <c r="V8">
        <v>1</v>
      </c>
      <c r="W8">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D9FC6-402B-8D4F-AF23-A8506C6A96EC}">
  <dimension ref="A1:H36"/>
  <sheetViews>
    <sheetView workbookViewId="0">
      <selection activeCell="C15" sqref="C15:F15"/>
    </sheetView>
  </sheetViews>
  <sheetFormatPr baseColWidth="10" defaultRowHeight="16" x14ac:dyDescent="0.2"/>
  <cols>
    <col min="1" max="2" width="28.1640625" customWidth="1"/>
    <col min="3" max="4" width="16.83203125" customWidth="1"/>
    <col min="5" max="6" width="17.33203125" customWidth="1"/>
  </cols>
  <sheetData>
    <row r="1" spans="1:8" x14ac:dyDescent="0.2">
      <c r="C1" t="s">
        <v>48</v>
      </c>
      <c r="D1" t="s">
        <v>49</v>
      </c>
      <c r="E1" t="s">
        <v>50</v>
      </c>
      <c r="F1" t="s">
        <v>51</v>
      </c>
      <c r="G1" t="s">
        <v>52</v>
      </c>
    </row>
    <row r="2" spans="1:8" x14ac:dyDescent="0.2">
      <c r="A2" t="s">
        <v>45</v>
      </c>
      <c r="C2" s="18">
        <v>653846.15384615387</v>
      </c>
      <c r="D2" s="18">
        <v>107692.3076923077</v>
      </c>
      <c r="E2" s="18">
        <v>310030.39513677813</v>
      </c>
      <c r="F2" s="18">
        <v>20060.790273556231</v>
      </c>
      <c r="H2" s="18">
        <f>SUM(C2:F2)</f>
        <v>1091629.646948796</v>
      </c>
    </row>
    <row r="3" spans="1:8" x14ac:dyDescent="0.2">
      <c r="C3" s="19">
        <f>C2/$H2</f>
        <v>0.59896335325237204</v>
      </c>
      <c r="D3" s="19">
        <f t="shared" ref="D3:F3" si="0">D2/$H2</f>
        <v>9.8652787594508337E-2</v>
      </c>
      <c r="E3" s="19">
        <f t="shared" si="0"/>
        <v>0.28400693953607914</v>
      </c>
      <c r="F3" s="19">
        <f t="shared" si="0"/>
        <v>1.8376919617040414E-2</v>
      </c>
      <c r="H3" s="19">
        <f>SUM(C3:F3)</f>
        <v>1</v>
      </c>
    </row>
    <row r="4" spans="1:8" x14ac:dyDescent="0.2">
      <c r="C4" s="19">
        <f>C2/(C2+D2)</f>
        <v>0.85858585858585856</v>
      </c>
      <c r="D4" s="19">
        <f>1-C4</f>
        <v>0.14141414141414144</v>
      </c>
      <c r="E4" s="19"/>
      <c r="F4" s="19"/>
      <c r="H4" s="19"/>
    </row>
    <row r="5" spans="1:8" x14ac:dyDescent="0.2">
      <c r="A5" t="s">
        <v>46</v>
      </c>
      <c r="C5" t="s">
        <v>44</v>
      </c>
      <c r="D5" t="s">
        <v>44</v>
      </c>
      <c r="E5">
        <v>30</v>
      </c>
      <c r="F5">
        <v>1.2</v>
      </c>
      <c r="H5">
        <v>31.2</v>
      </c>
    </row>
    <row r="6" spans="1:8" x14ac:dyDescent="0.2">
      <c r="E6" s="19">
        <f>E5/$H5</f>
        <v>0.96153846153846156</v>
      </c>
      <c r="F6" s="19">
        <f>F5/$H5</f>
        <v>3.8461538461538464E-2</v>
      </c>
      <c r="H6" s="19">
        <f>SUM(C6:F6)</f>
        <v>1</v>
      </c>
    </row>
    <row r="7" spans="1:8" x14ac:dyDescent="0.2">
      <c r="A7" t="s">
        <v>47</v>
      </c>
      <c r="C7">
        <v>480</v>
      </c>
      <c r="D7">
        <v>80</v>
      </c>
      <c r="E7" t="s">
        <v>44</v>
      </c>
      <c r="F7" t="s">
        <v>44</v>
      </c>
      <c r="G7">
        <v>13</v>
      </c>
      <c r="H7">
        <v>573</v>
      </c>
    </row>
    <row r="8" spans="1:8" x14ac:dyDescent="0.2">
      <c r="C8" s="19">
        <f>C7/$H7</f>
        <v>0.83769633507853403</v>
      </c>
      <c r="D8" s="19">
        <f>D7/$H7</f>
        <v>0.13961605584642234</v>
      </c>
      <c r="G8" s="19">
        <f>G7/$H7</f>
        <v>2.2687609075043629E-2</v>
      </c>
      <c r="H8" s="19">
        <f>SUM(C8:F8)</f>
        <v>0.97731239092495636</v>
      </c>
    </row>
    <row r="9" spans="1:8" x14ac:dyDescent="0.2">
      <c r="C9" s="19">
        <f>C7/(C7+D7)</f>
        <v>0.8571428571428571</v>
      </c>
      <c r="D9" s="19">
        <f>1-C9</f>
        <v>0.1428571428571429</v>
      </c>
      <c r="G9" s="19"/>
      <c r="H9" s="19"/>
    </row>
    <row r="10" spans="1:8" x14ac:dyDescent="0.2">
      <c r="A10" t="s">
        <v>54</v>
      </c>
      <c r="C10">
        <v>0.85</v>
      </c>
      <c r="D10">
        <v>0.14000000000000001</v>
      </c>
      <c r="E10">
        <v>0.6</v>
      </c>
      <c r="F10">
        <v>0.02</v>
      </c>
      <c r="H10">
        <f>SUM(C10:F10)</f>
        <v>1.6099999999999999</v>
      </c>
    </row>
    <row r="11" spans="1:8" x14ac:dyDescent="0.2">
      <c r="C11" s="19">
        <f>C10/$H10</f>
        <v>0.52795031055900621</v>
      </c>
      <c r="D11" s="19">
        <f t="shared" ref="D11:F11" si="1">D10/$H10</f>
        <v>8.6956521739130446E-2</v>
      </c>
      <c r="E11" s="19">
        <f t="shared" si="1"/>
        <v>0.37267080745341619</v>
      </c>
      <c r="F11" s="19">
        <f t="shared" si="1"/>
        <v>1.2422360248447206E-2</v>
      </c>
      <c r="H11" s="19">
        <f>SUM(C11:F11)</f>
        <v>1</v>
      </c>
    </row>
    <row r="12" spans="1:8" x14ac:dyDescent="0.2">
      <c r="A12" s="22"/>
      <c r="B12" s="22"/>
      <c r="C12" s="20"/>
      <c r="D12" s="19"/>
    </row>
    <row r="13" spans="1:8" x14ac:dyDescent="0.2">
      <c r="A13" t="s">
        <v>54</v>
      </c>
      <c r="B13">
        <v>0.04</v>
      </c>
      <c r="C13">
        <f>$B13*C11</f>
        <v>2.1118012422360249E-2</v>
      </c>
      <c r="D13">
        <f t="shared" ref="D13:F13" si="2">$B13*D11</f>
        <v>3.478260869565218E-3</v>
      </c>
      <c r="E13">
        <f t="shared" si="2"/>
        <v>1.4906832298136647E-2</v>
      </c>
      <c r="F13">
        <f t="shared" si="2"/>
        <v>4.9689440993788822E-4</v>
      </c>
    </row>
    <row r="14" spans="1:8" x14ac:dyDescent="0.2">
      <c r="C14">
        <f>B13*C9</f>
        <v>3.4285714285714287E-2</v>
      </c>
      <c r="D14">
        <f>C13*D9</f>
        <v>3.0168589174800367E-3</v>
      </c>
    </row>
    <row r="15" spans="1:8" x14ac:dyDescent="0.2">
      <c r="A15" s="5" t="s">
        <v>53</v>
      </c>
      <c r="B15" s="5">
        <v>140000</v>
      </c>
      <c r="C15">
        <f>$B15*C3</f>
        <v>83854.869455332082</v>
      </c>
      <c r="D15">
        <f t="shared" ref="D15:F15" si="3">$B15*D3</f>
        <v>13811.390263231167</v>
      </c>
      <c r="E15">
        <f t="shared" si="3"/>
        <v>39760.971535051081</v>
      </c>
      <c r="F15">
        <f t="shared" si="3"/>
        <v>2572.7687463856578</v>
      </c>
    </row>
    <row r="16" spans="1:8" x14ac:dyDescent="0.2">
      <c r="A16" s="5"/>
      <c r="B16" s="5"/>
      <c r="C16">
        <f>B15*C4</f>
        <v>120202.0202020202</v>
      </c>
      <c r="D16">
        <f>B15*D4</f>
        <v>19797.979797979802</v>
      </c>
    </row>
    <row r="17" spans="1:8" x14ac:dyDescent="0.2">
      <c r="A17" t="s">
        <v>86</v>
      </c>
      <c r="B17">
        <v>6</v>
      </c>
      <c r="E17">
        <f>$B17*E6</f>
        <v>5.7692307692307692</v>
      </c>
      <c r="F17">
        <f>$B17*F6</f>
        <v>0.23076923076923078</v>
      </c>
    </row>
    <row r="18" spans="1:8" x14ac:dyDescent="0.2">
      <c r="A18" t="s">
        <v>87</v>
      </c>
      <c r="B18">
        <v>100</v>
      </c>
      <c r="C18">
        <f>$B18*C9</f>
        <v>85.714285714285708</v>
      </c>
      <c r="D18">
        <f>$B18*D9</f>
        <v>14.28571428571429</v>
      </c>
    </row>
    <row r="22" spans="1:8" x14ac:dyDescent="0.2">
      <c r="C22" s="18"/>
      <c r="D22" s="18"/>
      <c r="E22" s="18"/>
      <c r="F22" s="18"/>
      <c r="H22" s="18"/>
    </row>
    <row r="23" spans="1:8" x14ac:dyDescent="0.2">
      <c r="C23" s="19"/>
      <c r="D23" s="19"/>
      <c r="E23" s="19"/>
      <c r="F23" s="19"/>
      <c r="H23" s="19"/>
    </row>
    <row r="24" spans="1:8" x14ac:dyDescent="0.2">
      <c r="C24" s="19"/>
      <c r="D24" s="19"/>
      <c r="E24" s="19"/>
      <c r="F24" s="19"/>
      <c r="H24" s="19"/>
    </row>
    <row r="25" spans="1:8" x14ac:dyDescent="0.2">
      <c r="C25" s="19"/>
      <c r="D25" s="19"/>
      <c r="E25" s="19"/>
      <c r="F25" s="19"/>
      <c r="H25" s="19"/>
    </row>
    <row r="27" spans="1:8" x14ac:dyDescent="0.2">
      <c r="E27" s="19"/>
      <c r="F27" s="19"/>
      <c r="H27" s="19"/>
    </row>
    <row r="29" spans="1:8" x14ac:dyDescent="0.2">
      <c r="C29" s="19"/>
      <c r="D29" s="19"/>
      <c r="G29" s="19"/>
      <c r="H29" s="19"/>
    </row>
    <row r="31" spans="1:8" x14ac:dyDescent="0.2">
      <c r="C31" s="19"/>
      <c r="D31" s="19"/>
      <c r="E31" s="19"/>
      <c r="F31" s="19"/>
      <c r="H31" s="19"/>
    </row>
    <row r="32" spans="1:8" x14ac:dyDescent="0.2">
      <c r="C32" s="19"/>
      <c r="D32" s="19"/>
      <c r="E32" s="19"/>
      <c r="F32" s="19"/>
      <c r="H32" s="19"/>
    </row>
    <row r="33" spans="1:8" x14ac:dyDescent="0.2">
      <c r="C33" s="19"/>
      <c r="D33" s="19"/>
      <c r="E33" s="19"/>
      <c r="F33" s="19"/>
      <c r="H33" s="19"/>
    </row>
    <row r="34" spans="1:8" x14ac:dyDescent="0.2">
      <c r="A34" s="22"/>
      <c r="B34" s="22"/>
      <c r="C34" s="20"/>
      <c r="D34" s="19"/>
    </row>
    <row r="36" spans="1:8" x14ac:dyDescent="0.2">
      <c r="A36" s="5"/>
      <c r="B36"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portfolio_input</vt:lpstr>
      <vt:lpstr>portfolio_metadata</vt:lpstr>
      <vt:lpstr>feedstock_to_commodity</vt:lpstr>
      <vt:lpstr>commodity_to_use</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Nidhi Kalra</dc:creator>
  <cp:lastModifiedBy>Nidhi Kalra</cp:lastModifiedBy>
  <dcterms:created xsi:type="dcterms:W3CDTF">2024-01-24T17:53:46Z</dcterms:created>
  <dcterms:modified xsi:type="dcterms:W3CDTF">2024-02-06T02:17:45Z</dcterms:modified>
</cp:coreProperties>
</file>