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randus-my.sharepoint.com/personal/jrojasa_rand_org/Documents/Documents/GitHub/SJV-/"/>
    </mc:Choice>
  </mc:AlternateContent>
  <xr:revisionPtr revIDLastSave="4" documentId="8_{62220E08-C2ED-41A5-9FBC-567386EE189D}" xr6:coauthVersionLast="47" xr6:coauthVersionMax="47" xr10:uidLastSave="{14FDAAB1-F8B4-418F-A791-11A1E1A22D37}"/>
  <bookViews>
    <workbookView xWindow="14310" yWindow="-16470" windowWidth="29040" windowHeight="15840" tabRatio="622" firstSheet="2" activeTab="8" xr2:uid="{4DD06761-560B-AB45-B502-623564D836E8}"/>
  </bookViews>
  <sheets>
    <sheet name="F2C Conversion" sheetId="22" r:id="rId1"/>
    <sheet name="F2C Land" sheetId="14" r:id="rId2"/>
    <sheet name="F2C CI" sheetId="12" r:id="rId3"/>
    <sheet name="C2U UO Adjustment" sheetId="17" r:id="rId4"/>
    <sheet name="C2U CI" sheetId="10" r:id="rId5"/>
    <sheet name="F2C Water" sheetId="13" r:id="rId6"/>
    <sheet name="F2C Jobs" sheetId="23" r:id="rId7"/>
    <sheet name="Job_IndustryWeights" sheetId="26" r:id="rId8"/>
    <sheet name="Emissions" sheetId="24" r:id="rId9"/>
    <sheet name="Commodity Prices" sheetId="25" r:id="rId10"/>
    <sheet name="F2C Jobs old" sheetId="11" r:id="rId11"/>
    <sheet name="Infrastructure" sheetId="19" r:id="rId12"/>
    <sheet name="Unit Conversion" sheetId="18" r:id="rId13"/>
    <sheet name="Conversion" sheetId="15" r:id="rId14"/>
    <sheet name="Feedstock to Commodity Buildout" sheetId="7" r:id="rId15"/>
    <sheet name="Commodity to Use Buildout" sheetId="8" r:id="rId16"/>
    <sheet name="F2C_ver2" sheetId="20" r:id="rId17"/>
    <sheet name="Commodity To Use Matrix" sheetId="6" r:id="rId18"/>
    <sheet name="table from Julia (to be deleted" sheetId="16" r:id="rId19"/>
    <sheet name="Feedstock to Commodity Matrix" sheetId="4" r:id="rId20"/>
  </sheets>
  <definedNames>
    <definedName name="_xlnm._FilterDatabase" localSheetId="4" hidden="1">'C2U CI'!$A$1:$AA$16</definedName>
    <definedName name="_xlnm._FilterDatabase" localSheetId="2" hidden="1">'F2C CI'!$A$1:$J$61</definedName>
    <definedName name="_xlnm._FilterDatabase" localSheetId="0" hidden="1">'F2C Conversion'!$A$1:$Q$1</definedName>
    <definedName name="_xlnm._FilterDatabase" localSheetId="6" hidden="1">'F2C Jobs'!$A$1:$O$58</definedName>
    <definedName name="_xlnm._FilterDatabase" localSheetId="10" hidden="1">'F2C Jobs old'!$A$1:$J$13</definedName>
    <definedName name="_xlnm._FilterDatabase" localSheetId="1" hidden="1">'F2C Land'!$A$1:$K$19</definedName>
    <definedName name="_xlnm._FilterDatabase" localSheetId="5" hidden="1">'F2C Water'!$A$1:$L$41</definedName>
    <definedName name="_xlnm._FilterDatabase" localSheetId="12" hidden="1">'Unit Conversion'!$A$1:$AK$1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5" i="13" l="1"/>
  <c r="F14" i="13"/>
  <c r="E13" i="15"/>
  <c r="E14" i="15"/>
  <c r="E15" i="15"/>
  <c r="E16" i="15"/>
  <c r="E17" i="15"/>
  <c r="E18" i="15"/>
  <c r="E19" i="15"/>
  <c r="F12" i="15"/>
  <c r="G12" i="15"/>
  <c r="H12" i="15"/>
  <c r="I12" i="15"/>
  <c r="J12" i="15"/>
  <c r="K12" i="15"/>
  <c r="L12" i="15"/>
  <c r="M12" i="15"/>
  <c r="N12" i="15"/>
  <c r="O12" i="15"/>
  <c r="P12" i="15"/>
  <c r="Q12" i="15"/>
  <c r="R12" i="15"/>
  <c r="S12" i="15"/>
  <c r="T12" i="15"/>
  <c r="U12" i="15"/>
  <c r="V12" i="15"/>
  <c r="W12" i="15"/>
  <c r="X12" i="15"/>
  <c r="Y12" i="15"/>
  <c r="E12" i="15"/>
  <c r="U2" i="26"/>
  <c r="U3" i="26"/>
  <c r="U4" i="26"/>
  <c r="U5" i="26"/>
  <c r="U6" i="26"/>
  <c r="U7" i="26"/>
  <c r="U8" i="26"/>
  <c r="U9" i="26"/>
  <c r="U10" i="26"/>
  <c r="M52" i="23"/>
  <c r="M51" i="23"/>
  <c r="M43" i="23"/>
  <c r="M42" i="23"/>
  <c r="M41" i="23"/>
  <c r="M30" i="23"/>
  <c r="M31" i="23"/>
  <c r="M29" i="23"/>
  <c r="M40" i="23"/>
  <c r="M39" i="23"/>
  <c r="M38" i="23"/>
  <c r="M9" i="23"/>
  <c r="M10" i="23"/>
  <c r="M49" i="23"/>
  <c r="M48" i="23"/>
  <c r="M47" i="23"/>
  <c r="M45" i="23"/>
  <c r="M46" i="23"/>
  <c r="M44" i="23"/>
  <c r="F23" i="25"/>
  <c r="F22" i="25"/>
  <c r="F18" i="25"/>
  <c r="F19" i="25"/>
  <c r="F20" i="25"/>
  <c r="F17" i="25"/>
  <c r="F15" i="25"/>
  <c r="F14" i="25"/>
  <c r="F13" i="25"/>
  <c r="F21" i="25"/>
  <c r="F7" i="25"/>
  <c r="F8" i="25"/>
  <c r="F9" i="25"/>
  <c r="F12" i="25"/>
  <c r="F11" i="25"/>
  <c r="F10" i="25"/>
  <c r="F6" i="25"/>
  <c r="F3" i="25"/>
  <c r="F2" i="25"/>
  <c r="F4" i="25"/>
  <c r="E3" i="24"/>
  <c r="E2" i="24"/>
  <c r="M55" i="23"/>
  <c r="M56" i="23"/>
  <c r="M57" i="23"/>
  <c r="M58" i="23"/>
  <c r="M54" i="23"/>
  <c r="M53" i="23"/>
  <c r="M50" i="23"/>
  <c r="M37" i="23"/>
  <c r="M36" i="23"/>
  <c r="M35" i="23"/>
  <c r="M34" i="23"/>
  <c r="M33" i="23"/>
  <c r="M32" i="23"/>
  <c r="M15" i="23"/>
  <c r="M16" i="23"/>
  <c r="M17" i="23"/>
  <c r="M18" i="23"/>
  <c r="M19" i="23"/>
  <c r="M20" i="23"/>
  <c r="M21" i="23"/>
  <c r="M22" i="23"/>
  <c r="M23" i="23"/>
  <c r="M24" i="23"/>
  <c r="M25" i="23"/>
  <c r="M14" i="23"/>
  <c r="M3" i="23"/>
  <c r="M27" i="23" s="1"/>
  <c r="M4" i="23"/>
  <c r="M28" i="23" s="1"/>
  <c r="M5" i="23"/>
  <c r="M6" i="23"/>
  <c r="M7" i="23"/>
  <c r="M8" i="23"/>
  <c r="M2" i="23"/>
  <c r="M26" i="23" s="1"/>
  <c r="O10" i="22" l="1"/>
  <c r="O11" i="22"/>
  <c r="O12" i="22"/>
  <c r="O9" i="22"/>
  <c r="O15" i="22"/>
  <c r="O14" i="22"/>
  <c r="O13" i="22"/>
  <c r="O8" i="22"/>
  <c r="O7" i="22"/>
  <c r="O5" i="22"/>
  <c r="O4" i="22"/>
  <c r="O3" i="22"/>
  <c r="O2" i="22"/>
  <c r="H15" i="10" l="1"/>
  <c r="H16" i="10" s="1"/>
  <c r="I15" i="10"/>
  <c r="I16" i="10" s="1"/>
  <c r="J15" i="10"/>
  <c r="J16" i="10" s="1"/>
  <c r="K15" i="10"/>
  <c r="K16" i="10" s="1"/>
  <c r="L15" i="10"/>
  <c r="M15" i="10"/>
  <c r="N15" i="10"/>
  <c r="O15" i="10"/>
  <c r="O16" i="10" s="1"/>
  <c r="P15" i="10"/>
  <c r="P16" i="10" s="1"/>
  <c r="Q15" i="10"/>
  <c r="Q16" i="10" s="1"/>
  <c r="R15" i="10"/>
  <c r="R16" i="10" s="1"/>
  <c r="S15" i="10"/>
  <c r="S16" i="10" s="1"/>
  <c r="T15" i="10"/>
  <c r="U15" i="10"/>
  <c r="U16" i="10" s="1"/>
  <c r="V15" i="10"/>
  <c r="V16" i="10" s="1"/>
  <c r="W15" i="10"/>
  <c r="W16" i="10" s="1"/>
  <c r="X15" i="10"/>
  <c r="X16" i="10" s="1"/>
  <c r="Y15" i="10"/>
  <c r="Y16" i="10" s="1"/>
  <c r="Z15" i="10"/>
  <c r="Z16" i="10" s="1"/>
  <c r="AA15" i="10"/>
  <c r="L16" i="10"/>
  <c r="M16" i="10"/>
  <c r="N16" i="10"/>
  <c r="T16" i="10"/>
  <c r="AA16" i="10"/>
  <c r="G15" i="10"/>
  <c r="G16" i="10" s="1"/>
  <c r="H9" i="10" l="1"/>
  <c r="H10" i="10" s="1"/>
  <c r="I9" i="10"/>
  <c r="I10" i="10" s="1"/>
  <c r="J9" i="10"/>
  <c r="J10" i="10" s="1"/>
  <c r="K9" i="10"/>
  <c r="K10" i="10" s="1"/>
  <c r="L9" i="10"/>
  <c r="L10" i="10" s="1"/>
  <c r="M9" i="10"/>
  <c r="M10" i="10" s="1"/>
  <c r="N9" i="10"/>
  <c r="N10" i="10" s="1"/>
  <c r="O9" i="10"/>
  <c r="O10" i="10" s="1"/>
  <c r="P9" i="10"/>
  <c r="P10" i="10" s="1"/>
  <c r="Q9" i="10"/>
  <c r="Q10" i="10" s="1"/>
  <c r="R9" i="10"/>
  <c r="R10" i="10" s="1"/>
  <c r="S9" i="10"/>
  <c r="S10" i="10" s="1"/>
  <c r="T9" i="10"/>
  <c r="T10" i="10" s="1"/>
  <c r="U9" i="10"/>
  <c r="U10" i="10" s="1"/>
  <c r="V9" i="10"/>
  <c r="V10" i="10" s="1"/>
  <c r="W9" i="10"/>
  <c r="W10" i="10" s="1"/>
  <c r="X9" i="10"/>
  <c r="X10" i="10" s="1"/>
  <c r="Y9" i="10"/>
  <c r="Y10" i="10" s="1"/>
  <c r="Z9" i="10"/>
  <c r="Z10" i="10" s="1"/>
  <c r="AA9" i="10"/>
  <c r="AA10" i="10" s="1"/>
  <c r="G9" i="10"/>
  <c r="G10" i="10" s="1"/>
  <c r="F17" i="22"/>
  <c r="F16" i="22"/>
  <c r="F15" i="22"/>
  <c r="F14" i="22"/>
  <c r="F13" i="22"/>
  <c r="K12" i="22"/>
  <c r="K5" i="22" s="1"/>
  <c r="F12" i="22"/>
  <c r="K11" i="22"/>
  <c r="K4" i="22" s="1"/>
  <c r="F11" i="22"/>
  <c r="K10" i="22"/>
  <c r="F10" i="22"/>
  <c r="K9" i="22"/>
  <c r="F9" i="22"/>
  <c r="K8" i="22"/>
  <c r="F8" i="22"/>
  <c r="K7" i="22"/>
  <c r="F7" i="22"/>
  <c r="K6" i="22"/>
  <c r="F6" i="22"/>
  <c r="F3" i="22"/>
  <c r="F2" i="22"/>
  <c r="G50" i="12" l="1"/>
  <c r="G49" i="12" s="1"/>
  <c r="G30" i="12"/>
  <c r="G29" i="12" s="1"/>
  <c r="G10" i="12"/>
  <c r="G9" i="12" s="1"/>
  <c r="G53" i="12"/>
  <c r="G33" i="12"/>
  <c r="G14" i="12"/>
  <c r="H12" i="10"/>
  <c r="H13" i="10" s="1"/>
  <c r="I12" i="10"/>
  <c r="I13" i="10" s="1"/>
  <c r="J12" i="10"/>
  <c r="J13" i="10" s="1"/>
  <c r="K12" i="10"/>
  <c r="K13" i="10" s="1"/>
  <c r="L12" i="10"/>
  <c r="L13" i="10" s="1"/>
  <c r="M12" i="10"/>
  <c r="M13" i="10" s="1"/>
  <c r="N12" i="10"/>
  <c r="N13" i="10" s="1"/>
  <c r="O12" i="10"/>
  <c r="O13" i="10" s="1"/>
  <c r="P12" i="10"/>
  <c r="P13" i="10" s="1"/>
  <c r="Q12" i="10"/>
  <c r="Q13" i="10" s="1"/>
  <c r="R12" i="10"/>
  <c r="R13" i="10" s="1"/>
  <c r="S12" i="10"/>
  <c r="S13" i="10" s="1"/>
  <c r="T12" i="10"/>
  <c r="T13" i="10" s="1"/>
  <c r="U12" i="10"/>
  <c r="U13" i="10" s="1"/>
  <c r="V12" i="10"/>
  <c r="V13" i="10" s="1"/>
  <c r="W12" i="10"/>
  <c r="W13" i="10" s="1"/>
  <c r="X12" i="10"/>
  <c r="X13" i="10" s="1"/>
  <c r="Y12" i="10"/>
  <c r="Y13" i="10" s="1"/>
  <c r="Z12" i="10"/>
  <c r="Z13" i="10" s="1"/>
  <c r="AA12" i="10"/>
  <c r="AA13" i="10" s="1"/>
  <c r="G12" i="10"/>
  <c r="G13" i="10" s="1"/>
  <c r="E19" i="18" l="1"/>
  <c r="E18" i="18"/>
  <c r="G18" i="14" l="1"/>
  <c r="G12" i="14"/>
  <c r="E11" i="18"/>
  <c r="E9" i="18"/>
  <c r="E8" i="18"/>
  <c r="E12" i="18" l="1"/>
  <c r="E13" i="18"/>
  <c r="H13" i="13" l="1"/>
  <c r="E3" i="18" l="1"/>
  <c r="E4" i="18"/>
  <c r="E7" i="18"/>
  <c r="E5" i="18"/>
  <c r="E6" i="18"/>
  <c r="E10" i="18"/>
  <c r="E14" i="18"/>
  <c r="E15" i="18"/>
  <c r="E16" i="18"/>
  <c r="E17" i="18"/>
  <c r="E2" i="18"/>
  <c r="H32" i="13" l="1"/>
  <c r="H31" i="13"/>
  <c r="F31" i="13" s="1"/>
  <c r="H23" i="13"/>
  <c r="F23" i="13" s="1"/>
  <c r="F12" i="13"/>
  <c r="F13" i="13" s="1"/>
  <c r="F11" i="13"/>
  <c r="F3" i="13"/>
  <c r="F32" i="13" l="1"/>
  <c r="F33" i="13" s="1"/>
  <c r="H33" i="13"/>
  <c r="I12" i="14"/>
  <c r="I9" i="14" s="1"/>
  <c r="I16" i="14"/>
  <c r="I15" i="14"/>
  <c r="G15" i="14"/>
  <c r="I14" i="14"/>
  <c r="G14" i="14"/>
  <c r="G9" i="14"/>
  <c r="I8" i="14"/>
  <c r="G8" i="14"/>
  <c r="G2" i="14"/>
  <c r="G3" i="14"/>
  <c r="I3" i="14"/>
  <c r="I2" i="14"/>
</calcChain>
</file>

<file path=xl/sharedStrings.xml><?xml version="1.0" encoding="utf-8"?>
<sst xmlns="http://schemas.openxmlformats.org/spreadsheetml/2006/main" count="2775" uniqueCount="399">
  <si>
    <t>Feedstock</t>
  </si>
  <si>
    <t>Commodity</t>
  </si>
  <si>
    <t>Variable Category</t>
  </si>
  <si>
    <t>Variable Subcategory</t>
  </si>
  <si>
    <t>Uncertainty Range Category</t>
  </si>
  <si>
    <t>Variable Unit</t>
  </si>
  <si>
    <t>Value</t>
  </si>
  <si>
    <t>Natural Unit</t>
  </si>
  <si>
    <t>Natural Value</t>
  </si>
  <si>
    <t>Notes</t>
  </si>
  <si>
    <t>Citations</t>
  </si>
  <si>
    <t>Solar</t>
  </si>
  <si>
    <t>Electricity</t>
  </si>
  <si>
    <t>Land</t>
  </si>
  <si>
    <t>Land Impacted</t>
  </si>
  <si>
    <t>Nominal</t>
  </si>
  <si>
    <t>acres</t>
  </si>
  <si>
    <t>acres/MW</t>
  </si>
  <si>
    <t>80% direct vs. total LAND</t>
  </si>
  <si>
    <t>Hydrogen</t>
  </si>
  <si>
    <t>51.3kWh to produce 1 kg H2, 30% capacity factor is assumed</t>
  </si>
  <si>
    <t>Connelly, Elizabeth, Michael Penev, Anelia Milbrandt, Billy Roberts, Marc W. Melaina, and Nicholas Gilroy. "Resource assessment for hydrogen production." (2020).</t>
  </si>
  <si>
    <t>Wind</t>
  </si>
  <si>
    <t>Land Consumed</t>
  </si>
  <si>
    <t>Low</t>
  </si>
  <si>
    <t>for fixed tilt</t>
  </si>
  <si>
    <t>High</t>
  </si>
  <si>
    <t>for tracking</t>
  </si>
  <si>
    <t>Energy Unit</t>
  </si>
  <si>
    <t>Energy Value</t>
  </si>
  <si>
    <t>Carbon Intensity</t>
  </si>
  <si>
    <t>F2C Carbon Intensity</t>
  </si>
  <si>
    <t>gCO2e/MJ</t>
  </si>
  <si>
    <t>120 MJ per kg H2</t>
  </si>
  <si>
    <t>Li Battery</t>
  </si>
  <si>
    <t>LDES</t>
  </si>
  <si>
    <t>Forest waste</t>
  </si>
  <si>
    <t>Agricultural waste</t>
  </si>
  <si>
    <t>Biomethane</t>
  </si>
  <si>
    <t>C2C Carbon Intensity</t>
  </si>
  <si>
    <t>Natural Gas + CCS</t>
  </si>
  <si>
    <t>1.23 kg CO2e per kg H2 (Poplar Wood Gasification, https://hypec.gti.energy/)</t>
  </si>
  <si>
    <t>Diverted Organic Waste</t>
  </si>
  <si>
    <t>Animal Manure</t>
  </si>
  <si>
    <t>1.09e-6 EJ per mcf</t>
  </si>
  <si>
    <t>Plant Oil</t>
  </si>
  <si>
    <t>Sustainable Aviation Fuel</t>
  </si>
  <si>
    <t>0.000142 EJ per MGal</t>
  </si>
  <si>
    <t>Animal Fat</t>
  </si>
  <si>
    <t>https://theicct.org/wp-content/uploads/2023/11/ID-37-%E2%80%93-SAF-Grand-Challenge-white-paper-letter-40036-v3.pdf</t>
  </si>
  <si>
    <t>Use</t>
  </si>
  <si>
    <t>Compared to</t>
  </si>
  <si>
    <t>Useful Output Unit</t>
  </si>
  <si>
    <t>Adjustment Factor</t>
  </si>
  <si>
    <t>Reference</t>
  </si>
  <si>
    <t>Gas Grid</t>
  </si>
  <si>
    <t>Natural Gas</t>
  </si>
  <si>
    <t>MCF</t>
  </si>
  <si>
    <t>Average Grid Electricity</t>
  </si>
  <si>
    <t>MWh</t>
  </si>
  <si>
    <t>Power Grid</t>
  </si>
  <si>
    <t>Vehicle Fuel</t>
  </si>
  <si>
    <t>Gasoline</t>
  </si>
  <si>
    <t>VMT</t>
  </si>
  <si>
    <t>CARB Low Carbon Fuel Standard (LCFS) Energy Economy Ratio (EER), https://ww2.arb.ca.gov/sites/default/files/2020-09/lcfsguidance_20-04.pdf</t>
  </si>
  <si>
    <t>Ammonia</t>
  </si>
  <si>
    <t>tons of Ammonia</t>
  </si>
  <si>
    <t>Aviation Fuel</t>
  </si>
  <si>
    <t>Jet Fuel</t>
  </si>
  <si>
    <t>MGAL</t>
  </si>
  <si>
    <t>Fuel Displaced</t>
  </si>
  <si>
    <t>Pipeline Gas</t>
  </si>
  <si>
    <t>Use Carbon Intensity</t>
  </si>
  <si>
    <t>Average Power Grid Mix</t>
  </si>
  <si>
    <t>Diesel</t>
  </si>
  <si>
    <t>Gray Hydrogen</t>
  </si>
  <si>
    <t>Conventional Jet Fuel</t>
  </si>
  <si>
    <t>Notes2</t>
  </si>
  <si>
    <t>Citations2</t>
  </si>
  <si>
    <t>Water Quantity</t>
  </si>
  <si>
    <t>Water Consumption</t>
  </si>
  <si>
    <t>acre-feet per year</t>
  </si>
  <si>
    <t>gallon per kg H2-year</t>
  </si>
  <si>
    <t>325851 gallon per acre-feet</t>
  </si>
  <si>
    <t>Water Withdrawal</t>
  </si>
  <si>
    <t>gallon per year</t>
  </si>
  <si>
    <t>IRENA 17.5 vs. 25.7 liter per kg h2 for Electrolysis-PEM ( IRENA and Bluerisk (2023), Water for hydrogen production, International Renewable Energy Agency,
Bluerisk, Abu Dhabi, United Arab Emirates. )</t>
  </si>
  <si>
    <t>IRENA 32.2 vs. 36.7 liter per kg h2 for NG SMR with CCUS (IRENA and Bluerisk (2023), Water for hydrogen production, International Renewable Energy Agency,
Bluerisk, Abu Dhabi, United Arab Emirates)</t>
  </si>
  <si>
    <t>IRENA 31 vs. 49.8 liter per kg h2 for coal gasification(IRENA and Bluerisk (2023), Water for hydrogen production, International Renewable Energy Agency,
Bluerisk, Abu Dhabi, United Arab Emirates)</t>
  </si>
  <si>
    <t>Jobs</t>
  </si>
  <si>
    <t>High School - No Training</t>
  </si>
  <si>
    <t># of New Jobs</t>
  </si>
  <si>
    <t>Solar jobs (temporary) vs. h2 production jobs (continous) should be differentiated</t>
  </si>
  <si>
    <t>High School - Long-Term Training</t>
  </si>
  <si>
    <t>Bachelors - No or Some Training</t>
  </si>
  <si>
    <t>Graduate Degree</t>
  </si>
  <si>
    <t>Buildout Rate</t>
  </si>
  <si>
    <t>Unit</t>
  </si>
  <si>
    <t>GW-km per TWH</t>
  </si>
  <si>
    <t>NZA Annex F https://netzeroamerica.princeton.edu/img/NZA%20Annex%20F%20-%20HV%20Transmission.pdf</t>
  </si>
  <si>
    <t>applied to Electric Grid MW for 2035 and beyond?</t>
  </si>
  <si>
    <t>Commodity Unit</t>
  </si>
  <si>
    <t>Unit Code</t>
  </si>
  <si>
    <t>Conversion Factor MJ</t>
  </si>
  <si>
    <t>Unit MJ</t>
  </si>
  <si>
    <t>Conversion Factor EJ</t>
  </si>
  <si>
    <t>C2F Energy Efficiency</t>
  </si>
  <si>
    <t>F2C Production Factor</t>
  </si>
  <si>
    <t>F2C Production Unit</t>
  </si>
  <si>
    <t>Ref</t>
  </si>
  <si>
    <t>Time Dependent Variable Names</t>
  </si>
  <si>
    <t>Megawatts</t>
  </si>
  <si>
    <t>MW</t>
  </si>
  <si>
    <t>MJ per MWh</t>
  </si>
  <si>
    <t>EJ per MWh</t>
  </si>
  <si>
    <t>EffectiveEnergyFactor_MWh_perMW</t>
  </si>
  <si>
    <t>Metric Tons</t>
  </si>
  <si>
    <t>MT</t>
  </si>
  <si>
    <t>MJ per MT</t>
  </si>
  <si>
    <t>EJ per MT</t>
  </si>
  <si>
    <t>MWh per ton H2</t>
  </si>
  <si>
    <t>51.3 kWh to 1 kg H2 https://www.nrel.gov/docs/fy20osti/77198.pdf</t>
  </si>
  <si>
    <t>NREL Study //72.6% GREET Assumptions (https://hypec.gti.energy/server-app/documents/Webtool%20Technical%20Documentation%20-%20v1.02.pdf)</t>
  </si>
  <si>
    <t>MJ per BDT (HHV)</t>
  </si>
  <si>
    <t>NZA Power</t>
  </si>
  <si>
    <t>MCF per 1 ton H2</t>
  </si>
  <si>
    <t>https://www.nrel.gov/docs/fy20osti/77198.pdf</t>
  </si>
  <si>
    <t>https://netl.doe.gov/projects/files/ComparisonofCommercialStateofArtFossilBasedHydrogenProductionTechnologies_041222.pdf   (73% from NREL study https://www.nrel.gov/docs/fy20osti/77198.pdf)</t>
  </si>
  <si>
    <t>bone dry ton biomass to 1 ton H2</t>
  </si>
  <si>
    <t>GREET Assumptions (https://hypec.gti.energy/server-app/documents/Webtool%20Technical%20Documentation%20-%20v1.02.pdf)// 56% NZA Gasification H2 w CC // 48.33% NREL study)</t>
  </si>
  <si>
    <t>Million Cubic Feet</t>
  </si>
  <si>
    <t>MJ per MCF</t>
  </si>
  <si>
    <t>EJ per MCF</t>
  </si>
  <si>
    <t>bone dry ton biomass to 1 MCF of biomethane</t>
  </si>
  <si>
    <t>Million Gallons</t>
  </si>
  <si>
    <t>MGal</t>
  </si>
  <si>
    <t>MJ per MGal</t>
  </si>
  <si>
    <t>EJ per MGal</t>
  </si>
  <si>
    <t>Biomass</t>
  </si>
  <si>
    <t>Wastewater Gas</t>
  </si>
  <si>
    <t>“Primary” Conversion Technology</t>
  </si>
  <si>
    <t>PV</t>
  </si>
  <si>
    <t>Wind turbine</t>
  </si>
  <si>
    <t>Battery Storage</t>
  </si>
  <si>
    <t>Pumped hydro</t>
  </si>
  <si>
    <t>Gasification + Gas Engine</t>
  </si>
  <si>
    <t>Gas Engine</t>
  </si>
  <si>
    <t>PV + Electrolysis</t>
  </si>
  <si>
    <t>SMR + CCS</t>
  </si>
  <si>
    <t>Gasification/ Pyrolysis + Conditioning</t>
  </si>
  <si>
    <t>SMR or ATR (Autothermal Reforming)</t>
  </si>
  <si>
    <t>Anaerobic Digestion + Conditioning</t>
  </si>
  <si>
    <t>Plant Oils</t>
  </si>
  <si>
    <t>HEFA</t>
  </si>
  <si>
    <t>FT-Gasification</t>
  </si>
  <si>
    <t>Aggregated Feedstock</t>
  </si>
  <si>
    <t>Default proportion (%)</t>
  </si>
  <si>
    <t>Product</t>
  </si>
  <si>
    <t>FOG</t>
  </si>
  <si>
    <t>End Use</t>
  </si>
  <si>
    <t>Surface Transport Fuel</t>
  </si>
  <si>
    <t>Air Transport Fuel</t>
  </si>
  <si>
    <t>Green Steel</t>
  </si>
  <si>
    <t>Industrial Heat</t>
  </si>
  <si>
    <t>Soil Amendment</t>
  </si>
  <si>
    <t>Grid</t>
  </si>
  <si>
    <t>Biochar</t>
  </si>
  <si>
    <t>has the potential to be scaled up?</t>
  </si>
  <si>
    <t>Blue Hydrogen</t>
  </si>
  <si>
    <t>Landfill gas</t>
  </si>
  <si>
    <t>Biomethane (NG)</t>
  </si>
  <si>
    <t>Transportation Fuel</t>
  </si>
  <si>
    <t>Y, infrastructure exists</t>
  </si>
  <si>
    <t>Renewable Jet Fuel</t>
  </si>
  <si>
    <t>Wastewater w/ or w/o co-digestion</t>
  </si>
  <si>
    <t>Feedstock for H2</t>
  </si>
  <si>
    <t>Renewable Electricity</t>
  </si>
  <si>
    <t>Dairy manure</t>
  </si>
  <si>
    <t>SAF</t>
  </si>
  <si>
    <t>not sure</t>
  </si>
  <si>
    <t>Green Hydrogen</t>
  </si>
  <si>
    <t>Diverted organic waste (digestible fraction)</t>
  </si>
  <si>
    <t>Diverted organic waste (cellulosic fraction</t>
  </si>
  <si>
    <t>Syngas</t>
  </si>
  <si>
    <t>Electric Generation</t>
  </si>
  <si>
    <t>Biomethane (NG), Feedstock for H2</t>
  </si>
  <si>
    <t>ORGANIC WASTE FEEDSTOCKS</t>
  </si>
  <si>
    <t>PRODUCT</t>
  </si>
  <si>
    <t>COMMODITIES</t>
  </si>
  <si>
    <t>END USES</t>
  </si>
  <si>
    <t>Biogas</t>
  </si>
  <si>
    <t>transportation fuel, feedstock for H2, SAF, pipeline biomethane, electricity generation, long-duration energy storage</t>
  </si>
  <si>
    <t>Maybe? but requires massive buildout</t>
  </si>
  <si>
    <t>1) Biogas and              2) digestate</t>
  </si>
  <si>
    <t>1) Biomethane                       2) compost</t>
  </si>
  <si>
    <t>1) transportation fuel, feedstock for H2, SAF, pipeline biomethane, electricity generation, long-duration energy storage; 2) organic soil amendment</t>
  </si>
  <si>
    <t>Y, technology is commercially ready</t>
  </si>
  <si>
    <t>Prob Yes</t>
  </si>
  <si>
    <t>1) Bio-syngas and          2) biochar</t>
  </si>
  <si>
    <t>1) Bio-syngas or hydrogen      2) biochar</t>
  </si>
  <si>
    <t>1) transportation fuel, feedstock for H2, SAF, pipeline biomethane, electricity generation, long-duration energy storage; 2) carbon sequestration, water filtration, additive to pavement, ink, tires, other industrial purposes</t>
  </si>
  <si>
    <t>*Feedstock to Commodity</t>
  </si>
  <si>
    <t>Commodity1</t>
  </si>
  <si>
    <t>Commodity2</t>
  </si>
  <si>
    <t>Nidhi Priority</t>
  </si>
  <si>
    <t>Explanation of Priority</t>
  </si>
  <si>
    <t>Electricity to Hydrogen</t>
  </si>
  <si>
    <t>Li-Battery</t>
  </si>
  <si>
    <t>Electricity (Storage)</t>
  </si>
  <si>
    <t>Natural Gas to Hydrogen</t>
  </si>
  <si>
    <t>Medium on C2</t>
  </si>
  <si>
    <t>Julia included it so it isn't low.. but...</t>
  </si>
  <si>
    <t>*Commodity to Use</t>
  </si>
  <si>
    <t>Displacing</t>
  </si>
  <si>
    <t>Liquid Fuel</t>
  </si>
  <si>
    <t>Steel Making</t>
  </si>
  <si>
    <t>Coking coal</t>
  </si>
  <si>
    <t>No steel in CV, not many plants in CA</t>
  </si>
  <si>
    <t>Medium</t>
  </si>
  <si>
    <t>Broader than steelmaking</t>
  </si>
  <si>
    <t xml:space="preserve">Gray Hydrogen </t>
  </si>
  <si>
    <t>Very High (Nidhi)</t>
  </si>
  <si>
    <t>This is a regionally-relevant use that stakeholders have talked about</t>
  </si>
  <si>
    <t>David, W. "Ammonia: zero-carbon fertiliser, fuel and energy store." Policy Briefing (2020).</t>
  </si>
  <si>
    <t>Mixed Source Generation</t>
  </si>
  <si>
    <t>This is for strage, but given losses, high cost of electrictity, low</t>
  </si>
  <si>
    <t>This is a regionally-relevant use that stakeholders have talked about (HDV relevance)</t>
  </si>
  <si>
    <t>On-site/off-grid use relevant for the region?</t>
  </si>
  <si>
    <t>Transportation use impacts would be calculated based on the change in the transport industry, not change in electricity sector</t>
  </si>
  <si>
    <t>Electric Power</t>
  </si>
  <si>
    <t>*Carbon Capture Technologies</t>
  </si>
  <si>
    <t>Carbon Storage</t>
  </si>
  <si>
    <t>Treat as constraint. This is a TBD given don't know geological resource size</t>
  </si>
  <si>
    <t>Carbon Capture and Storage</t>
  </si>
  <si>
    <t>Direct Air Capture</t>
  </si>
  <si>
    <t>*Infrastructre</t>
  </si>
  <si>
    <t>Pipeline (hydrogen)</t>
  </si>
  <si>
    <t>Transmission (electricity)</t>
  </si>
  <si>
    <t>Very High</t>
  </si>
  <si>
    <t>Feedstocks</t>
  </si>
  <si>
    <t>Sun</t>
  </si>
  <si>
    <t>Landfill Gas</t>
  </si>
  <si>
    <t>Agricultural Residue</t>
  </si>
  <si>
    <t>Organic Municipal Waste</t>
  </si>
  <si>
    <t>Forest Biomass</t>
  </si>
  <si>
    <t>•	Strategic assessment of sustainable aviation fuel production technologies: Yield improvement and cost reduction opportunities - ScienceDirect
•	Techno-economic and resource analysis of hydroprocessed renewable jet fuel | Biotechnology for Biofuels and Bioproducts (springer.com)
•	Life‐cycle analysis of sustainable aviation fuel production through catalytic hydrothermolysis - Chen - 2024 - Biofuels, Bioproducts and Biorefining - Wiley Online Library
•	https://www.sciencedirect.com/science/article/pii/S001623612201451X</t>
  </si>
  <si>
    <t>bone dry ton biomass to 1 Million Gallons of Jet Fuel</t>
  </si>
  <si>
    <t>1 Million Gallon of FOG to 1 Million Gallons of Jet Fuel</t>
  </si>
  <si>
    <t>C2F Energy Conversion Factor</t>
  </si>
  <si>
    <t>C2F Energy Unit</t>
  </si>
  <si>
    <t>0.17 tonne fuel per 1 tonne feedstoock https://theicct.org/wp-content/uploads/2023/11/ID-37-%E2%80%93-SAF-Grand-Challenge-white-paper-letter-40036-v3.pdf</t>
  </si>
  <si>
    <t>0.19 tonne fuel per 1 tonne feedstoock https://theicct.org/wp-content/uploads/2023/11/ID-37-%E2%80%93-SAF-Grand-Challenge-white-paper-letter-40036-v3.pdf</t>
  </si>
  <si>
    <t>167scf to 1 kg h2, https://www.nrel.gov/docs/fy20osti/77198.pdf</t>
  </si>
  <si>
    <t>kg/ton</t>
  </si>
  <si>
    <t>1/10e6 mcf/cf</t>
  </si>
  <si>
    <t>dairy cows to 1 MCF of biomethane</t>
  </si>
  <si>
    <t>MW of electric capacity per 1MCF (64% capacity factor and 50% conversion efficiency)</t>
  </si>
  <si>
    <t>Ammonia Production</t>
  </si>
  <si>
    <t>LCFS Certified Pathways (3.0)</t>
  </si>
  <si>
    <t>(Diverted Organic waste vs. Animal Manure to CNG = 15%)</t>
  </si>
  <si>
    <t>https://www.iea.org/data-and-statistics/charts/comparison-of-the-emissions-intensity-of-different-hydrogen-production-routes-2021</t>
  </si>
  <si>
    <t>Feedstock Unit</t>
  </si>
  <si>
    <t>Commodity Unit / Feedstock Unit</t>
  </si>
  <si>
    <t>Nidhi's Notes</t>
  </si>
  <si>
    <t>Status</t>
  </si>
  <si>
    <t>Million BDT</t>
  </si>
  <si>
    <t>MW/ million BDT of feedstock</t>
  </si>
  <si>
    <t>Many sources indicate that 200,000 BDT --&gt; 20MW, so 1M BDT -&gt; 100 MW --&gt; 100MW/Million BDT</t>
  </si>
  <si>
    <t>Done</t>
  </si>
  <si>
    <t>Million Tons</t>
  </si>
  <si>
    <t>MW/million tons of biogas</t>
  </si>
  <si>
    <t>turning 1M tons of biogas to MCF in the row below, and then 0.025MW/MCF</t>
  </si>
  <si>
    <t>Metric Tons H2 per million cubic feet</t>
  </si>
  <si>
    <t>NREL resource assessment says 167 cf/kg of hydrogen so 167,000 cf per ton of hydrogen = 0.167 mcf /ton hydrogen = 1/0.167 ton/mcf</t>
  </si>
  <si>
    <t>Metric Tons H2 per Million BDT</t>
  </si>
  <si>
    <t>NREL resource assessment says "13 kg bone-dry biomass per kg hydrogen" so 1/13</t>
  </si>
  <si>
    <t>Metric Tons H2 per per million tons of biogas</t>
  </si>
  <si>
    <t>p. 25 says 3.29 kg of biomethane per kg of h2. which means 5.264 kg of biogas per kg of h2, which means 0.19 tons of h2/ton of biogas and 190,000 tons of h2/million tons of biogas https://www.nrel.gov/docs/fy20osti/77198.pdf</t>
  </si>
  <si>
    <t>p. 25 says 3.29 kg of biomethane per kg of h2. which means 5.264 kg of biogas per kg of h2, which means 0.19 tons of h2/ton of biogas https://www.nrel.gov/docs/fy20osti/77198.pdf</t>
  </si>
  <si>
    <t>MCF Biomethane per million tons of biogas</t>
  </si>
  <si>
    <t>NREL Table 12 says 56 billion cubic feet of biogas per 1.9 million tons of biogas, so 56000 * 0.6/ 1.9 mcf of biomethane per million tons of biogas</t>
  </si>
  <si>
    <t>NREL Table 12 says 28 billion cubic feet of biogas per 1 million tons of biogas, so 28000 MCF * 0.6/ 1 MCF of biomethane per million ton of biogas = 16,8000 MCF/million tons of biogas</t>
  </si>
  <si>
    <t>Million Gallons of SAF per Million Tons of FOG</t>
  </si>
  <si>
    <t>Table 3 of SAF Grand Challenge says 0.89 tons SAF/ton of feedstock. 1 ton FOG = 0.89 tons SAF = 890 kg of SAF = 890/(0.8 kg/l) =  1112.5 L = 1112.5L/3.786 gallons/l = 294 gallons of SAF per gallon of FOG</t>
  </si>
  <si>
    <t>Million Gallons of SAF per Million BDT</t>
  </si>
  <si>
    <t>SAF Grand Challenge says 0.17 tons of SAF per ton of ag waste feedstock and there are 330 gallons of SAF per ton, so 0.17*330</t>
  </si>
  <si>
    <t>SAF Grand Challenge says 0.19 tons of SAF per ton of forest feedstock and there are 330 gallons of SAF per ton, so 0.17*330</t>
  </si>
  <si>
    <t>F2C Conversion Factor</t>
  </si>
  <si>
    <t>Input Category</t>
  </si>
  <si>
    <t>Solar/Wind</t>
  </si>
  <si>
    <t>Storage</t>
  </si>
  <si>
    <t>Anaerobic Digestion + Conditioning + Gas Engine</t>
  </si>
  <si>
    <t>Anaerobic Digestion + SMR or ATR (Autothermal Reforming)</t>
  </si>
  <si>
    <t>Fats, Oils, and Greases</t>
  </si>
  <si>
    <t>https://www.icao.int/environmental-protection/CORSIA/Documents/CORSIA_Eligible_Fuels/ICAO%20document%2006%20-%20Default%20Life%20Cycle%20Emissions%20-%20June%202022.pdf</t>
  </si>
  <si>
    <t>Feedstock Energy Conversion (based on LHV)</t>
  </si>
  <si>
    <t>Conversion Unit</t>
  </si>
  <si>
    <t>MJ per million BDT of feedstock</t>
  </si>
  <si>
    <t>assumed that dry ton HHV and LHV are the same. GJ/dry Metric ton biomass (HHV) 19.80 (Net Zero America Study)</t>
  </si>
  <si>
    <t>GJ/dry Metric ton biomass (HHV) 19.80 (Net Zero America Study)</t>
  </si>
  <si>
    <t>MJ per million tons of biogas</t>
  </si>
  <si>
    <t xml:space="preserve">45-75% methane variation means that the energy content of biogas can vary; the lower heating value (LHV) is between 16 megajoules per cubic metre (MJ/m3) and 28 MJ/m3 (IEA) 1.15 kg/m3 density </t>
  </si>
  <si>
    <t>MJ per million cubic feet</t>
  </si>
  <si>
    <t>1 cubic foot of natural gas = 1,036 Btu = 1.093 MJ (EIA)</t>
  </si>
  <si>
    <t>MJ per Million Tons of FOG</t>
  </si>
  <si>
    <t>35-39 MJ per kg</t>
  </si>
  <si>
    <t>Animal Fats</t>
  </si>
  <si>
    <t>Mil Ft3/day</t>
  </si>
  <si>
    <t>Bil. BTU</t>
  </si>
  <si>
    <t>Type of Energy</t>
  </si>
  <si>
    <t>Electrons</t>
  </si>
  <si>
    <t>Molecules</t>
  </si>
  <si>
    <t>Unit Greg</t>
  </si>
  <si>
    <t>Multiplier</t>
  </si>
  <si>
    <t>Technology</t>
  </si>
  <si>
    <t>Utility Solar</t>
  </si>
  <si>
    <t>Direct</t>
  </si>
  <si>
    <t>Indirect</t>
  </si>
  <si>
    <t>Induced</t>
  </si>
  <si>
    <t>Biomass Electric</t>
  </si>
  <si>
    <t>Woody Biomass/Cellulosic Biofuel</t>
  </si>
  <si>
    <t>SMR Hydrogen</t>
  </si>
  <si>
    <t>Other Ethanol/Non-Woody Biomass Fuel</t>
  </si>
  <si>
    <t>Value2</t>
  </si>
  <si>
    <t>Unit2</t>
  </si>
  <si>
    <t>notes</t>
  </si>
  <si>
    <t>Jobs per MW</t>
  </si>
  <si>
    <t>Jobs per MT</t>
  </si>
  <si>
    <t>2.37 metric ton per million cubic feet</t>
  </si>
  <si>
    <t>7.46 metric ton per billion BTU</t>
  </si>
  <si>
    <t>Bil BTUs</t>
  </si>
  <si>
    <t>Jobs per MCF</t>
  </si>
  <si>
    <t>0.965 million CF per 1 billion BTU</t>
  </si>
  <si>
    <t>Jobs per MG</t>
  </si>
  <si>
    <t>0.007 million gallons per 1 billion BTU (EIA Diesel fuel energy conversion)</t>
  </si>
  <si>
    <t xml:space="preserve"> </t>
  </si>
  <si>
    <t>Productivity*</t>
  </si>
  <si>
    <t xml:space="preserve">Connelly, Elizabeth, Michael Penev, Anelia Milbrandt, Billy Roberts, Marc W. Melaina, and Nicholas Gilroy. "Resource assessment for hydrogen production." (2020).  </t>
  </si>
  <si>
    <t>analysis in the field of hydrogen production via biomass gasification, range from 0.31-8.63 kg CO2e /kg H2, with an average of 2.59 kg CO2e /kg H2. https://bof.fire.ca.gov/media/10190/introduction-to-the-hydrogen-market-in-california-draft-for-comment_ada.pdf</t>
  </si>
  <si>
    <t>8.6 kg co2/ kg h2</t>
  </si>
  <si>
    <t>https://bof.fire.ca.gov/media/10190/introduction-to-the-hydrogen-market-in-california-draft-for-comment_ada.pdf</t>
  </si>
  <si>
    <t>Introduction to the Hydrogen Market in California DRAFT for comment</t>
  </si>
  <si>
    <t>NREL resource assessment says "13 kg bone-dry biomass per kg hydrogen"  Melaina 
et al. (2012) reported production efficiency as requiring 13.0 kg bone dry biomass to produce 1 kg 
of hydrogen.</t>
  </si>
  <si>
    <t>0.31 kg co2/ kg h2</t>
  </si>
  <si>
    <t>2.6 kg biomass/ kg H2</t>
  </si>
  <si>
    <t>NOx Emission</t>
  </si>
  <si>
    <t>PM2.5 Emission</t>
  </si>
  <si>
    <t>DRAFT Mobile Emissions Toolkit for Analysis (META)</t>
  </si>
  <si>
    <t>34,752 tons NOx per billion-gallon diesel, 1billion Gallon is 126,832,800,000 MJ</t>
  </si>
  <si>
    <t>gNOx/MJ-diesel</t>
  </si>
  <si>
    <t>343 tons PM2.5 per billion-gallon diesel</t>
  </si>
  <si>
    <t>gPM2.5/MJ-diesel</t>
  </si>
  <si>
    <t>$ per MW</t>
  </si>
  <si>
    <t>$ per MT</t>
  </si>
  <si>
    <t>$ per MCF</t>
  </si>
  <si>
    <t>$ per Mgal</t>
  </si>
  <si>
    <t>reference</t>
  </si>
  <si>
    <t>6.2 cents per kWh, 2,628,000 kWh/MW (30% CF) * 1 $/100 cents</t>
  </si>
  <si>
    <t>$14 per kw-month</t>
  </si>
  <si>
    <t>20 cents per kWh, 6,044,400kWh/MW (69% CF)</t>
  </si>
  <si>
    <t>7.57 $ per kg</t>
  </si>
  <si>
    <t>46 $ per MMBTU, 0.000965 million cf per MMBTU(EIA)</t>
  </si>
  <si>
    <t>$9.4 per gallon</t>
  </si>
  <si>
    <t>3 cents per kWh, 2,628,000 kWh/MW (30% CF) * 1 $/100 cents</t>
  </si>
  <si>
    <t>$9 per kw-month</t>
  </si>
  <si>
    <t>12.8 cents per kWh, 6,044,400kWh/MW (69% CF)</t>
  </si>
  <si>
    <t>$8.3 per gallon</t>
  </si>
  <si>
    <t>45 $ per MMBTU, 0.000965 million cf per MMBTU(EIA)</t>
  </si>
  <si>
    <t>Annual RPS Report to the Legislature – November 2023</t>
  </si>
  <si>
    <t>Annual RPS Report to the Legislature – November 2024</t>
  </si>
  <si>
    <t xml:space="preserve">https://www.cpuc.ca.gov/-/media/cpuc-website/divisions/energy-division/documents/energy-storage/2023-05-31_lumen_energy-storage-procurement-study-report.pdf </t>
  </si>
  <si>
    <t>Platts, part of S&amp;P Global Commodity</t>
  </si>
  <si>
    <t xml:space="preserve">https://theicct.org/wp-content/uploads/2023/05/case-studies-california-rng-outlook-2030-may23.pdf </t>
  </si>
  <si>
    <t xml:space="preserve">Platts (2022) </t>
  </si>
  <si>
    <t>Global Air</t>
  </si>
  <si>
    <t>Gross Revenue</t>
  </si>
  <si>
    <t>0.014 per ton hydrogen annual</t>
  </si>
  <si>
    <t>Biomass Gas (Digestor Gas, Methane) and Biogenic Waste</t>
  </si>
  <si>
    <t>Median Wage</t>
  </si>
  <si>
    <t>SMR hydrogen + solar</t>
  </si>
  <si>
    <t>SMR hydrogen + solar (51.3kWh to produce 1 kg H2, 30% capacity factor is assumed, 123 metric ton per MW solar-year)</t>
  </si>
  <si>
    <t>Agriculture</t>
  </si>
  <si>
    <t>Utilities</t>
  </si>
  <si>
    <t>Other</t>
  </si>
  <si>
    <t>Professional Services</t>
  </si>
  <si>
    <t>Wholesale Trade</t>
  </si>
  <si>
    <t>Manufacturing</t>
  </si>
  <si>
    <t>Construction</t>
  </si>
  <si>
    <t>Total</t>
  </si>
  <si>
    <r>
      <t xml:space="preserve">Utility Solar </t>
    </r>
    <r>
      <rPr>
        <sz val="10"/>
        <color rgb="FFFF0000"/>
        <rFont val="Calibri"/>
        <family val="2"/>
        <scheme val="minor"/>
      </rPr>
      <t>(MW)</t>
    </r>
  </si>
  <si>
    <r>
      <t xml:space="preserve">Wind </t>
    </r>
    <r>
      <rPr>
        <sz val="10"/>
        <color rgb="FFFF0000"/>
        <rFont val="Calibri"/>
        <family val="2"/>
        <scheme val="minor"/>
      </rPr>
      <t>(MW)</t>
    </r>
  </si>
  <si>
    <r>
      <t>Biomass Electric</t>
    </r>
    <r>
      <rPr>
        <sz val="10"/>
        <color rgb="FFFF0000"/>
        <rFont val="Calibri"/>
        <family val="2"/>
        <scheme val="minor"/>
      </rPr>
      <t xml:space="preserve"> (MW)</t>
    </r>
  </si>
  <si>
    <r>
      <t xml:space="preserve">Electric Transmission </t>
    </r>
    <r>
      <rPr>
        <sz val="10"/>
        <color rgb="FFFF0000"/>
        <rFont val="Calibri"/>
        <family val="2"/>
        <scheme val="minor"/>
      </rPr>
      <t>(Miles)</t>
    </r>
  </si>
  <si>
    <r>
      <t xml:space="preserve">Battery Storage </t>
    </r>
    <r>
      <rPr>
        <sz val="10"/>
        <color rgb="FFFF0000"/>
        <rFont val="Calibri"/>
        <family val="2"/>
        <scheme val="minor"/>
      </rPr>
      <t>(MW)</t>
    </r>
  </si>
  <si>
    <r>
      <t xml:space="preserve">Woody Biomass Fuel </t>
    </r>
    <r>
      <rPr>
        <sz val="9"/>
        <color rgb="FFFF0000"/>
        <rFont val="Calibri"/>
        <family val="2"/>
        <scheme val="minor"/>
      </rPr>
      <t>(Bil BTUs)</t>
    </r>
  </si>
  <si>
    <r>
      <t xml:space="preserve">SMR Hydrogen </t>
    </r>
    <r>
      <rPr>
        <sz val="9"/>
        <color rgb="FFFF0000"/>
        <rFont val="Calibri"/>
        <family val="2"/>
        <scheme val="minor"/>
      </rPr>
      <t>(Mil Ft</t>
    </r>
    <r>
      <rPr>
        <vertAlign val="superscript"/>
        <sz val="9"/>
        <color rgb="FFFF0000"/>
        <rFont val="Calibri"/>
        <family val="2"/>
        <scheme val="minor"/>
      </rPr>
      <t>3</t>
    </r>
    <r>
      <rPr>
        <sz val="9"/>
        <color rgb="FFFF0000"/>
        <rFont val="Calibri"/>
        <family val="2"/>
        <scheme val="minor"/>
      </rPr>
      <t>/day)</t>
    </r>
  </si>
  <si>
    <r>
      <t xml:space="preserve">Biomass Gas (digester gas, methane) and Biogenic Waste </t>
    </r>
    <r>
      <rPr>
        <sz val="9"/>
        <color rgb="FFFF0000"/>
        <rFont val="Calibri"/>
        <family val="2"/>
        <scheme val="minor"/>
      </rPr>
      <t>(Bil BTUs)</t>
    </r>
  </si>
  <si>
    <r>
      <t xml:space="preserve">Other Clean Fuel (non-woody biomass, other ethanol) </t>
    </r>
    <r>
      <rPr>
        <sz val="9"/>
        <color rgb="FFFF0000"/>
        <rFont val="Calibri"/>
        <family val="2"/>
        <scheme val="minor"/>
      </rPr>
      <t>(Bil BTUs)</t>
    </r>
  </si>
  <si>
    <t>(delete after checking the weights)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</si>
</sst>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_(* #,##0_);_(* \(#,##0\);_(* &quot;-&quot;??_);_(@_)"/>
    <numFmt numFmtId="165" formatCode="0.000"/>
    <numFmt numFmtId="166" formatCode="0.0000000000"/>
    <numFmt numFmtId="167" formatCode="0.0"/>
    <numFmt numFmtId="168" formatCode="_(* #,##0.0_);_(* \(#,##0.0\);_(* &quot;-&quot;??_);_(@_)"/>
    <numFmt numFmtId="169" formatCode="_(&quot;$&quot;* #,##0_);_(&quot;$&quot;* \(#,##0\);_(&quot;$&quot;* &quot;-&quot;??_);_(@_)"/>
    <numFmt numFmtId="170" formatCode="0.0000"/>
  </numFmts>
  <fonts count="17" x14ac:knownFonts="1">
    <font>
      <sz val="12"/>
      <color theme="1"/>
      <name val="Calibri"/>
      <family val="2"/>
      <scheme val="minor"/>
    </font>
    <font>
      <sz val="11"/>
      <color theme="1"/>
      <name val="Calibri"/>
      <family val="2"/>
      <scheme val="minor"/>
    </font>
    <font>
      <sz val="12"/>
      <color rgb="FF000000"/>
      <name val="Calibri"/>
      <family val="2"/>
      <scheme val="minor"/>
    </font>
    <font>
      <sz val="12"/>
      <color theme="1"/>
      <name val="Calibri"/>
      <family val="2"/>
      <scheme val="minor"/>
    </font>
    <font>
      <sz val="12"/>
      <color rgb="FFFF0000"/>
      <name val="Calibri"/>
      <family val="2"/>
      <scheme val="minor"/>
    </font>
    <font>
      <strike/>
      <sz val="12"/>
      <color theme="1"/>
      <name val="Calibri"/>
      <family val="2"/>
      <scheme val="minor"/>
    </font>
    <font>
      <b/>
      <u/>
      <sz val="12"/>
      <color theme="1"/>
      <name val="Calibri"/>
      <family val="2"/>
      <scheme val="minor"/>
    </font>
    <font>
      <b/>
      <sz val="12"/>
      <color theme="1"/>
      <name val="Calibri"/>
      <family val="2"/>
      <scheme val="minor"/>
    </font>
    <font>
      <sz val="10"/>
      <color rgb="FF222222"/>
      <name val="Arial"/>
      <family val="2"/>
    </font>
    <font>
      <u/>
      <sz val="12"/>
      <color theme="10"/>
      <name val="Calibri"/>
      <family val="2"/>
      <scheme val="minor"/>
    </font>
    <font>
      <sz val="8"/>
      <name val="Calibri"/>
      <family val="2"/>
      <scheme val="minor"/>
    </font>
    <font>
      <sz val="12"/>
      <name val="Calibri"/>
      <family val="2"/>
      <scheme val="minor"/>
    </font>
    <font>
      <b/>
      <sz val="12"/>
      <name val="Calibri"/>
      <family val="2"/>
      <scheme val="minor"/>
    </font>
    <font>
      <sz val="10"/>
      <color rgb="FFFF0000"/>
      <name val="Calibri"/>
      <family val="2"/>
      <scheme val="minor"/>
    </font>
    <font>
      <sz val="9"/>
      <color rgb="FFFF0000"/>
      <name val="Calibri"/>
      <family val="2"/>
      <scheme val="minor"/>
    </font>
    <font>
      <vertAlign val="superscript"/>
      <sz val="9"/>
      <color rgb="FFFF0000"/>
      <name val="Calibri"/>
      <family val="2"/>
      <scheme val="minor"/>
    </font>
    <font>
      <b/>
      <sz val="12"/>
      <color rgb="FFFF0000"/>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6"/>
        <bgColor indexed="64"/>
      </patternFill>
    </fill>
    <fill>
      <patternFill patternType="solid">
        <fgColor theme="7"/>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9"/>
        <bgColor indexed="64"/>
      </patternFill>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43" fontId="3" fillId="0" borderId="0" applyFont="0" applyFill="0" applyBorder="0" applyAlignment="0" applyProtection="0"/>
    <xf numFmtId="0" fontId="9" fillId="0" borderId="0" applyNumberFormat="0" applyFill="0" applyBorder="0" applyAlignment="0" applyProtection="0"/>
    <xf numFmtId="44" fontId="3" fillId="0" borderId="0" applyFont="0" applyFill="0" applyBorder="0" applyAlignment="0" applyProtection="0"/>
    <xf numFmtId="9" fontId="3" fillId="0" borderId="0" applyFont="0" applyFill="0" applyBorder="0" applyAlignment="0" applyProtection="0"/>
  </cellStyleXfs>
  <cellXfs count="78">
    <xf numFmtId="0" fontId="0" fillId="0" borderId="0" xfId="0"/>
    <xf numFmtId="0" fontId="2" fillId="0" borderId="0" xfId="0" applyFont="1"/>
    <xf numFmtId="0" fontId="0" fillId="2" borderId="0" xfId="0" applyFill="1"/>
    <xf numFmtId="2" fontId="0" fillId="0" borderId="0" xfId="0" applyNumberFormat="1"/>
    <xf numFmtId="2" fontId="0" fillId="0" borderId="0" xfId="0" applyNumberFormat="1" applyAlignment="1">
      <alignment horizontal="right"/>
    </xf>
    <xf numFmtId="164" fontId="0" fillId="0" borderId="0" xfId="1" applyNumberFormat="1" applyFont="1"/>
    <xf numFmtId="11" fontId="0" fillId="0" borderId="0" xfId="0" applyNumberFormat="1"/>
    <xf numFmtId="0" fontId="0" fillId="3" borderId="0" xfId="0" applyFill="1"/>
    <xf numFmtId="165" fontId="0" fillId="0" borderId="0" xfId="0" applyNumberFormat="1"/>
    <xf numFmtId="0" fontId="2" fillId="4" borderId="0" xfId="0" applyFont="1" applyFill="1"/>
    <xf numFmtId="0" fontId="0" fillId="4" borderId="0" xfId="0" applyFill="1"/>
    <xf numFmtId="2" fontId="0" fillId="4" borderId="0" xfId="0" applyNumberFormat="1" applyFill="1"/>
    <xf numFmtId="0" fontId="0" fillId="5" borderId="0" xfId="0" applyFill="1"/>
    <xf numFmtId="0" fontId="4" fillId="0" borderId="0" xfId="0" applyFont="1"/>
    <xf numFmtId="0" fontId="0" fillId="0" borderId="1" xfId="0" applyBorder="1"/>
    <xf numFmtId="0" fontId="0" fillId="0" borderId="1" xfId="0" applyBorder="1" applyAlignment="1">
      <alignment wrapText="1"/>
    </xf>
    <xf numFmtId="0" fontId="5" fillId="0" borderId="1" xfId="0" applyFont="1" applyBorder="1"/>
    <xf numFmtId="0" fontId="6" fillId="0" borderId="1" xfId="0" applyFont="1" applyBorder="1" applyAlignment="1">
      <alignment horizontal="center"/>
    </xf>
    <xf numFmtId="0" fontId="6" fillId="0" borderId="1" xfId="0" applyFont="1" applyBorder="1" applyAlignment="1">
      <alignment horizontal="center" wrapText="1"/>
    </xf>
    <xf numFmtId="0" fontId="6" fillId="0" borderId="0" xfId="0" applyFont="1" applyAlignment="1">
      <alignment horizontal="center"/>
    </xf>
    <xf numFmtId="0" fontId="0" fillId="6" borderId="1" xfId="0" applyFill="1" applyBorder="1" applyAlignment="1">
      <alignment horizontal="center" vertical="center"/>
    </xf>
    <xf numFmtId="0" fontId="0" fillId="6" borderId="1" xfId="0" applyFill="1" applyBorder="1" applyAlignment="1">
      <alignment wrapText="1"/>
    </xf>
    <xf numFmtId="0" fontId="0" fillId="6" borderId="1" xfId="0" applyFill="1"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wrapText="1"/>
    </xf>
    <xf numFmtId="0" fontId="7" fillId="0" borderId="0" xfId="0" applyFont="1"/>
    <xf numFmtId="0" fontId="0" fillId="2" borderId="1" xfId="0" applyFill="1" applyBorder="1"/>
    <xf numFmtId="0" fontId="0" fillId="2" borderId="1" xfId="0" applyFill="1" applyBorder="1" applyAlignment="1">
      <alignment wrapText="1"/>
    </xf>
    <xf numFmtId="0" fontId="0" fillId="7" borderId="1" xfId="0" applyFill="1" applyBorder="1"/>
    <xf numFmtId="0" fontId="0" fillId="2" borderId="1" xfId="0" applyFill="1" applyBorder="1" applyAlignment="1">
      <alignment horizontal="left" vertical="center"/>
    </xf>
    <xf numFmtId="0" fontId="0" fillId="2" borderId="1" xfId="0" applyFill="1" applyBorder="1" applyAlignment="1">
      <alignment horizontal="left" vertical="center" wrapText="1"/>
    </xf>
    <xf numFmtId="0" fontId="7" fillId="0" borderId="1" xfId="0" applyFont="1" applyBorder="1"/>
    <xf numFmtId="0" fontId="7" fillId="0" borderId="1" xfId="0" applyFont="1" applyBorder="1" applyAlignment="1">
      <alignment wrapText="1"/>
    </xf>
    <xf numFmtId="0" fontId="0" fillId="8" borderId="1" xfId="0" applyFill="1" applyBorder="1"/>
    <xf numFmtId="0" fontId="8" fillId="0" borderId="0" xfId="0" applyFont="1"/>
    <xf numFmtId="0" fontId="9" fillId="0" borderId="0" xfId="2"/>
    <xf numFmtId="166" fontId="0" fillId="0" borderId="0" xfId="0" applyNumberFormat="1"/>
    <xf numFmtId="167" fontId="0" fillId="0" borderId="0" xfId="0" applyNumberFormat="1"/>
    <xf numFmtId="0" fontId="11" fillId="9" borderId="0" xfId="0" applyFont="1" applyFill="1"/>
    <xf numFmtId="9" fontId="0" fillId="0" borderId="0" xfId="0" applyNumberFormat="1"/>
    <xf numFmtId="10" fontId="0" fillId="0" borderId="0" xfId="0" applyNumberFormat="1"/>
    <xf numFmtId="10" fontId="9" fillId="0" borderId="0" xfId="2" applyNumberFormat="1"/>
    <xf numFmtId="9" fontId="9" fillId="0" borderId="0" xfId="2" applyNumberFormat="1"/>
    <xf numFmtId="0" fontId="1" fillId="0" borderId="0" xfId="0" applyFont="1"/>
    <xf numFmtId="2" fontId="4" fillId="4" borderId="0" xfId="0" applyNumberFormat="1" applyFont="1" applyFill="1"/>
    <xf numFmtId="2" fontId="4" fillId="4" borderId="0" xfId="0" applyNumberFormat="1" applyFont="1" applyFill="1" applyAlignment="1">
      <alignment horizontal="right"/>
    </xf>
    <xf numFmtId="0" fontId="2" fillId="2" borderId="0" xfId="0" applyFont="1" applyFill="1"/>
    <xf numFmtId="0" fontId="4" fillId="2" borderId="0" xfId="0" applyFont="1" applyFill="1"/>
    <xf numFmtId="0" fontId="4" fillId="0" borderId="1" xfId="0" applyFont="1" applyBorder="1"/>
    <xf numFmtId="0" fontId="12" fillId="0" borderId="1" xfId="0" applyFont="1" applyBorder="1"/>
    <xf numFmtId="0" fontId="11" fillId="0" borderId="1" xfId="0" applyFont="1" applyBorder="1"/>
    <xf numFmtId="0" fontId="2" fillId="0" borderId="1" xfId="0" applyFont="1" applyBorder="1"/>
    <xf numFmtId="0" fontId="9" fillId="0" borderId="0" xfId="2" applyAlignment="1"/>
    <xf numFmtId="2" fontId="0" fillId="0" borderId="0" xfId="1" applyNumberFormat="1" applyFont="1"/>
    <xf numFmtId="0" fontId="11" fillId="0" borderId="0" xfId="0" applyFont="1"/>
    <xf numFmtId="2" fontId="9" fillId="0" borderId="0" xfId="2" applyNumberFormat="1"/>
    <xf numFmtId="1" fontId="0" fillId="2" borderId="0" xfId="0" applyNumberFormat="1" applyFill="1"/>
    <xf numFmtId="9" fontId="0" fillId="2" borderId="0" xfId="0" applyNumberFormat="1" applyFill="1"/>
    <xf numFmtId="167" fontId="0" fillId="2" borderId="0" xfId="0" applyNumberFormat="1" applyFill="1"/>
    <xf numFmtId="168" fontId="0" fillId="2" borderId="0" xfId="1" applyNumberFormat="1" applyFont="1" applyFill="1"/>
    <xf numFmtId="2" fontId="2" fillId="0" borderId="0" xfId="0" applyNumberFormat="1" applyFont="1"/>
    <xf numFmtId="43" fontId="0" fillId="0" borderId="0" xfId="0" applyNumberFormat="1"/>
    <xf numFmtId="3" fontId="0" fillId="0" borderId="0" xfId="0" applyNumberFormat="1"/>
    <xf numFmtId="164" fontId="0" fillId="0" borderId="0" xfId="0" applyNumberFormat="1"/>
    <xf numFmtId="3" fontId="0" fillId="2" borderId="0" xfId="0" applyNumberFormat="1" applyFill="1"/>
    <xf numFmtId="164" fontId="0" fillId="2" borderId="0" xfId="1" applyNumberFormat="1" applyFont="1" applyFill="1"/>
    <xf numFmtId="0" fontId="0" fillId="0" borderId="0" xfId="0" quotePrefix="1"/>
    <xf numFmtId="0" fontId="9" fillId="0" borderId="0" xfId="2" applyAlignment="1">
      <alignment vertical="center"/>
    </xf>
    <xf numFmtId="169" fontId="0" fillId="0" borderId="0" xfId="3" applyNumberFormat="1" applyFont="1"/>
    <xf numFmtId="170" fontId="0" fillId="0" borderId="0" xfId="0" applyNumberFormat="1"/>
    <xf numFmtId="165" fontId="0" fillId="0" borderId="0" xfId="0" quotePrefix="1" applyNumberFormat="1"/>
    <xf numFmtId="9" fontId="0" fillId="0" borderId="0" xfId="4" applyFont="1"/>
    <xf numFmtId="0" fontId="16" fillId="2" borderId="0" xfId="0" applyFont="1" applyFill="1"/>
    <xf numFmtId="9" fontId="0" fillId="2" borderId="0" xfId="4" applyFont="1" applyFill="1"/>
    <xf numFmtId="0" fontId="0" fillId="10" borderId="0" xfId="0" applyFill="1"/>
    <xf numFmtId="9" fontId="0" fillId="10" borderId="0" xfId="4" applyFont="1" applyFill="1"/>
    <xf numFmtId="9" fontId="0" fillId="10" borderId="0" xfId="0" applyNumberFormat="1" applyFill="1"/>
  </cellXfs>
  <cellStyles count="5">
    <cellStyle name="Comma" xfId="1" builtinId="3"/>
    <cellStyle name="Currency" xfId="3" builtinId="4"/>
    <cellStyle name="Hyperlink" xfId="2" builtinId="8"/>
    <cellStyle name="Normal" xfId="0" builtinId="0"/>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nrel.gov/docs/fy20osti/77198.pdf" TargetMode="External"/><Relationship Id="rId1" Type="http://schemas.openxmlformats.org/officeDocument/2006/relationships/hyperlink" Target="https://www.nrel.gov/docs/fy20osti/77198.pdf"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www.cpuc.ca.gov/-/media/cpuc-website/divisions/office-of-governmental-affairs-division/reports/2023/2023-rps-annual-report-to-the-legislature.pdf" TargetMode="External"/><Relationship Id="rId13" Type="http://schemas.openxmlformats.org/officeDocument/2006/relationships/hyperlink" Target="https://www.cpuc.ca.gov/-/media/cpuc-website/divisions/energy-division/documents/energy-storage/2023-05-31_lumen_energy-storage-procurement-study-report.pdf" TargetMode="External"/><Relationship Id="rId18" Type="http://schemas.openxmlformats.org/officeDocument/2006/relationships/hyperlink" Target="https://theicct.org/wp-content/uploads/2023/05/case-studies-california-rng-outlook-2030-may23.pdf" TargetMode="External"/><Relationship Id="rId3" Type="http://schemas.openxmlformats.org/officeDocument/2006/relationships/hyperlink" Target="https://www.cpuc.ca.gov/-/media/cpuc-website/divisions/office-of-governmental-affairs-division/reports/2023/2023-rps-annual-report-to-the-legislature.pdf" TargetMode="External"/><Relationship Id="rId7" Type="http://schemas.openxmlformats.org/officeDocument/2006/relationships/hyperlink" Target="https://www.cpuc.ca.gov/-/media/cpuc-website/divisions/office-of-governmental-affairs-division/reports/2023/2023-rps-annual-report-to-the-legislature.pdf" TargetMode="External"/><Relationship Id="rId12" Type="http://schemas.openxmlformats.org/officeDocument/2006/relationships/hyperlink" Target="https://www.cpuc.ca.gov/-/media/cpuc-website/divisions/office-of-governmental-affairs-division/reports/2023/2023-rps-annual-report-to-the-legislature.pdf" TargetMode="External"/><Relationship Id="rId17" Type="http://schemas.openxmlformats.org/officeDocument/2006/relationships/hyperlink" Target="https://theicct.org/wp-content/uploads/2023/05/case-studies-california-rng-outlook-2030-may23.pdf" TargetMode="External"/><Relationship Id="rId2" Type="http://schemas.openxmlformats.org/officeDocument/2006/relationships/hyperlink" Target="https://www.cpuc.ca.gov/-/media/cpuc-website/divisions/office-of-governmental-affairs-division/reports/2023/2023-rps-annual-report-to-the-legislature.pdf" TargetMode="External"/><Relationship Id="rId16" Type="http://schemas.openxmlformats.org/officeDocument/2006/relationships/hyperlink" Target="https://www.spglobal.com/commodityinsights/en/market-insights/latest-news/energy-transition/020223-greener-than-green-hydrogen-project-nears-construction-phase-in-california" TargetMode="External"/><Relationship Id="rId20" Type="http://schemas.openxmlformats.org/officeDocument/2006/relationships/hyperlink" Target="https://www.globalair.com/airport/region.aspx" TargetMode="External"/><Relationship Id="rId1" Type="http://schemas.openxmlformats.org/officeDocument/2006/relationships/hyperlink" Target="https://www.cpuc.ca.gov/-/media/cpuc-website/divisions/office-of-governmental-affairs-division/reports/2023/2023-rps-annual-report-to-the-legislature.pdf" TargetMode="External"/><Relationship Id="rId6" Type="http://schemas.openxmlformats.org/officeDocument/2006/relationships/hyperlink" Target="https://www.cpuc.ca.gov/-/media/cpuc-website/divisions/office-of-governmental-affairs-division/reports/2023/2023-rps-annual-report-to-the-legislature.pdf" TargetMode="External"/><Relationship Id="rId11" Type="http://schemas.openxmlformats.org/officeDocument/2006/relationships/hyperlink" Target="https://www.cpuc.ca.gov/-/media/cpuc-website/divisions/office-of-governmental-affairs-division/reports/2023/2023-rps-annual-report-to-the-legislature.pdf" TargetMode="External"/><Relationship Id="rId5" Type="http://schemas.openxmlformats.org/officeDocument/2006/relationships/hyperlink" Target="https://www.cpuc.ca.gov/-/media/cpuc-website/divisions/office-of-governmental-affairs-division/reports/2023/2023-rps-annual-report-to-the-legislature.pdf" TargetMode="External"/><Relationship Id="rId15" Type="http://schemas.openxmlformats.org/officeDocument/2006/relationships/hyperlink" Target="https://www.spglobal.com/commodityinsights/en/market-insights/latest-news/energy-transition/020223-greener-than-green-hydrogen-project-nears-construction-phase-in-california" TargetMode="External"/><Relationship Id="rId10" Type="http://schemas.openxmlformats.org/officeDocument/2006/relationships/hyperlink" Target="https://www.cpuc.ca.gov/-/media/cpuc-website/divisions/office-of-governmental-affairs-division/reports/2023/2023-rps-annual-report-to-the-legislature.pdf" TargetMode="External"/><Relationship Id="rId19" Type="http://schemas.openxmlformats.org/officeDocument/2006/relationships/hyperlink" Target="https://www.spglobal.com/commodityinsights/en/market-insights/latest-news/agriculture/082422-sustainable-aviation-fuel-a-winner-as-us-renewable-fuel-producers-embrace-inflation-reduction-act" TargetMode="External"/><Relationship Id="rId4" Type="http://schemas.openxmlformats.org/officeDocument/2006/relationships/hyperlink" Target="https://www.cpuc.ca.gov/-/media/cpuc-website/divisions/office-of-governmental-affairs-division/reports/2023/2023-rps-annual-report-to-the-legislature.pdf" TargetMode="External"/><Relationship Id="rId9" Type="http://schemas.openxmlformats.org/officeDocument/2006/relationships/hyperlink" Target="https://www.cpuc.ca.gov/-/media/cpuc-website/divisions/office-of-governmental-affairs-division/reports/2023/2023-rps-annual-report-to-the-legislature.pdf" TargetMode="External"/><Relationship Id="rId14" Type="http://schemas.openxmlformats.org/officeDocument/2006/relationships/hyperlink" Target="https://www.cpuc.ca.gov/-/media/cpuc-website/divisions/energy-division/documents/energy-storage/2023-05-31_lumen_energy-storage-procurement-study-report.pdf"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netzeroamerica.princeton.edu/img/NZA%20Annex%20F%20-%20HV%20Transmission.pdf"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www.nrel.gov/docs/fy20osti/77198.pdf" TargetMode="External"/><Relationship Id="rId2" Type="http://schemas.openxmlformats.org/officeDocument/2006/relationships/hyperlink" Target="https://www.nrel.gov/docs/fy20osti/77198.pdf" TargetMode="External"/><Relationship Id="rId1" Type="http://schemas.openxmlformats.org/officeDocument/2006/relationships/hyperlink" Target="https://netl.doe.gov/projects/files/ComparisonofCommercialStateofArtFossilBasedHydrogenProductionTechnologies_041222.pdf" TargetMode="External"/><Relationship Id="rId6" Type="http://schemas.openxmlformats.org/officeDocument/2006/relationships/printerSettings" Target="../printerSettings/printerSettings2.bin"/><Relationship Id="rId5" Type="http://schemas.openxmlformats.org/officeDocument/2006/relationships/hyperlink" Target="https://www.nrel.gov/docs/fy20osti/77198.pdf" TargetMode="External"/><Relationship Id="rId4" Type="http://schemas.openxmlformats.org/officeDocument/2006/relationships/hyperlink" Target="https://www.nrel.gov/docs/fy20osti/77198.pdf"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8" Type="http://schemas.openxmlformats.org/officeDocument/2006/relationships/hyperlink" Target="https://bof.fire.ca.gov/media/10190/introduction-to-the-hydrogen-market-in-california-draft-for-comment_ada.pdf" TargetMode="External"/><Relationship Id="rId3" Type="http://schemas.openxmlformats.org/officeDocument/2006/relationships/hyperlink" Target="https://www.iea.org/data-and-statistics/charts/comparison-of-the-emissions-intensity-of-different-hydrogen-production-routes-2021" TargetMode="External"/><Relationship Id="rId7" Type="http://schemas.openxmlformats.org/officeDocument/2006/relationships/hyperlink" Target="https://bof.fire.ca.gov/media/10190/introduction-to-the-hydrogen-market-in-california-draft-for-comment_ada.pdf" TargetMode="External"/><Relationship Id="rId12" Type="http://schemas.openxmlformats.org/officeDocument/2006/relationships/hyperlink" Target="https://bof.fire.ca.gov/media/10190/introduction-to-the-hydrogen-market-in-california-draft-for-comment_ada.pdf" TargetMode="External"/><Relationship Id="rId2" Type="http://schemas.openxmlformats.org/officeDocument/2006/relationships/hyperlink" Target="https://www.icao.int/environmental-protection/CORSIA/Documents/CORSIA_Eligible_Fuels/ICAO%20document%2006%20-%20Default%20Life%20Cycle%20Emissions%20-%20June%202022.pdf" TargetMode="External"/><Relationship Id="rId1" Type="http://schemas.openxmlformats.org/officeDocument/2006/relationships/hyperlink" Target="https://www.icao.int/environmental-protection/CORSIA/Documents/CORSIA_Eligible_Fuels/ICAO%20document%2006%20-%20Default%20Life%20Cycle%20Emissions%20-%20June%202022.pdf" TargetMode="External"/><Relationship Id="rId6" Type="http://schemas.openxmlformats.org/officeDocument/2006/relationships/hyperlink" Target="https://bof.fire.ca.gov/media/10190/introduction-to-the-hydrogen-market-in-california-draft-for-comment_ada.pdf" TargetMode="External"/><Relationship Id="rId11" Type="http://schemas.openxmlformats.org/officeDocument/2006/relationships/hyperlink" Target="https://bof.fire.ca.gov/media/10190/introduction-to-the-hydrogen-market-in-california-draft-for-comment_ada.pdf" TargetMode="External"/><Relationship Id="rId5" Type="http://schemas.openxmlformats.org/officeDocument/2006/relationships/hyperlink" Target="https://bof.fire.ca.gov/media/10190/introduction-to-the-hydrogen-market-in-california-draft-for-comment_ada.pdf" TargetMode="External"/><Relationship Id="rId10" Type="http://schemas.openxmlformats.org/officeDocument/2006/relationships/hyperlink" Target="https://bof.fire.ca.gov/media/10190/introduction-to-the-hydrogen-market-in-california-draft-for-comment_ada.pdf" TargetMode="External"/><Relationship Id="rId4" Type="http://schemas.openxmlformats.org/officeDocument/2006/relationships/hyperlink" Target="https://www.iea.org/data-and-statistics/charts/comparison-of-the-emissions-intensity-of-different-hydrogen-production-routes-2021" TargetMode="External"/><Relationship Id="rId9" Type="http://schemas.openxmlformats.org/officeDocument/2006/relationships/hyperlink" Target="https://bof.fire.ca.gov/media/10190/introduction-to-the-hydrogen-market-in-california-draft-for-comment_ada.pdf"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2" Type="http://schemas.openxmlformats.org/officeDocument/2006/relationships/hyperlink" Target="https://arb.ca.gov/emfac/meta/on-road-hdv" TargetMode="External"/><Relationship Id="rId1" Type="http://schemas.openxmlformats.org/officeDocument/2006/relationships/hyperlink" Target="https://arb.ca.gov/emfac/meta/on-road-hd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3E66E-8E4F-4F0F-BF6D-3E16E49004F7}">
  <dimension ref="A1:Q20"/>
  <sheetViews>
    <sheetView zoomScale="107" workbookViewId="0">
      <selection activeCell="M22" sqref="M22"/>
    </sheetView>
  </sheetViews>
  <sheetFormatPr defaultColWidth="11" defaultRowHeight="15.5" x14ac:dyDescent="0.35"/>
  <cols>
    <col min="1" max="1" width="30.33203125" customWidth="1"/>
    <col min="2" max="2" width="17.08203125" customWidth="1"/>
    <col min="4" max="4" width="27.58203125" customWidth="1"/>
    <col min="5" max="5" width="0" hidden="1" customWidth="1"/>
    <col min="6" max="6" width="12.58203125" hidden="1" customWidth="1"/>
    <col min="7" max="7" width="0" hidden="1" customWidth="1"/>
    <col min="8" max="8" width="13" hidden="1" customWidth="1"/>
    <col min="9" max="9" width="0" hidden="1" customWidth="1"/>
    <col min="10" max="10" width="11" hidden="1" customWidth="1"/>
    <col min="11" max="11" width="18.83203125" customWidth="1"/>
    <col min="12" max="12" width="38.33203125" customWidth="1"/>
    <col min="14" max="14" width="11" bestFit="1" customWidth="1"/>
    <col min="15" max="15" width="38.25" bestFit="1" customWidth="1"/>
    <col min="16" max="16" width="27.5" bestFit="1" customWidth="1"/>
  </cols>
  <sheetData>
    <row r="1" spans="1:17" x14ac:dyDescent="0.35">
      <c r="A1" t="s">
        <v>0</v>
      </c>
      <c r="B1" t="s">
        <v>261</v>
      </c>
      <c r="C1" t="s">
        <v>1</v>
      </c>
      <c r="D1" t="s">
        <v>101</v>
      </c>
      <c r="E1" t="s">
        <v>102</v>
      </c>
      <c r="F1" t="s">
        <v>103</v>
      </c>
      <c r="G1" t="s">
        <v>104</v>
      </c>
      <c r="H1" t="s">
        <v>105</v>
      </c>
      <c r="I1" t="s">
        <v>97</v>
      </c>
      <c r="J1" t="s">
        <v>106</v>
      </c>
      <c r="K1" t="s">
        <v>287</v>
      </c>
      <c r="L1" t="s">
        <v>262</v>
      </c>
      <c r="M1" t="s">
        <v>263</v>
      </c>
      <c r="N1" t="s">
        <v>264</v>
      </c>
      <c r="O1" t="s">
        <v>295</v>
      </c>
      <c r="P1" t="s">
        <v>296</v>
      </c>
      <c r="Q1" t="s">
        <v>9</v>
      </c>
    </row>
    <row r="2" spans="1:17" x14ac:dyDescent="0.35">
      <c r="A2" t="s">
        <v>37</v>
      </c>
      <c r="B2" t="s">
        <v>265</v>
      </c>
      <c r="C2" t="s">
        <v>12</v>
      </c>
      <c r="D2" t="s">
        <v>111</v>
      </c>
      <c r="E2" t="s">
        <v>112</v>
      </c>
      <c r="F2" s="5">
        <f t="shared" ref="F2" si="0">H2*1000000000000</f>
        <v>3599.8225679871703</v>
      </c>
      <c r="G2" t="s">
        <v>113</v>
      </c>
      <c r="H2" s="37">
        <v>3.5998225679871703E-9</v>
      </c>
      <c r="I2" t="s">
        <v>114</v>
      </c>
      <c r="J2" s="40"/>
      <c r="K2" s="57">
        <v>100</v>
      </c>
      <c r="L2" s="58" t="s">
        <v>266</v>
      </c>
      <c r="M2" t="s">
        <v>267</v>
      </c>
      <c r="N2" t="s">
        <v>268</v>
      </c>
      <c r="O2" s="66">
        <f>198000*1000000</f>
        <v>198000000000</v>
      </c>
      <c r="P2" t="s">
        <v>297</v>
      </c>
      <c r="Q2" t="s">
        <v>298</v>
      </c>
    </row>
    <row r="3" spans="1:17" x14ac:dyDescent="0.35">
      <c r="A3" t="s">
        <v>36</v>
      </c>
      <c r="B3" t="s">
        <v>265</v>
      </c>
      <c r="C3" t="s">
        <v>12</v>
      </c>
      <c r="D3" t="s">
        <v>111</v>
      </c>
      <c r="E3" t="s">
        <v>112</v>
      </c>
      <c r="F3" s="5">
        <f>H3*1000000000000</f>
        <v>3599.8225679871703</v>
      </c>
      <c r="G3" t="s">
        <v>113</v>
      </c>
      <c r="H3" s="37">
        <v>3.5998225679871703E-9</v>
      </c>
      <c r="I3" t="s">
        <v>114</v>
      </c>
      <c r="J3" s="40">
        <v>0.25</v>
      </c>
      <c r="K3" s="57">
        <v>100</v>
      </c>
      <c r="L3" s="58" t="s">
        <v>266</v>
      </c>
      <c r="M3" t="s">
        <v>267</v>
      </c>
      <c r="N3" t="s">
        <v>268</v>
      </c>
      <c r="O3" s="66">
        <f>198000*1000000</f>
        <v>198000000000</v>
      </c>
      <c r="P3" t="s">
        <v>297</v>
      </c>
      <c r="Q3" t="s">
        <v>299</v>
      </c>
    </row>
    <row r="4" spans="1:17" x14ac:dyDescent="0.35">
      <c r="A4" t="s">
        <v>43</v>
      </c>
      <c r="B4" t="s">
        <v>269</v>
      </c>
      <c r="C4" t="s">
        <v>12</v>
      </c>
      <c r="D4" t="s">
        <v>111</v>
      </c>
      <c r="F4" s="5"/>
      <c r="H4" s="37"/>
      <c r="J4" s="40"/>
      <c r="K4" s="57">
        <f>K11*K16</f>
        <v>442.1052631578948</v>
      </c>
      <c r="L4" s="58" t="s">
        <v>270</v>
      </c>
      <c r="M4" t="s">
        <v>271</v>
      </c>
      <c r="N4" t="s">
        <v>268</v>
      </c>
      <c r="O4" s="66">
        <f>16/1.15*1000*1000000</f>
        <v>13913043478.260872</v>
      </c>
      <c r="P4" t="s">
        <v>300</v>
      </c>
      <c r="Q4" t="s">
        <v>301</v>
      </c>
    </row>
    <row r="5" spans="1:17" x14ac:dyDescent="0.35">
      <c r="A5" t="s">
        <v>42</v>
      </c>
      <c r="B5" t="s">
        <v>269</v>
      </c>
      <c r="C5" t="s">
        <v>12</v>
      </c>
      <c r="D5" t="s">
        <v>111</v>
      </c>
      <c r="F5" s="5"/>
      <c r="H5" s="37"/>
      <c r="J5" s="40"/>
      <c r="K5" s="57">
        <f>K12*K16</f>
        <v>420</v>
      </c>
      <c r="L5" s="58" t="s">
        <v>270</v>
      </c>
      <c r="M5" t="s">
        <v>271</v>
      </c>
      <c r="N5" t="s">
        <v>268</v>
      </c>
      <c r="O5" s="66">
        <f>O4</f>
        <v>13913043478.260872</v>
      </c>
      <c r="P5" t="s">
        <v>300</v>
      </c>
      <c r="Q5" t="s">
        <v>301</v>
      </c>
    </row>
    <row r="6" spans="1:17" x14ac:dyDescent="0.35">
      <c r="A6" t="s">
        <v>40</v>
      </c>
      <c r="B6" t="s">
        <v>130</v>
      </c>
      <c r="C6" t="s">
        <v>19</v>
      </c>
      <c r="D6" t="s">
        <v>116</v>
      </c>
      <c r="E6" t="s">
        <v>117</v>
      </c>
      <c r="F6" s="5">
        <f t="shared" ref="F6:F15" si="1">H6*1000000000000</f>
        <v>119999.99999999999</v>
      </c>
      <c r="G6" t="s">
        <v>118</v>
      </c>
      <c r="H6">
        <v>1.1999999999999999E-7</v>
      </c>
      <c r="I6" t="s">
        <v>119</v>
      </c>
      <c r="J6" s="40">
        <v>0.72</v>
      </c>
      <c r="K6" s="59">
        <f>1/0.167</f>
        <v>5.9880239520958076</v>
      </c>
      <c r="L6" s="58" t="s">
        <v>272</v>
      </c>
      <c r="M6" t="s">
        <v>273</v>
      </c>
      <c r="N6" s="40" t="s">
        <v>268</v>
      </c>
      <c r="O6" s="66">
        <v>1093000</v>
      </c>
      <c r="P6" t="s">
        <v>302</v>
      </c>
      <c r="Q6" t="s">
        <v>303</v>
      </c>
    </row>
    <row r="7" spans="1:17" x14ac:dyDescent="0.35">
      <c r="A7" t="s">
        <v>37</v>
      </c>
      <c r="B7" t="s">
        <v>265</v>
      </c>
      <c r="C7" t="s">
        <v>19</v>
      </c>
      <c r="D7" t="s">
        <v>116</v>
      </c>
      <c r="E7" t="s">
        <v>117</v>
      </c>
      <c r="F7" s="5">
        <f>H7*1000000000000</f>
        <v>119999.99999999999</v>
      </c>
      <c r="G7" t="s">
        <v>118</v>
      </c>
      <c r="H7">
        <v>1.1999999999999999E-7</v>
      </c>
      <c r="I7" t="s">
        <v>119</v>
      </c>
      <c r="J7" s="40">
        <v>0.44</v>
      </c>
      <c r="K7" s="57">
        <f>1/13*10^6</f>
        <v>76923.076923076922</v>
      </c>
      <c r="L7" s="58" t="s">
        <v>274</v>
      </c>
      <c r="M7" t="s">
        <v>275</v>
      </c>
      <c r="N7" t="s">
        <v>268</v>
      </c>
      <c r="O7" s="66">
        <f>198000*1000000</f>
        <v>198000000000</v>
      </c>
      <c r="P7" t="s">
        <v>297</v>
      </c>
    </row>
    <row r="8" spans="1:17" x14ac:dyDescent="0.35">
      <c r="A8" t="s">
        <v>36</v>
      </c>
      <c r="B8" t="s">
        <v>265</v>
      </c>
      <c r="C8" t="s">
        <v>19</v>
      </c>
      <c r="D8" t="s">
        <v>116</v>
      </c>
      <c r="E8" t="s">
        <v>117</v>
      </c>
      <c r="F8" s="5">
        <f>H8*1000000000000</f>
        <v>119999.99999999999</v>
      </c>
      <c r="G8" t="s">
        <v>118</v>
      </c>
      <c r="H8">
        <v>1.1999999999999999E-7</v>
      </c>
      <c r="I8" t="s">
        <v>119</v>
      </c>
      <c r="J8" s="40">
        <v>0.44</v>
      </c>
      <c r="K8" s="57">
        <f>1/13*10^6</f>
        <v>76923.076923076922</v>
      </c>
      <c r="L8" s="58" t="s">
        <v>274</v>
      </c>
      <c r="M8" t="s">
        <v>342</v>
      </c>
      <c r="N8" t="s">
        <v>268</v>
      </c>
      <c r="O8" s="66">
        <f>198000*1000000</f>
        <v>198000000000</v>
      </c>
      <c r="P8" t="s">
        <v>297</v>
      </c>
    </row>
    <row r="9" spans="1:17" x14ac:dyDescent="0.35">
      <c r="A9" t="s">
        <v>43</v>
      </c>
      <c r="B9" t="s">
        <v>269</v>
      </c>
      <c r="C9" t="s">
        <v>19</v>
      </c>
      <c r="D9" t="s">
        <v>116</v>
      </c>
      <c r="E9" t="s">
        <v>117</v>
      </c>
      <c r="F9" s="5">
        <f t="shared" ref="F9:F10" si="2">H9*1000000000000</f>
        <v>119999.99999999999</v>
      </c>
      <c r="G9" t="s">
        <v>118</v>
      </c>
      <c r="H9">
        <v>1.1999999999999999E-7</v>
      </c>
      <c r="I9" t="s">
        <v>119</v>
      </c>
      <c r="J9" s="40"/>
      <c r="K9" s="57">
        <f>1/3.29/1.6*10^6</f>
        <v>189969.60486322187</v>
      </c>
      <c r="L9" s="58" t="s">
        <v>276</v>
      </c>
      <c r="M9" s="53" t="s">
        <v>277</v>
      </c>
      <c r="N9" t="s">
        <v>268</v>
      </c>
      <c r="O9" s="66">
        <f>$O$4</f>
        <v>13913043478.260872</v>
      </c>
      <c r="P9" t="s">
        <v>300</v>
      </c>
      <c r="Q9" t="s">
        <v>301</v>
      </c>
    </row>
    <row r="10" spans="1:17" x14ac:dyDescent="0.35">
      <c r="A10" t="s">
        <v>42</v>
      </c>
      <c r="B10" t="s">
        <v>269</v>
      </c>
      <c r="C10" t="s">
        <v>19</v>
      </c>
      <c r="D10" t="s">
        <v>116</v>
      </c>
      <c r="E10" t="s">
        <v>117</v>
      </c>
      <c r="F10" s="5">
        <f t="shared" si="2"/>
        <v>119999.99999999999</v>
      </c>
      <c r="G10" t="s">
        <v>118</v>
      </c>
      <c r="H10">
        <v>1.1999999999999999E-7</v>
      </c>
      <c r="I10" t="s">
        <v>119</v>
      </c>
      <c r="J10" s="40"/>
      <c r="K10" s="57">
        <f>1/3.29/1.6*10^6</f>
        <v>189969.60486322187</v>
      </c>
      <c r="L10" s="58" t="s">
        <v>276</v>
      </c>
      <c r="M10" s="53" t="s">
        <v>278</v>
      </c>
      <c r="N10" t="s">
        <v>268</v>
      </c>
      <c r="O10" s="66">
        <f t="shared" ref="O10:O12" si="3">$O$4</f>
        <v>13913043478.260872</v>
      </c>
      <c r="P10" t="s">
        <v>300</v>
      </c>
      <c r="Q10" t="s">
        <v>301</v>
      </c>
    </row>
    <row r="11" spans="1:17" x14ac:dyDescent="0.35">
      <c r="A11" t="s">
        <v>43</v>
      </c>
      <c r="B11" t="s">
        <v>269</v>
      </c>
      <c r="C11" t="s">
        <v>38</v>
      </c>
      <c r="D11" t="s">
        <v>130</v>
      </c>
      <c r="E11" t="s">
        <v>57</v>
      </c>
      <c r="F11" s="5">
        <f t="shared" si="1"/>
        <v>1093000</v>
      </c>
      <c r="G11" t="s">
        <v>131</v>
      </c>
      <c r="H11">
        <v>1.093E-6</v>
      </c>
      <c r="I11" t="s">
        <v>132</v>
      </c>
      <c r="K11" s="57">
        <f>56*10^9*0.6/(1.9*10^6)</f>
        <v>17684.21052631579</v>
      </c>
      <c r="L11" s="58" t="s">
        <v>279</v>
      </c>
      <c r="M11" t="s">
        <v>280</v>
      </c>
      <c r="N11" t="s">
        <v>268</v>
      </c>
      <c r="O11" s="66">
        <f t="shared" si="3"/>
        <v>13913043478.260872</v>
      </c>
      <c r="P11" t="s">
        <v>300</v>
      </c>
      <c r="Q11" t="s">
        <v>301</v>
      </c>
    </row>
    <row r="12" spans="1:17" x14ac:dyDescent="0.35">
      <c r="A12" t="s">
        <v>42</v>
      </c>
      <c r="B12" t="s">
        <v>269</v>
      </c>
      <c r="C12" t="s">
        <v>38</v>
      </c>
      <c r="D12" t="s">
        <v>130</v>
      </c>
      <c r="E12" t="s">
        <v>57</v>
      </c>
      <c r="F12" s="5">
        <f t="shared" si="1"/>
        <v>1093000</v>
      </c>
      <c r="G12" t="s">
        <v>131</v>
      </c>
      <c r="H12">
        <v>1.093E-6</v>
      </c>
      <c r="I12" t="s">
        <v>132</v>
      </c>
      <c r="K12" s="2">
        <f>28000*0.6</f>
        <v>16800</v>
      </c>
      <c r="L12" s="58" t="s">
        <v>279</v>
      </c>
      <c r="M12" t="s">
        <v>281</v>
      </c>
      <c r="N12" t="s">
        <v>268</v>
      </c>
      <c r="O12" s="66">
        <f t="shared" si="3"/>
        <v>13913043478.260872</v>
      </c>
      <c r="P12" t="s">
        <v>300</v>
      </c>
      <c r="Q12" t="s">
        <v>301</v>
      </c>
    </row>
    <row r="13" spans="1:17" x14ac:dyDescent="0.35">
      <c r="A13" t="s">
        <v>306</v>
      </c>
      <c r="B13" t="s">
        <v>269</v>
      </c>
      <c r="C13" s="1" t="s">
        <v>46</v>
      </c>
      <c r="D13" t="s">
        <v>134</v>
      </c>
      <c r="E13" t="s">
        <v>135</v>
      </c>
      <c r="F13" s="5">
        <f t="shared" si="1"/>
        <v>142432539.75000003</v>
      </c>
      <c r="G13" t="s">
        <v>136</v>
      </c>
      <c r="H13">
        <v>1.4243253975000002E-4</v>
      </c>
      <c r="I13" t="s">
        <v>137</v>
      </c>
      <c r="K13" s="2">
        <v>294</v>
      </c>
      <c r="L13" s="58" t="s">
        <v>282</v>
      </c>
      <c r="M13" t="s">
        <v>283</v>
      </c>
      <c r="N13" t="s">
        <v>268</v>
      </c>
      <c r="O13" s="66">
        <f>37*1000*1000000</f>
        <v>37000000000</v>
      </c>
      <c r="P13" t="s">
        <v>304</v>
      </c>
      <c r="Q13" t="s">
        <v>305</v>
      </c>
    </row>
    <row r="14" spans="1:17" x14ac:dyDescent="0.35">
      <c r="A14" t="s">
        <v>37</v>
      </c>
      <c r="B14" t="s">
        <v>265</v>
      </c>
      <c r="C14" s="1" t="s">
        <v>46</v>
      </c>
      <c r="D14" t="s">
        <v>134</v>
      </c>
      <c r="E14" t="s">
        <v>135</v>
      </c>
      <c r="F14" s="5">
        <f t="shared" si="1"/>
        <v>142432539.75000003</v>
      </c>
      <c r="G14" t="s">
        <v>136</v>
      </c>
      <c r="H14">
        <v>1.4243253975000002E-4</v>
      </c>
      <c r="I14" t="s">
        <v>137</v>
      </c>
      <c r="K14" s="60">
        <v>56.1</v>
      </c>
      <c r="L14" s="58" t="s">
        <v>284</v>
      </c>
      <c r="M14" t="s">
        <v>285</v>
      </c>
      <c r="O14" s="66">
        <f t="shared" ref="O14:O15" si="4">198000*1000000</f>
        <v>198000000000</v>
      </c>
      <c r="P14" t="s">
        <v>297</v>
      </c>
      <c r="Q14" t="s">
        <v>299</v>
      </c>
    </row>
    <row r="15" spans="1:17" x14ac:dyDescent="0.35">
      <c r="A15" t="s">
        <v>36</v>
      </c>
      <c r="B15" t="s">
        <v>265</v>
      </c>
      <c r="C15" s="1" t="s">
        <v>46</v>
      </c>
      <c r="D15" t="s">
        <v>134</v>
      </c>
      <c r="E15" t="s">
        <v>135</v>
      </c>
      <c r="F15" s="5">
        <f t="shared" si="1"/>
        <v>142432539.75000003</v>
      </c>
      <c r="G15" t="s">
        <v>136</v>
      </c>
      <c r="H15">
        <v>1.4243253975000002E-4</v>
      </c>
      <c r="I15" t="s">
        <v>137</v>
      </c>
      <c r="K15" s="60">
        <v>62.7</v>
      </c>
      <c r="L15" s="58" t="s">
        <v>284</v>
      </c>
      <c r="M15" t="s">
        <v>286</v>
      </c>
      <c r="O15" s="66">
        <f t="shared" si="4"/>
        <v>198000000000</v>
      </c>
      <c r="P15" t="s">
        <v>297</v>
      </c>
      <c r="Q15" t="s">
        <v>299</v>
      </c>
    </row>
    <row r="16" spans="1:17" x14ac:dyDescent="0.35">
      <c r="A16" t="s">
        <v>38</v>
      </c>
      <c r="B16" t="s">
        <v>130</v>
      </c>
      <c r="C16" t="s">
        <v>12</v>
      </c>
      <c r="D16" t="s">
        <v>111</v>
      </c>
      <c r="E16" t="s">
        <v>112</v>
      </c>
      <c r="F16" s="5">
        <f>H16*1000000000000</f>
        <v>3599.8225679871703</v>
      </c>
      <c r="G16" t="s">
        <v>113</v>
      </c>
      <c r="H16" s="37">
        <v>3.5998225679871703E-9</v>
      </c>
      <c r="I16" t="s">
        <v>114</v>
      </c>
      <c r="J16" s="40"/>
      <c r="K16">
        <v>2.5000000000000001E-2</v>
      </c>
      <c r="L16" s="40" t="s">
        <v>256</v>
      </c>
    </row>
    <row r="17" spans="1:14" x14ac:dyDescent="0.35">
      <c r="A17" t="s">
        <v>38</v>
      </c>
      <c r="B17" t="s">
        <v>130</v>
      </c>
      <c r="C17" t="s">
        <v>19</v>
      </c>
      <c r="D17" t="s">
        <v>116</v>
      </c>
      <c r="E17" t="s">
        <v>117</v>
      </c>
      <c r="F17" s="5">
        <f>H17*1000000000000</f>
        <v>119999.99999999999</v>
      </c>
      <c r="G17" t="s">
        <v>118</v>
      </c>
      <c r="H17">
        <v>1.1999999999999999E-7</v>
      </c>
      <c r="I17" t="s">
        <v>119</v>
      </c>
      <c r="J17" s="40"/>
      <c r="K17">
        <v>0.16700000000000001</v>
      </c>
      <c r="L17" s="40" t="s">
        <v>125</v>
      </c>
      <c r="N17" s="61"/>
    </row>
    <row r="19" spans="1:14" x14ac:dyDescent="0.35">
      <c r="K19" s="62"/>
    </row>
    <row r="20" spans="1:14" x14ac:dyDescent="0.35">
      <c r="L20" s="63"/>
    </row>
  </sheetData>
  <hyperlinks>
    <hyperlink ref="M9" r:id="rId1" display="p. 25 says 3.29 kg of biomethane per kg of h2. which means 5.264 kg of biogas per kg of h2, which means 0.19 tons of h2/ton of biogas https://www.nrel.gov/docs/fy20osti/77198.pdf" xr:uid="{99AA7370-1D2A-404A-BBCF-A936E959E499}"/>
    <hyperlink ref="M10" r:id="rId2" xr:uid="{080AD409-CC9E-4924-BF05-68BCE18394C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3DEA3-76EA-4A12-96E2-2D18F90530EF}">
  <sheetPr>
    <tabColor theme="5" tint="0.79998168889431442"/>
  </sheetPr>
  <dimension ref="A1:H23"/>
  <sheetViews>
    <sheetView workbookViewId="0">
      <selection activeCell="B20" sqref="B13:B20"/>
    </sheetView>
  </sheetViews>
  <sheetFormatPr defaultRowHeight="15.5" x14ac:dyDescent="0.35"/>
  <cols>
    <col min="1" max="1" width="20.58203125" bestFit="1" customWidth="1"/>
    <col min="2" max="2" width="21.83203125" bestFit="1" customWidth="1"/>
    <col min="3" max="3" width="15.5" bestFit="1" customWidth="1"/>
    <col min="4" max="4" width="24" bestFit="1" customWidth="1"/>
    <col min="5" max="5" width="9.58203125" bestFit="1" customWidth="1"/>
    <col min="6" max="6" width="11.08203125" bestFit="1" customWidth="1"/>
    <col min="7" max="7" width="54.83203125" bestFit="1" customWidth="1"/>
    <col min="8" max="8" width="142.25" bestFit="1" customWidth="1"/>
  </cols>
  <sheetData>
    <row r="1" spans="1:8" x14ac:dyDescent="0.35">
      <c r="A1" t="s">
        <v>0</v>
      </c>
      <c r="B1" s="1" t="s">
        <v>1</v>
      </c>
      <c r="C1" t="s">
        <v>2</v>
      </c>
      <c r="D1" t="s">
        <v>4</v>
      </c>
      <c r="E1" t="s">
        <v>97</v>
      </c>
      <c r="F1" t="s">
        <v>6</v>
      </c>
      <c r="G1" t="s">
        <v>325</v>
      </c>
      <c r="H1" t="s">
        <v>356</v>
      </c>
    </row>
    <row r="2" spans="1:8" x14ac:dyDescent="0.35">
      <c r="A2" t="s">
        <v>11</v>
      </c>
      <c r="B2" s="1" t="s">
        <v>12</v>
      </c>
      <c r="C2" t="s">
        <v>375</v>
      </c>
      <c r="D2" t="s">
        <v>15</v>
      </c>
      <c r="E2" t="s">
        <v>352</v>
      </c>
      <c r="F2" s="69">
        <f>6.2*10*8760*0.3</f>
        <v>162936</v>
      </c>
      <c r="G2" t="s">
        <v>357</v>
      </c>
      <c r="H2" s="36" t="s">
        <v>368</v>
      </c>
    </row>
    <row r="3" spans="1:8" x14ac:dyDescent="0.35">
      <c r="A3" t="s">
        <v>22</v>
      </c>
      <c r="B3" s="1" t="s">
        <v>12</v>
      </c>
      <c r="C3" t="s">
        <v>375</v>
      </c>
      <c r="D3" t="s">
        <v>15</v>
      </c>
      <c r="E3" t="s">
        <v>352</v>
      </c>
      <c r="F3" s="69">
        <f>6.2*10*8760*0.3</f>
        <v>162936</v>
      </c>
      <c r="G3" t="s">
        <v>357</v>
      </c>
      <c r="H3" s="36" t="s">
        <v>369</v>
      </c>
    </row>
    <row r="4" spans="1:8" x14ac:dyDescent="0.35">
      <c r="A4" t="s">
        <v>34</v>
      </c>
      <c r="B4" s="1" t="s">
        <v>12</v>
      </c>
      <c r="C4" t="s">
        <v>375</v>
      </c>
      <c r="D4" t="s">
        <v>15</v>
      </c>
      <c r="E4" t="s">
        <v>352</v>
      </c>
      <c r="F4" s="69">
        <f>14*12*1000</f>
        <v>168000</v>
      </c>
      <c r="G4" t="s">
        <v>358</v>
      </c>
      <c r="H4" s="36" t="s">
        <v>370</v>
      </c>
    </row>
    <row r="5" spans="1:8" x14ac:dyDescent="0.35">
      <c r="A5" t="s">
        <v>35</v>
      </c>
      <c r="B5" s="1" t="s">
        <v>12</v>
      </c>
      <c r="C5" t="s">
        <v>375</v>
      </c>
      <c r="D5" t="s">
        <v>15</v>
      </c>
      <c r="E5" t="s">
        <v>352</v>
      </c>
      <c r="F5" s="69"/>
    </row>
    <row r="6" spans="1:8" x14ac:dyDescent="0.35">
      <c r="A6" t="s">
        <v>36</v>
      </c>
      <c r="B6" s="1" t="s">
        <v>12</v>
      </c>
      <c r="C6" t="s">
        <v>375</v>
      </c>
      <c r="D6" t="s">
        <v>15</v>
      </c>
      <c r="E6" t="s">
        <v>352</v>
      </c>
      <c r="F6" s="69">
        <f>20*10*8760*0.69</f>
        <v>1208880</v>
      </c>
      <c r="G6" t="s">
        <v>359</v>
      </c>
      <c r="H6" s="36" t="s">
        <v>368</v>
      </c>
    </row>
    <row r="7" spans="1:8" x14ac:dyDescent="0.35">
      <c r="A7" t="s">
        <v>37</v>
      </c>
      <c r="B7" s="1" t="s">
        <v>12</v>
      </c>
      <c r="C7" t="s">
        <v>375</v>
      </c>
      <c r="D7" t="s">
        <v>15</v>
      </c>
      <c r="E7" t="s">
        <v>352</v>
      </c>
      <c r="F7" s="69">
        <f t="shared" ref="F7:F9" si="0">20*10*8760*0.69</f>
        <v>1208880</v>
      </c>
      <c r="G7" t="s">
        <v>359</v>
      </c>
      <c r="H7" s="36" t="s">
        <v>368</v>
      </c>
    </row>
    <row r="8" spans="1:8" x14ac:dyDescent="0.35">
      <c r="A8" t="s">
        <v>42</v>
      </c>
      <c r="B8" s="1" t="s">
        <v>12</v>
      </c>
      <c r="C8" t="s">
        <v>375</v>
      </c>
      <c r="D8" t="s">
        <v>15</v>
      </c>
      <c r="E8" t="s">
        <v>352</v>
      </c>
      <c r="F8" s="69">
        <f t="shared" si="0"/>
        <v>1208880</v>
      </c>
      <c r="G8" t="s">
        <v>359</v>
      </c>
      <c r="H8" s="36" t="s">
        <v>368</v>
      </c>
    </row>
    <row r="9" spans="1:8" x14ac:dyDescent="0.35">
      <c r="A9" t="s">
        <v>43</v>
      </c>
      <c r="B9" s="1" t="s">
        <v>12</v>
      </c>
      <c r="C9" t="s">
        <v>375</v>
      </c>
      <c r="D9" t="s">
        <v>15</v>
      </c>
      <c r="E9" t="s">
        <v>352</v>
      </c>
      <c r="F9" s="69">
        <f t="shared" si="0"/>
        <v>1208880</v>
      </c>
      <c r="G9" t="s">
        <v>359</v>
      </c>
      <c r="H9" s="36" t="s">
        <v>368</v>
      </c>
    </row>
    <row r="10" spans="1:8" x14ac:dyDescent="0.35">
      <c r="B10" s="55" t="s">
        <v>19</v>
      </c>
      <c r="C10" t="s">
        <v>375</v>
      </c>
      <c r="D10" s="55" t="s">
        <v>15</v>
      </c>
      <c r="E10" t="s">
        <v>353</v>
      </c>
      <c r="F10" s="69">
        <f>7.57*1000</f>
        <v>7570</v>
      </c>
      <c r="G10" s="55" t="s">
        <v>360</v>
      </c>
      <c r="H10" s="36" t="s">
        <v>371</v>
      </c>
    </row>
    <row r="11" spans="1:8" x14ac:dyDescent="0.35">
      <c r="B11" s="1" t="s">
        <v>38</v>
      </c>
      <c r="C11" t="s">
        <v>375</v>
      </c>
      <c r="D11" t="s">
        <v>15</v>
      </c>
      <c r="E11" t="s">
        <v>354</v>
      </c>
      <c r="F11" s="69">
        <f>46/0.000965</f>
        <v>47668.39378238342</v>
      </c>
      <c r="G11" t="s">
        <v>361</v>
      </c>
      <c r="H11" s="68" t="s">
        <v>372</v>
      </c>
    </row>
    <row r="12" spans="1:8" x14ac:dyDescent="0.35">
      <c r="B12" s="1" t="s">
        <v>46</v>
      </c>
      <c r="C12" t="s">
        <v>375</v>
      </c>
      <c r="D12" t="s">
        <v>15</v>
      </c>
      <c r="E12" t="s">
        <v>355</v>
      </c>
      <c r="F12" s="69">
        <f>9.4*1000000</f>
        <v>9400000</v>
      </c>
      <c r="G12" t="s">
        <v>362</v>
      </c>
      <c r="H12" s="36" t="s">
        <v>374</v>
      </c>
    </row>
    <row r="13" spans="1:8" x14ac:dyDescent="0.35">
      <c r="A13" t="s">
        <v>11</v>
      </c>
      <c r="B13" s="1" t="s">
        <v>12</v>
      </c>
      <c r="C13" t="s">
        <v>375</v>
      </c>
      <c r="D13" t="s">
        <v>24</v>
      </c>
      <c r="E13" t="s">
        <v>352</v>
      </c>
      <c r="F13" s="69">
        <f>3*10*8760*0.3</f>
        <v>78840</v>
      </c>
      <c r="G13" t="s">
        <v>363</v>
      </c>
      <c r="H13" s="36" t="s">
        <v>368</v>
      </c>
    </row>
    <row r="14" spans="1:8" x14ac:dyDescent="0.35">
      <c r="A14" t="s">
        <v>22</v>
      </c>
      <c r="B14" s="1" t="s">
        <v>12</v>
      </c>
      <c r="C14" t="s">
        <v>375</v>
      </c>
      <c r="D14" t="s">
        <v>24</v>
      </c>
      <c r="E14" t="s">
        <v>352</v>
      </c>
      <c r="F14" s="69">
        <f>3*10*8760*0.3</f>
        <v>78840</v>
      </c>
      <c r="G14" t="s">
        <v>363</v>
      </c>
      <c r="H14" s="36" t="s">
        <v>368</v>
      </c>
    </row>
    <row r="15" spans="1:8" x14ac:dyDescent="0.35">
      <c r="A15" t="s">
        <v>34</v>
      </c>
      <c r="B15" s="1" t="s">
        <v>12</v>
      </c>
      <c r="C15" t="s">
        <v>375</v>
      </c>
      <c r="D15" t="s">
        <v>24</v>
      </c>
      <c r="E15" t="s">
        <v>352</v>
      </c>
      <c r="F15" s="69">
        <f>9*12*1000</f>
        <v>108000</v>
      </c>
      <c r="G15" t="s">
        <v>364</v>
      </c>
      <c r="H15" s="36" t="s">
        <v>370</v>
      </c>
    </row>
    <row r="16" spans="1:8" x14ac:dyDescent="0.35">
      <c r="A16" t="s">
        <v>35</v>
      </c>
      <c r="B16" s="1" t="s">
        <v>12</v>
      </c>
      <c r="C16" t="s">
        <v>375</v>
      </c>
      <c r="D16" t="s">
        <v>24</v>
      </c>
      <c r="E16" t="s">
        <v>352</v>
      </c>
      <c r="F16" s="69"/>
    </row>
    <row r="17" spans="1:8" x14ac:dyDescent="0.35">
      <c r="A17" t="s">
        <v>36</v>
      </c>
      <c r="B17" s="1" t="s">
        <v>12</v>
      </c>
      <c r="C17" t="s">
        <v>375</v>
      </c>
      <c r="D17" t="s">
        <v>24</v>
      </c>
      <c r="E17" t="s">
        <v>352</v>
      </c>
      <c r="F17" s="69">
        <f>12.8*10*8760*0.69</f>
        <v>773683.19999999995</v>
      </c>
      <c r="G17" t="s">
        <v>365</v>
      </c>
      <c r="H17" s="36" t="s">
        <v>368</v>
      </c>
    </row>
    <row r="18" spans="1:8" x14ac:dyDescent="0.35">
      <c r="A18" t="s">
        <v>37</v>
      </c>
      <c r="B18" s="1" t="s">
        <v>12</v>
      </c>
      <c r="C18" t="s">
        <v>375</v>
      </c>
      <c r="D18" t="s">
        <v>24</v>
      </c>
      <c r="E18" t="s">
        <v>352</v>
      </c>
      <c r="F18" s="69">
        <f t="shared" ref="F18:F20" si="1">12.8*10*8760*0.69</f>
        <v>773683.19999999995</v>
      </c>
      <c r="G18" t="s">
        <v>365</v>
      </c>
      <c r="H18" s="36" t="s">
        <v>368</v>
      </c>
    </row>
    <row r="19" spans="1:8" x14ac:dyDescent="0.35">
      <c r="A19" t="s">
        <v>42</v>
      </c>
      <c r="B19" s="1" t="s">
        <v>12</v>
      </c>
      <c r="C19" t="s">
        <v>375</v>
      </c>
      <c r="D19" t="s">
        <v>24</v>
      </c>
      <c r="E19" t="s">
        <v>352</v>
      </c>
      <c r="F19" s="69">
        <f t="shared" si="1"/>
        <v>773683.19999999995</v>
      </c>
      <c r="G19" t="s">
        <v>365</v>
      </c>
      <c r="H19" s="36" t="s">
        <v>368</v>
      </c>
    </row>
    <row r="20" spans="1:8" x14ac:dyDescent="0.35">
      <c r="A20" t="s">
        <v>43</v>
      </c>
      <c r="B20" s="1" t="s">
        <v>12</v>
      </c>
      <c r="C20" t="s">
        <v>375</v>
      </c>
      <c r="D20" t="s">
        <v>24</v>
      </c>
      <c r="E20" t="s">
        <v>352</v>
      </c>
      <c r="F20" s="69">
        <f t="shared" si="1"/>
        <v>773683.19999999995</v>
      </c>
      <c r="G20" t="s">
        <v>365</v>
      </c>
      <c r="H20" s="36" t="s">
        <v>368</v>
      </c>
    </row>
    <row r="21" spans="1:8" x14ac:dyDescent="0.35">
      <c r="B21" s="55" t="s">
        <v>19</v>
      </c>
      <c r="C21" t="s">
        <v>375</v>
      </c>
      <c r="D21" t="s">
        <v>24</v>
      </c>
      <c r="E21" t="s">
        <v>353</v>
      </c>
      <c r="F21" s="69">
        <f>7.57*1000</f>
        <v>7570</v>
      </c>
      <c r="G21" s="55" t="s">
        <v>360</v>
      </c>
      <c r="H21" s="36" t="s">
        <v>371</v>
      </c>
    </row>
    <row r="22" spans="1:8" x14ac:dyDescent="0.35">
      <c r="B22" s="1" t="s">
        <v>38</v>
      </c>
      <c r="C22" t="s">
        <v>375</v>
      </c>
      <c r="D22" t="s">
        <v>24</v>
      </c>
      <c r="E22" t="s">
        <v>354</v>
      </c>
      <c r="F22" s="69">
        <f>45/0.000965</f>
        <v>46632.124352331608</v>
      </c>
      <c r="G22" t="s">
        <v>367</v>
      </c>
      <c r="H22" s="68" t="s">
        <v>372</v>
      </c>
    </row>
    <row r="23" spans="1:8" x14ac:dyDescent="0.35">
      <c r="B23" s="1" t="s">
        <v>46</v>
      </c>
      <c r="C23" t="s">
        <v>375</v>
      </c>
      <c r="D23" t="s">
        <v>24</v>
      </c>
      <c r="E23" t="s">
        <v>355</v>
      </c>
      <c r="F23" s="69">
        <f>8.3*1000000</f>
        <v>8300000.0000000009</v>
      </c>
      <c r="G23" t="s">
        <v>366</v>
      </c>
      <c r="H23" s="36" t="s">
        <v>373</v>
      </c>
    </row>
  </sheetData>
  <phoneticPr fontId="10" type="noConversion"/>
  <hyperlinks>
    <hyperlink ref="H2" r:id="rId1" display="https://www.cpuc.ca.gov/-/media/cpuc-website/divisions/office-of-governmental-affairs-division/reports/2023/2023-rps-annual-report-to-the-legislature.pdf" xr:uid="{0CE41F2F-7EFA-4077-BF74-D0AB32718B5F}"/>
    <hyperlink ref="H3" r:id="rId2" display="https://www.cpuc.ca.gov/-/media/cpuc-website/divisions/office-of-governmental-affairs-division/reports/2023/2023-rps-annual-report-to-the-legislature.pdf" xr:uid="{F99A5D1D-C6FF-4B64-94B0-018C1B342D4F}"/>
    <hyperlink ref="H6" r:id="rId3" display="https://www.cpuc.ca.gov/-/media/cpuc-website/divisions/office-of-governmental-affairs-division/reports/2023/2023-rps-annual-report-to-the-legislature.pdf" xr:uid="{44BFF6D9-DDE4-499D-A348-A4A8EDB735FC}"/>
    <hyperlink ref="H7" r:id="rId4" display="https://www.cpuc.ca.gov/-/media/cpuc-website/divisions/office-of-governmental-affairs-division/reports/2023/2023-rps-annual-report-to-the-legislature.pdf" xr:uid="{D67EF960-8A9E-4BA7-B6BA-28FF325ABE0B}"/>
    <hyperlink ref="H8" r:id="rId5" display="https://www.cpuc.ca.gov/-/media/cpuc-website/divisions/office-of-governmental-affairs-division/reports/2023/2023-rps-annual-report-to-the-legislature.pdf" xr:uid="{7AA67FA0-4A03-48F4-9880-E4D9AA7D3760}"/>
    <hyperlink ref="H9" r:id="rId6" display="https://www.cpuc.ca.gov/-/media/cpuc-website/divisions/office-of-governmental-affairs-division/reports/2023/2023-rps-annual-report-to-the-legislature.pdf" xr:uid="{D1497CEC-82A1-45A5-8CD6-BBC565E5A510}"/>
    <hyperlink ref="H13" r:id="rId7" display="https://www.cpuc.ca.gov/-/media/cpuc-website/divisions/office-of-governmental-affairs-division/reports/2023/2023-rps-annual-report-to-the-legislature.pdf" xr:uid="{D85DA533-F470-431E-8E93-AEA4954E99BC}"/>
    <hyperlink ref="H14" r:id="rId8" display="https://www.cpuc.ca.gov/-/media/cpuc-website/divisions/office-of-governmental-affairs-division/reports/2023/2023-rps-annual-report-to-the-legislature.pdf" xr:uid="{D47E081D-C74A-4C19-839B-ADC4A72393CE}"/>
    <hyperlink ref="H17" r:id="rId9" display="https://www.cpuc.ca.gov/-/media/cpuc-website/divisions/office-of-governmental-affairs-division/reports/2023/2023-rps-annual-report-to-the-legislature.pdf" xr:uid="{D1151395-2F3E-45AD-8C1A-9523F5AF18B3}"/>
    <hyperlink ref="H18" r:id="rId10" display="https://www.cpuc.ca.gov/-/media/cpuc-website/divisions/office-of-governmental-affairs-division/reports/2023/2023-rps-annual-report-to-the-legislature.pdf" xr:uid="{11B2FC45-C117-43E7-A9F3-332DB8A5F5F4}"/>
    <hyperlink ref="H19" r:id="rId11" display="https://www.cpuc.ca.gov/-/media/cpuc-website/divisions/office-of-governmental-affairs-division/reports/2023/2023-rps-annual-report-to-the-legislature.pdf" xr:uid="{B87028AC-7D3B-445E-AAF0-1D522C62E044}"/>
    <hyperlink ref="H20" r:id="rId12" display="https://www.cpuc.ca.gov/-/media/cpuc-website/divisions/office-of-governmental-affairs-division/reports/2023/2023-rps-annual-report-to-the-legislature.pdf" xr:uid="{81ECC266-91FC-4512-A0B8-4515E2FEDF4D}"/>
    <hyperlink ref="H4" r:id="rId13" xr:uid="{68FEC202-E742-4737-B7A2-31A76D9EF0DB}"/>
    <hyperlink ref="H15" r:id="rId14" xr:uid="{632353F9-78DC-4FBF-A6D8-1C272C63B788}"/>
    <hyperlink ref="H10" r:id="rId15" display="https://www.spglobal.com/commodityinsights/en/market-insights/latest-news/energy-transition/020223-greener-than-green-hydrogen-project-nears-construction-phase-in-california" xr:uid="{3061FACA-5E37-44B0-BCE6-909E7994D62B}"/>
    <hyperlink ref="H21" r:id="rId16" display="https://www.spglobal.com/commodityinsights/en/market-insights/latest-news/energy-transition/020223-greener-than-green-hydrogen-project-nears-construction-phase-in-california" xr:uid="{2AC46F89-B0A4-46B7-AE5B-A871E11EFAD3}"/>
    <hyperlink ref="H11" r:id="rId17" display="https://theicct.org/wp-content/uploads/2023/05/case-studies-california-rng-outlook-2030-may23.pdf" xr:uid="{A9337216-B567-4EF9-84FF-95EB2801414D}"/>
    <hyperlink ref="H22" r:id="rId18" display="https://theicct.org/wp-content/uploads/2023/05/case-studies-california-rng-outlook-2030-may23.pdf" xr:uid="{E86D63D0-DB42-43D8-A6B4-8A6F272B3354}"/>
    <hyperlink ref="H23" r:id="rId19" display="https://www.spglobal.com/commodityinsights/en/market-insights/latest-news/agriculture/082422-sustainable-aviation-fuel-a-winner-as-us-renewable-fuel-producers-embrace-inflation-reduction-act" xr:uid="{FC712674-2E7F-4722-BBDE-1F64A7B0DE33}"/>
    <hyperlink ref="H12" r:id="rId20" location=":~:text=These%20prices%20are%20the%20average,SAF)%20is%20%249.49%20per%20gallon" display="https://www.globalair.com/airport/region.aspx - :~:text=These%20prices%20are%20the%20average,SAF)%20is%20%249.49%20per%20gallon" xr:uid="{1802F9EE-6CF0-4F63-A30F-A15A0BC5E865}"/>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E6374-45B2-3044-B48D-E84DB83BCE11}">
  <dimension ref="A1:J13"/>
  <sheetViews>
    <sheetView workbookViewId="0">
      <selection activeCell="E23" sqref="E23"/>
    </sheetView>
  </sheetViews>
  <sheetFormatPr defaultColWidth="11" defaultRowHeight="15.5" x14ac:dyDescent="0.35"/>
  <cols>
    <col min="1" max="1" width="11.08203125" bestFit="1" customWidth="1"/>
    <col min="2" max="2" width="12.25" bestFit="1" customWidth="1"/>
    <col min="3" max="3" width="17.08203125" bestFit="1" customWidth="1"/>
    <col min="4" max="4" width="27.83203125" bestFit="1" customWidth="1"/>
    <col min="5" max="5" width="13.33203125" bestFit="1" customWidth="1"/>
    <col min="6" max="6" width="7.58203125" bestFit="1" customWidth="1"/>
    <col min="7" max="7" width="12.75" bestFit="1" customWidth="1"/>
    <col min="8" max="8" width="13.83203125" bestFit="1" customWidth="1"/>
    <col min="9" max="9" width="68.33203125" bestFit="1" customWidth="1"/>
    <col min="10" max="10" width="9.83203125" bestFit="1" customWidth="1"/>
  </cols>
  <sheetData>
    <row r="1" spans="1:10" x14ac:dyDescent="0.35">
      <c r="A1" s="1" t="s">
        <v>0</v>
      </c>
      <c r="B1" s="1" t="s">
        <v>1</v>
      </c>
      <c r="C1" t="s">
        <v>2</v>
      </c>
      <c r="D1" t="s">
        <v>3</v>
      </c>
      <c r="E1" t="s">
        <v>5</v>
      </c>
      <c r="F1" t="s">
        <v>6</v>
      </c>
      <c r="G1" t="s">
        <v>7</v>
      </c>
      <c r="H1" t="s">
        <v>8</v>
      </c>
      <c r="I1" t="s">
        <v>9</v>
      </c>
      <c r="J1" t="s">
        <v>10</v>
      </c>
    </row>
    <row r="2" spans="1:10" x14ac:dyDescent="0.35">
      <c r="A2" s="1" t="s">
        <v>11</v>
      </c>
      <c r="B2" s="1" t="s">
        <v>12</v>
      </c>
      <c r="C2" t="s">
        <v>89</v>
      </c>
      <c r="D2" t="s">
        <v>90</v>
      </c>
      <c r="E2" t="s">
        <v>91</v>
      </c>
      <c r="F2">
        <v>3.4599999999999999E-2</v>
      </c>
    </row>
    <row r="3" spans="1:10" x14ac:dyDescent="0.35">
      <c r="A3" s="47" t="s">
        <v>11</v>
      </c>
      <c r="B3" s="47" t="s">
        <v>19</v>
      </c>
      <c r="C3" t="s">
        <v>89</v>
      </c>
      <c r="D3" t="s">
        <v>90</v>
      </c>
      <c r="E3" t="s">
        <v>91</v>
      </c>
      <c r="F3">
        <v>3.4599999999999999E-2</v>
      </c>
      <c r="G3" s="13"/>
      <c r="I3" s="13" t="s">
        <v>92</v>
      </c>
    </row>
    <row r="4" spans="1:10" x14ac:dyDescent="0.35">
      <c r="A4" s="1" t="s">
        <v>22</v>
      </c>
      <c r="B4" s="1" t="s">
        <v>12</v>
      </c>
      <c r="C4" t="s">
        <v>89</v>
      </c>
      <c r="D4" t="s">
        <v>90</v>
      </c>
      <c r="E4" t="s">
        <v>91</v>
      </c>
      <c r="F4">
        <v>2.3599999999999999E-2</v>
      </c>
    </row>
    <row r="5" spans="1:10" x14ac:dyDescent="0.35">
      <c r="A5" s="1" t="s">
        <v>11</v>
      </c>
      <c r="B5" s="1" t="s">
        <v>12</v>
      </c>
      <c r="C5" t="s">
        <v>89</v>
      </c>
      <c r="D5" t="s">
        <v>93</v>
      </c>
      <c r="E5" t="s">
        <v>91</v>
      </c>
      <c r="F5">
        <v>2.8199999999999999E-2</v>
      </c>
    </row>
    <row r="6" spans="1:10" x14ac:dyDescent="0.35">
      <c r="A6" s="1" t="s">
        <v>11</v>
      </c>
      <c r="B6" s="1" t="s">
        <v>19</v>
      </c>
      <c r="C6" t="s">
        <v>89</v>
      </c>
      <c r="D6" t="s">
        <v>93</v>
      </c>
      <c r="E6" t="s">
        <v>91</v>
      </c>
      <c r="F6">
        <v>2.8199999999999999E-2</v>
      </c>
    </row>
    <row r="7" spans="1:10" x14ac:dyDescent="0.35">
      <c r="A7" s="1" t="s">
        <v>22</v>
      </c>
      <c r="B7" s="1" t="s">
        <v>12</v>
      </c>
      <c r="C7" t="s">
        <v>89</v>
      </c>
      <c r="D7" t="s">
        <v>93</v>
      </c>
      <c r="E7" t="s">
        <v>91</v>
      </c>
      <c r="F7">
        <v>4.0899999999999999E-2</v>
      </c>
    </row>
    <row r="8" spans="1:10" x14ac:dyDescent="0.35">
      <c r="A8" s="1" t="s">
        <v>11</v>
      </c>
      <c r="B8" s="1" t="s">
        <v>12</v>
      </c>
      <c r="C8" t="s">
        <v>89</v>
      </c>
      <c r="D8" t="s">
        <v>94</v>
      </c>
      <c r="E8" t="s">
        <v>91</v>
      </c>
      <c r="F8">
        <v>3.3399999999999999E-2</v>
      </c>
    </row>
    <row r="9" spans="1:10" x14ac:dyDescent="0.35">
      <c r="A9" s="1" t="s">
        <v>11</v>
      </c>
      <c r="B9" s="1" t="s">
        <v>19</v>
      </c>
      <c r="C9" t="s">
        <v>89</v>
      </c>
      <c r="D9" t="s">
        <v>94</v>
      </c>
      <c r="E9" t="s">
        <v>91</v>
      </c>
      <c r="F9">
        <v>3.3399999999999999E-2</v>
      </c>
    </row>
    <row r="10" spans="1:10" x14ac:dyDescent="0.35">
      <c r="A10" s="1" t="s">
        <v>22</v>
      </c>
      <c r="B10" s="1" t="s">
        <v>12</v>
      </c>
      <c r="C10" t="s">
        <v>89</v>
      </c>
      <c r="D10" t="s">
        <v>94</v>
      </c>
      <c r="E10" t="s">
        <v>91</v>
      </c>
      <c r="F10">
        <v>0.02</v>
      </c>
    </row>
    <row r="11" spans="1:10" x14ac:dyDescent="0.35">
      <c r="A11" s="1" t="s">
        <v>11</v>
      </c>
      <c r="B11" s="1" t="s">
        <v>12</v>
      </c>
      <c r="C11" t="s">
        <v>89</v>
      </c>
      <c r="D11" t="s">
        <v>95</v>
      </c>
      <c r="E11" t="s">
        <v>91</v>
      </c>
      <c r="F11">
        <v>5.62E-3</v>
      </c>
    </row>
    <row r="12" spans="1:10" x14ac:dyDescent="0.35">
      <c r="A12" s="1" t="s">
        <v>11</v>
      </c>
      <c r="B12" s="1" t="s">
        <v>19</v>
      </c>
      <c r="C12" t="s">
        <v>89</v>
      </c>
      <c r="D12" t="s">
        <v>95</v>
      </c>
      <c r="E12" t="s">
        <v>91</v>
      </c>
      <c r="F12">
        <v>5.62E-3</v>
      </c>
    </row>
    <row r="13" spans="1:10" x14ac:dyDescent="0.35">
      <c r="A13" s="1" t="s">
        <v>22</v>
      </c>
      <c r="B13" s="1" t="s">
        <v>12</v>
      </c>
      <c r="C13" t="s">
        <v>89</v>
      </c>
      <c r="D13" t="s">
        <v>95</v>
      </c>
      <c r="E13" t="s">
        <v>91</v>
      </c>
      <c r="F13">
        <v>1.1299999999999999E-3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D7D08-7196-4DD6-A58C-02D5A271324B}">
  <dimension ref="A1:E3"/>
  <sheetViews>
    <sheetView workbookViewId="0">
      <selection activeCell="D6" sqref="D6"/>
    </sheetView>
  </sheetViews>
  <sheetFormatPr defaultRowHeight="15.5" x14ac:dyDescent="0.35"/>
  <cols>
    <col min="1" max="1" width="13" customWidth="1"/>
    <col min="2" max="2" width="11.83203125" bestFit="1" customWidth="1"/>
    <col min="3" max="3" width="22.5" customWidth="1"/>
    <col min="4" max="4" width="29.5" customWidth="1"/>
  </cols>
  <sheetData>
    <row r="1" spans="1:5" x14ac:dyDescent="0.35">
      <c r="A1" t="s">
        <v>1</v>
      </c>
      <c r="B1" t="s">
        <v>96</v>
      </c>
      <c r="C1" t="s">
        <v>97</v>
      </c>
      <c r="D1" t="s">
        <v>54</v>
      </c>
      <c r="E1" t="s">
        <v>9</v>
      </c>
    </row>
    <row r="2" spans="1:5" x14ac:dyDescent="0.35">
      <c r="A2" t="s">
        <v>12</v>
      </c>
      <c r="B2">
        <v>83.81</v>
      </c>
      <c r="C2" t="s">
        <v>98</v>
      </c>
      <c r="D2" s="36" t="s">
        <v>99</v>
      </c>
      <c r="E2" s="13" t="s">
        <v>100</v>
      </c>
    </row>
    <row r="3" spans="1:5" x14ac:dyDescent="0.35">
      <c r="A3" t="s">
        <v>19</v>
      </c>
    </row>
  </sheetData>
  <hyperlinks>
    <hyperlink ref="D2" r:id="rId1" display="https://netzeroamerica.princeton.edu/img/NZA%20Annex%20F%20-%20HV%20Transmission.pdf" xr:uid="{104B4864-4DDD-469C-B108-01D18B28A22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5616B-DF07-465E-AEEB-CCA6D05FE697}">
  <dimension ref="A1:AK23"/>
  <sheetViews>
    <sheetView workbookViewId="0">
      <pane xSplit="1" topLeftCell="B1" activePane="topRight" state="frozen"/>
      <selection pane="topRight" activeCell="B20" sqref="B20"/>
    </sheetView>
  </sheetViews>
  <sheetFormatPr defaultRowHeight="15.5" x14ac:dyDescent="0.35"/>
  <cols>
    <col min="1" max="1" width="20.58203125" bestFit="1" customWidth="1"/>
    <col min="2" max="2" width="22" bestFit="1" customWidth="1"/>
    <col min="3" max="3" width="23.75" customWidth="1"/>
    <col min="4" max="4" width="9" customWidth="1"/>
    <col min="5" max="5" width="15.25" customWidth="1"/>
    <col min="6" max="6" width="11.08203125" customWidth="1"/>
    <col min="7" max="7" width="17.75" customWidth="1"/>
    <col min="8" max="8" width="10.5" customWidth="1"/>
    <col min="9" max="9" width="14.33203125" customWidth="1"/>
    <col min="10" max="10" width="20" customWidth="1"/>
    <col min="11" max="11" width="43.5" customWidth="1"/>
    <col min="12" max="12" width="14.33203125" customWidth="1"/>
    <col min="13" max="13" width="19.08203125" bestFit="1" customWidth="1"/>
    <col min="14" max="15" width="10.5" customWidth="1"/>
    <col min="16" max="16" width="31.5" bestFit="1" customWidth="1"/>
  </cols>
  <sheetData>
    <row r="1" spans="1:37" x14ac:dyDescent="0.35">
      <c r="A1" t="s">
        <v>0</v>
      </c>
      <c r="B1" t="s">
        <v>1</v>
      </c>
      <c r="C1" t="s">
        <v>101</v>
      </c>
      <c r="D1" t="s">
        <v>102</v>
      </c>
      <c r="E1" t="s">
        <v>103</v>
      </c>
      <c r="F1" t="s">
        <v>104</v>
      </c>
      <c r="G1" t="s">
        <v>105</v>
      </c>
      <c r="H1" t="s">
        <v>97</v>
      </c>
      <c r="I1" t="s">
        <v>106</v>
      </c>
      <c r="J1" t="s">
        <v>107</v>
      </c>
      <c r="K1" t="s">
        <v>108</v>
      </c>
      <c r="L1" t="s">
        <v>109</v>
      </c>
      <c r="M1" t="s">
        <v>248</v>
      </c>
      <c r="N1" t="s">
        <v>249</v>
      </c>
      <c r="O1" t="s">
        <v>109</v>
      </c>
      <c r="P1" t="s">
        <v>110</v>
      </c>
      <c r="Q1">
        <v>2025</v>
      </c>
      <c r="R1">
        <v>2026</v>
      </c>
      <c r="S1">
        <v>2027</v>
      </c>
      <c r="T1">
        <v>2028</v>
      </c>
      <c r="U1">
        <v>2029</v>
      </c>
      <c r="V1">
        <v>2030</v>
      </c>
      <c r="W1">
        <v>2031</v>
      </c>
      <c r="X1">
        <v>2032</v>
      </c>
      <c r="Y1">
        <v>2033</v>
      </c>
      <c r="Z1">
        <v>2034</v>
      </c>
      <c r="AA1">
        <v>2035</v>
      </c>
      <c r="AB1">
        <v>2036</v>
      </c>
      <c r="AC1">
        <v>2037</v>
      </c>
      <c r="AD1">
        <v>2038</v>
      </c>
      <c r="AE1">
        <v>2039</v>
      </c>
      <c r="AF1">
        <v>2040</v>
      </c>
      <c r="AG1">
        <v>2041</v>
      </c>
      <c r="AH1">
        <v>2042</v>
      </c>
      <c r="AI1">
        <v>2043</v>
      </c>
      <c r="AJ1">
        <v>2044</v>
      </c>
      <c r="AK1">
        <v>2045</v>
      </c>
    </row>
    <row r="2" spans="1:37" x14ac:dyDescent="0.35">
      <c r="A2" t="s">
        <v>11</v>
      </c>
      <c r="B2" t="s">
        <v>12</v>
      </c>
      <c r="C2" t="s">
        <v>111</v>
      </c>
      <c r="D2" t="s">
        <v>112</v>
      </c>
      <c r="E2" s="5">
        <f>G2*1000000000000</f>
        <v>3599.8225679871703</v>
      </c>
      <c r="F2" t="s">
        <v>113</v>
      </c>
      <c r="G2" s="37">
        <v>3.5998225679871703E-9</v>
      </c>
      <c r="H2" t="s">
        <v>114</v>
      </c>
      <c r="P2" s="39" t="s">
        <v>115</v>
      </c>
      <c r="Q2" s="5">
        <v>2294.03577178978</v>
      </c>
      <c r="R2" s="5">
        <v>2240.1604058664384</v>
      </c>
      <c r="S2" s="5">
        <v>2186.2850399430968</v>
      </c>
      <c r="T2" s="5">
        <v>2132.4096740197551</v>
      </c>
      <c r="U2" s="5">
        <v>2078.5343080964135</v>
      </c>
      <c r="V2" s="5">
        <v>2024.6589421730721</v>
      </c>
      <c r="W2" s="5">
        <v>1970.7835762497307</v>
      </c>
      <c r="X2" s="5">
        <v>1916.9082103263893</v>
      </c>
      <c r="Y2" s="5">
        <v>1863.0328444030479</v>
      </c>
      <c r="Z2" s="5">
        <v>1809.1574784797065</v>
      </c>
      <c r="AA2" s="5">
        <v>1755.2821125563651</v>
      </c>
      <c r="AB2" s="5">
        <v>1701.4067466330237</v>
      </c>
      <c r="AC2" s="5">
        <v>1647.5313807096823</v>
      </c>
      <c r="AD2" s="5">
        <v>1593.6560147863408</v>
      </c>
      <c r="AE2" s="5">
        <v>1539.7806488629994</v>
      </c>
      <c r="AF2" s="5">
        <v>1485.905282939658</v>
      </c>
      <c r="AG2" s="5">
        <v>1432.0299170163166</v>
      </c>
      <c r="AH2" s="5">
        <v>1378.1545510929752</v>
      </c>
      <c r="AI2" s="5">
        <v>1324.2791851696338</v>
      </c>
      <c r="AJ2" s="5">
        <v>1270.4038192462924</v>
      </c>
      <c r="AK2" s="5">
        <v>1216.528453322951</v>
      </c>
    </row>
    <row r="3" spans="1:37" x14ac:dyDescent="0.35">
      <c r="A3" t="s">
        <v>11</v>
      </c>
      <c r="B3" t="s">
        <v>19</v>
      </c>
      <c r="C3" t="s">
        <v>116</v>
      </c>
      <c r="D3" t="s">
        <v>117</v>
      </c>
      <c r="E3" s="5">
        <f t="shared" ref="E3:E17" si="0">G3*1000000000000</f>
        <v>119999.99999999999</v>
      </c>
      <c r="F3" t="s">
        <v>118</v>
      </c>
      <c r="G3" s="7">
        <v>1.1999999999999999E-7</v>
      </c>
      <c r="H3" t="s">
        <v>119</v>
      </c>
      <c r="I3" s="41">
        <v>0.64900000000000002</v>
      </c>
      <c r="J3">
        <v>51.3</v>
      </c>
      <c r="K3" s="41" t="s">
        <v>120</v>
      </c>
      <c r="L3" s="42" t="s">
        <v>121</v>
      </c>
      <c r="O3" t="s">
        <v>122</v>
      </c>
    </row>
    <row r="4" spans="1:37" x14ac:dyDescent="0.35">
      <c r="A4" t="s">
        <v>22</v>
      </c>
      <c r="B4" t="s">
        <v>12</v>
      </c>
      <c r="C4" t="s">
        <v>111</v>
      </c>
      <c r="D4" t="s">
        <v>112</v>
      </c>
      <c r="E4" s="5">
        <f t="shared" si="0"/>
        <v>3599.8225679871703</v>
      </c>
      <c r="F4" t="s">
        <v>113</v>
      </c>
      <c r="G4" s="37">
        <v>3.5998225679871703E-9</v>
      </c>
      <c r="H4" t="s">
        <v>114</v>
      </c>
      <c r="P4" s="39" t="s">
        <v>115</v>
      </c>
      <c r="Q4" s="5">
        <v>2502.8086901013899</v>
      </c>
      <c r="R4" s="5">
        <v>2482.7671254296229</v>
      </c>
      <c r="S4" s="5">
        <v>2462.7255607578559</v>
      </c>
      <c r="T4" s="5">
        <v>2442.6839960860889</v>
      </c>
      <c r="U4" s="5">
        <v>2422.6424314143219</v>
      </c>
      <c r="V4" s="5">
        <v>2402.6008667425549</v>
      </c>
      <c r="W4" s="5">
        <v>2382.5593020707879</v>
      </c>
      <c r="X4" s="5">
        <v>2362.5177373990209</v>
      </c>
      <c r="Y4" s="5">
        <v>2342.4761727272539</v>
      </c>
      <c r="Z4" s="5">
        <v>2322.4346080554869</v>
      </c>
      <c r="AA4" s="5">
        <v>2302.3930433837199</v>
      </c>
      <c r="AB4" s="5">
        <v>2282.351478711953</v>
      </c>
      <c r="AC4" s="5">
        <v>2262.309914040186</v>
      </c>
      <c r="AD4" s="5">
        <v>2242.268349368419</v>
      </c>
      <c r="AE4" s="5">
        <v>2222.226784696652</v>
      </c>
      <c r="AF4" s="5">
        <v>2202.185220024885</v>
      </c>
      <c r="AG4" s="5">
        <v>2182.143655353118</v>
      </c>
      <c r="AH4" s="5">
        <v>2162.102090681351</v>
      </c>
      <c r="AI4" s="5">
        <v>2142.060526009584</v>
      </c>
      <c r="AJ4" s="5">
        <v>2122.018961337817</v>
      </c>
      <c r="AK4" s="5">
        <v>2101.97739666605</v>
      </c>
    </row>
    <row r="5" spans="1:37" x14ac:dyDescent="0.35">
      <c r="A5" t="s">
        <v>34</v>
      </c>
      <c r="B5" t="s">
        <v>12</v>
      </c>
      <c r="C5" t="s">
        <v>111</v>
      </c>
      <c r="D5" t="s">
        <v>112</v>
      </c>
      <c r="E5" s="5">
        <f t="shared" si="0"/>
        <v>3599.8225679871703</v>
      </c>
      <c r="F5" t="s">
        <v>113</v>
      </c>
      <c r="G5" s="37">
        <v>3.5998225679871703E-9</v>
      </c>
      <c r="H5" t="s">
        <v>114</v>
      </c>
      <c r="P5" s="39" t="s">
        <v>115</v>
      </c>
      <c r="Q5" s="5">
        <v>1171.0983188067505</v>
      </c>
      <c r="R5" s="5">
        <v>1171.0983188067505</v>
      </c>
      <c r="S5" s="5">
        <v>1171.0983188067505</v>
      </c>
      <c r="T5" s="5">
        <v>1171.0983188067505</v>
      </c>
      <c r="U5" s="5">
        <v>1171.0983188067505</v>
      </c>
      <c r="V5" s="5">
        <v>1171.0983188067505</v>
      </c>
      <c r="W5" s="5">
        <v>1171.0983188067505</v>
      </c>
      <c r="X5" s="5">
        <v>1171.0983188067505</v>
      </c>
      <c r="Y5" s="5">
        <v>1171.0983188067505</v>
      </c>
      <c r="Z5" s="5">
        <v>1171.0983188067505</v>
      </c>
      <c r="AA5" s="5">
        <v>1171.0983188067505</v>
      </c>
      <c r="AB5" s="5">
        <v>1171.0983188067505</v>
      </c>
      <c r="AC5" s="5">
        <v>1171.0983188067505</v>
      </c>
      <c r="AD5" s="5">
        <v>1171.0983188067505</v>
      </c>
      <c r="AE5" s="5">
        <v>1171.0983188067505</v>
      </c>
      <c r="AF5" s="5">
        <v>1171.0983188067505</v>
      </c>
      <c r="AG5" s="5">
        <v>1171.0983188067505</v>
      </c>
      <c r="AH5" s="5">
        <v>1171.0983188067505</v>
      </c>
      <c r="AI5" s="5">
        <v>1171.0983188067505</v>
      </c>
      <c r="AJ5" s="5">
        <v>1171.0983188067505</v>
      </c>
      <c r="AK5" s="5">
        <v>1171.0983188067505</v>
      </c>
    </row>
    <row r="6" spans="1:37" x14ac:dyDescent="0.35">
      <c r="A6" t="s">
        <v>35</v>
      </c>
      <c r="B6" t="s">
        <v>12</v>
      </c>
      <c r="C6" t="s">
        <v>111</v>
      </c>
      <c r="D6" t="s">
        <v>112</v>
      </c>
      <c r="E6" s="5">
        <f t="shared" si="0"/>
        <v>3599.8225679871703</v>
      </c>
      <c r="F6" t="s">
        <v>113</v>
      </c>
      <c r="G6" s="37">
        <v>3.5998225679871703E-9</v>
      </c>
      <c r="H6" t="s">
        <v>114</v>
      </c>
      <c r="P6" s="39" t="s">
        <v>115</v>
      </c>
      <c r="Q6" s="5">
        <v>1670.82114582243</v>
      </c>
      <c r="R6" s="5">
        <v>1698.006304040191</v>
      </c>
      <c r="S6" s="5">
        <v>1725.191462257952</v>
      </c>
      <c r="T6" s="5">
        <v>1752.376620475713</v>
      </c>
      <c r="U6" s="5">
        <v>1779.561778693474</v>
      </c>
      <c r="V6" s="5">
        <v>1806.746936911235</v>
      </c>
      <c r="W6" s="5">
        <v>1833.932095128996</v>
      </c>
      <c r="X6" s="5">
        <v>1861.117253346757</v>
      </c>
      <c r="Y6" s="5">
        <v>1888.302411564518</v>
      </c>
      <c r="Z6" s="5">
        <v>1915.487569782279</v>
      </c>
      <c r="AA6" s="5">
        <v>1942.67272800004</v>
      </c>
      <c r="AB6" s="5">
        <v>1969.857886217801</v>
      </c>
      <c r="AC6" s="5">
        <v>1997.043044435562</v>
      </c>
      <c r="AD6" s="5">
        <v>2024.228202653323</v>
      </c>
      <c r="AE6" s="5">
        <v>2051.413360871084</v>
      </c>
      <c r="AF6" s="5">
        <v>2078.598519088845</v>
      </c>
      <c r="AG6" s="5">
        <v>2105.783677306606</v>
      </c>
      <c r="AH6" s="5">
        <v>2132.968835524367</v>
      </c>
      <c r="AI6" s="5">
        <v>2160.153993742128</v>
      </c>
      <c r="AJ6" s="5">
        <v>2187.339151959889</v>
      </c>
      <c r="AK6" s="5">
        <v>2214.52431017765</v>
      </c>
    </row>
    <row r="7" spans="1:37" x14ac:dyDescent="0.35">
      <c r="A7" t="s">
        <v>36</v>
      </c>
      <c r="B7" t="s">
        <v>12</v>
      </c>
      <c r="C7" t="s">
        <v>111</v>
      </c>
      <c r="D7" t="s">
        <v>112</v>
      </c>
      <c r="E7" s="5">
        <f>G7*1000000000000</f>
        <v>3599.8225679871703</v>
      </c>
      <c r="F7" t="s">
        <v>113</v>
      </c>
      <c r="G7" s="37">
        <v>3.5998225679871703E-9</v>
      </c>
      <c r="H7" t="s">
        <v>114</v>
      </c>
      <c r="I7" s="40">
        <v>0.25</v>
      </c>
      <c r="J7" s="12"/>
      <c r="K7" s="40"/>
      <c r="L7" s="40"/>
      <c r="M7">
        <v>19800</v>
      </c>
      <c r="N7" t="s">
        <v>123</v>
      </c>
      <c r="O7" t="s">
        <v>124</v>
      </c>
      <c r="P7" s="39" t="s">
        <v>115</v>
      </c>
      <c r="Q7" s="5">
        <v>6035.0858307307299</v>
      </c>
      <c r="R7" s="5">
        <v>5991.4369513857655</v>
      </c>
      <c r="S7" s="5">
        <v>5947.7880720408011</v>
      </c>
      <c r="T7" s="5">
        <v>5904.1391926958368</v>
      </c>
      <c r="U7" s="5">
        <v>5860.4903133508724</v>
      </c>
      <c r="V7" s="5">
        <v>5816.841434005908</v>
      </c>
      <c r="W7" s="5">
        <v>5773.1925546609436</v>
      </c>
      <c r="X7" s="5">
        <v>5729.5436753159793</v>
      </c>
      <c r="Y7" s="5">
        <v>5685.8947959710149</v>
      </c>
      <c r="Z7" s="5">
        <v>5642.2459166260505</v>
      </c>
      <c r="AA7" s="5">
        <v>5598.5970372810862</v>
      </c>
      <c r="AB7" s="5">
        <v>5554.9481579361218</v>
      </c>
      <c r="AC7" s="5">
        <v>5511.2992785911574</v>
      </c>
      <c r="AD7" s="5">
        <v>5467.650399246193</v>
      </c>
      <c r="AE7" s="5">
        <v>5424.0015199012287</v>
      </c>
      <c r="AF7" s="5">
        <v>5380.3526405562643</v>
      </c>
      <c r="AG7" s="5">
        <v>5336.7037612112999</v>
      </c>
      <c r="AH7" s="5">
        <v>5293.0548818663356</v>
      </c>
      <c r="AI7" s="5">
        <v>5249.4060025213712</v>
      </c>
      <c r="AJ7" s="5">
        <v>5205.7571231764068</v>
      </c>
      <c r="AK7" s="5">
        <v>5162.1082438314425</v>
      </c>
    </row>
    <row r="8" spans="1:37" x14ac:dyDescent="0.35">
      <c r="A8" t="s">
        <v>37</v>
      </c>
      <c r="B8" t="s">
        <v>12</v>
      </c>
      <c r="C8" t="s">
        <v>111</v>
      </c>
      <c r="D8" t="s">
        <v>112</v>
      </c>
      <c r="E8" s="5">
        <f t="shared" ref="E8:E9" si="1">G8*1000000000000</f>
        <v>3599.8225679871703</v>
      </c>
      <c r="F8" t="s">
        <v>113</v>
      </c>
      <c r="G8" s="37">
        <v>3.5998225679871703E-9</v>
      </c>
      <c r="H8" t="s">
        <v>114</v>
      </c>
      <c r="I8" s="40"/>
      <c r="J8" s="12"/>
      <c r="K8" s="40"/>
      <c r="L8" s="40"/>
      <c r="P8" s="39" t="s">
        <v>115</v>
      </c>
      <c r="Q8" s="5">
        <v>6035.0858307307299</v>
      </c>
      <c r="R8" s="5">
        <v>5991.4369513857655</v>
      </c>
      <c r="S8" s="5">
        <v>5947.7880720408011</v>
      </c>
      <c r="T8" s="5">
        <v>5904.1391926958368</v>
      </c>
      <c r="U8" s="5">
        <v>5860.4903133508724</v>
      </c>
      <c r="V8" s="5">
        <v>5816.841434005908</v>
      </c>
      <c r="W8" s="5">
        <v>5773.1925546609436</v>
      </c>
      <c r="X8" s="5">
        <v>5729.5436753159793</v>
      </c>
      <c r="Y8" s="5">
        <v>5685.8947959710149</v>
      </c>
      <c r="Z8" s="5">
        <v>5642.2459166260505</v>
      </c>
      <c r="AA8" s="5">
        <v>5598.5970372810862</v>
      </c>
      <c r="AB8" s="5">
        <v>5554.9481579361218</v>
      </c>
      <c r="AC8" s="5">
        <v>5511.2992785911574</v>
      </c>
      <c r="AD8" s="5">
        <v>5467.650399246193</v>
      </c>
      <c r="AE8" s="5">
        <v>5424.0015199012287</v>
      </c>
      <c r="AF8" s="5">
        <v>5380.3526405562643</v>
      </c>
      <c r="AG8" s="5">
        <v>5336.7037612112999</v>
      </c>
      <c r="AH8" s="5">
        <v>5293.0548818663356</v>
      </c>
      <c r="AI8" s="5">
        <v>5249.4060025213712</v>
      </c>
      <c r="AJ8" s="5">
        <v>5205.7571231764068</v>
      </c>
      <c r="AK8" s="5">
        <v>5162.1082438314425</v>
      </c>
    </row>
    <row r="9" spans="1:37" x14ac:dyDescent="0.35">
      <c r="A9" t="s">
        <v>38</v>
      </c>
      <c r="B9" t="s">
        <v>12</v>
      </c>
      <c r="C9" t="s">
        <v>111</v>
      </c>
      <c r="D9" t="s">
        <v>112</v>
      </c>
      <c r="E9" s="5">
        <f t="shared" si="1"/>
        <v>3599.8225679871703</v>
      </c>
      <c r="F9" t="s">
        <v>113</v>
      </c>
      <c r="G9" s="37">
        <v>3.5998225679871703E-9</v>
      </c>
      <c r="H9" t="s">
        <v>114</v>
      </c>
      <c r="I9" s="40"/>
      <c r="J9" s="12">
        <v>2.5000000000000001E-2</v>
      </c>
      <c r="K9" s="40" t="s">
        <v>256</v>
      </c>
      <c r="L9" s="40"/>
      <c r="P9" s="39" t="s">
        <v>115</v>
      </c>
      <c r="Q9" s="5">
        <v>6035.0858307307299</v>
      </c>
      <c r="R9" s="5">
        <v>5991.4369513857655</v>
      </c>
      <c r="S9" s="5">
        <v>5947.7880720408011</v>
      </c>
      <c r="T9" s="5">
        <v>5904.1391926958368</v>
      </c>
      <c r="U9" s="5">
        <v>5860.4903133508724</v>
      </c>
      <c r="V9" s="5">
        <v>5816.841434005908</v>
      </c>
      <c r="W9" s="5">
        <v>5773.1925546609436</v>
      </c>
      <c r="X9" s="5">
        <v>5729.5436753159793</v>
      </c>
      <c r="Y9" s="5">
        <v>5685.8947959710149</v>
      </c>
      <c r="Z9" s="5">
        <v>5642.2459166260505</v>
      </c>
      <c r="AA9" s="5">
        <v>5598.5970372810862</v>
      </c>
      <c r="AB9" s="5">
        <v>5554.9481579361218</v>
      </c>
      <c r="AC9" s="5">
        <v>5511.2992785911574</v>
      </c>
      <c r="AD9" s="5">
        <v>5467.650399246193</v>
      </c>
      <c r="AE9" s="5">
        <v>5424.0015199012287</v>
      </c>
      <c r="AF9" s="5">
        <v>5380.3526405562643</v>
      </c>
      <c r="AG9" s="5">
        <v>5336.7037612112999</v>
      </c>
      <c r="AH9" s="5">
        <v>5293.0548818663356</v>
      </c>
      <c r="AI9" s="5">
        <v>5249.4060025213712</v>
      </c>
      <c r="AJ9" s="5">
        <v>5205.7571231764068</v>
      </c>
      <c r="AK9" s="5">
        <v>5162.1082438314425</v>
      </c>
    </row>
    <row r="10" spans="1:37" x14ac:dyDescent="0.35">
      <c r="A10" t="s">
        <v>40</v>
      </c>
      <c r="B10" t="s">
        <v>19</v>
      </c>
      <c r="C10" t="s">
        <v>116</v>
      </c>
      <c r="D10" t="s">
        <v>117</v>
      </c>
      <c r="E10" s="5">
        <f t="shared" si="0"/>
        <v>119999.99999999999</v>
      </c>
      <c r="F10" t="s">
        <v>118</v>
      </c>
      <c r="G10">
        <v>1.1999999999999999E-7</v>
      </c>
      <c r="H10" t="s">
        <v>119</v>
      </c>
      <c r="I10" s="40">
        <v>0.72</v>
      </c>
      <c r="J10">
        <v>0.16700000000000001</v>
      </c>
      <c r="K10" s="40" t="s">
        <v>125</v>
      </c>
      <c r="L10" s="43" t="s">
        <v>252</v>
      </c>
      <c r="O10" s="36" t="s">
        <v>127</v>
      </c>
    </row>
    <row r="11" spans="1:37" x14ac:dyDescent="0.35">
      <c r="A11" t="s">
        <v>38</v>
      </c>
      <c r="B11" t="s">
        <v>19</v>
      </c>
      <c r="C11" t="s">
        <v>116</v>
      </c>
      <c r="D11" t="s">
        <v>117</v>
      </c>
      <c r="E11" s="5">
        <f t="shared" ref="E11" si="2">G11*1000000000000</f>
        <v>119999.99999999999</v>
      </c>
      <c r="F11" t="s">
        <v>118</v>
      </c>
      <c r="G11">
        <v>1.1999999999999999E-7</v>
      </c>
      <c r="H11" t="s">
        <v>119</v>
      </c>
      <c r="I11" s="40"/>
      <c r="J11" s="12">
        <v>0.16700000000000001</v>
      </c>
      <c r="K11" s="40" t="s">
        <v>125</v>
      </c>
      <c r="L11" s="43"/>
      <c r="O11" s="36"/>
    </row>
    <row r="12" spans="1:37" x14ac:dyDescent="0.35">
      <c r="A12" t="s">
        <v>37</v>
      </c>
      <c r="B12" t="s">
        <v>19</v>
      </c>
      <c r="C12" t="s">
        <v>116</v>
      </c>
      <c r="D12" t="s">
        <v>117</v>
      </c>
      <c r="E12" s="5">
        <f t="shared" si="0"/>
        <v>119999.99999999999</v>
      </c>
      <c r="F12" t="s">
        <v>118</v>
      </c>
      <c r="G12">
        <v>1.1999999999999999E-7</v>
      </c>
      <c r="H12" t="s">
        <v>119</v>
      </c>
      <c r="I12" s="40">
        <v>0.44</v>
      </c>
      <c r="J12">
        <v>13</v>
      </c>
      <c r="K12" s="40" t="s">
        <v>128</v>
      </c>
      <c r="L12" s="43" t="s">
        <v>126</v>
      </c>
      <c r="M12">
        <v>19800</v>
      </c>
      <c r="N12" t="s">
        <v>123</v>
      </c>
      <c r="O12" t="s">
        <v>129</v>
      </c>
    </row>
    <row r="13" spans="1:37" x14ac:dyDescent="0.35">
      <c r="A13" t="s">
        <v>36</v>
      </c>
      <c r="B13" t="s">
        <v>19</v>
      </c>
      <c r="C13" t="s">
        <v>116</v>
      </c>
      <c r="D13" t="s">
        <v>117</v>
      </c>
      <c r="E13" s="5">
        <f t="shared" si="0"/>
        <v>119999.99999999999</v>
      </c>
      <c r="F13" t="s">
        <v>118</v>
      </c>
      <c r="G13">
        <v>1.1999999999999999E-7</v>
      </c>
      <c r="H13" t="s">
        <v>119</v>
      </c>
      <c r="I13" s="40">
        <v>0.44</v>
      </c>
      <c r="J13">
        <v>13</v>
      </c>
      <c r="K13" s="40" t="s">
        <v>128</v>
      </c>
      <c r="L13" s="43" t="s">
        <v>126</v>
      </c>
      <c r="M13">
        <v>19800</v>
      </c>
      <c r="N13" t="s">
        <v>123</v>
      </c>
      <c r="O13" t="s">
        <v>129</v>
      </c>
    </row>
    <row r="14" spans="1:37" x14ac:dyDescent="0.35">
      <c r="A14" t="s">
        <v>43</v>
      </c>
      <c r="B14" t="s">
        <v>38</v>
      </c>
      <c r="C14" t="s">
        <v>130</v>
      </c>
      <c r="D14" t="s">
        <v>57</v>
      </c>
      <c r="E14" s="5">
        <f t="shared" si="0"/>
        <v>1093000</v>
      </c>
      <c r="F14" t="s">
        <v>131</v>
      </c>
      <c r="G14">
        <v>1.093E-6</v>
      </c>
      <c r="H14" t="s">
        <v>132</v>
      </c>
      <c r="J14" s="12">
        <v>50</v>
      </c>
      <c r="K14" s="40" t="s">
        <v>255</v>
      </c>
      <c r="M14">
        <v>19800</v>
      </c>
      <c r="N14" t="s">
        <v>123</v>
      </c>
    </row>
    <row r="15" spans="1:37" x14ac:dyDescent="0.35">
      <c r="A15" t="s">
        <v>42</v>
      </c>
      <c r="B15" t="s">
        <v>38</v>
      </c>
      <c r="C15" t="s">
        <v>130</v>
      </c>
      <c r="D15" t="s">
        <v>57</v>
      </c>
      <c r="E15" s="5">
        <f t="shared" si="0"/>
        <v>1093000</v>
      </c>
      <c r="F15" t="s">
        <v>131</v>
      </c>
      <c r="G15">
        <v>1.093E-6</v>
      </c>
      <c r="H15" t="s">
        <v>132</v>
      </c>
      <c r="J15" s="12">
        <v>20000</v>
      </c>
      <c r="K15" s="40" t="s">
        <v>133</v>
      </c>
      <c r="M15">
        <v>19800</v>
      </c>
      <c r="N15" t="s">
        <v>123</v>
      </c>
    </row>
    <row r="16" spans="1:37" x14ac:dyDescent="0.35">
      <c r="A16" t="s">
        <v>45</v>
      </c>
      <c r="B16" s="1" t="s">
        <v>46</v>
      </c>
      <c r="C16" t="s">
        <v>134</v>
      </c>
      <c r="D16" t="s">
        <v>135</v>
      </c>
      <c r="E16" s="5">
        <f t="shared" si="0"/>
        <v>142432539.75000003</v>
      </c>
      <c r="F16" t="s">
        <v>136</v>
      </c>
      <c r="G16">
        <v>1.4243253975000002E-4</v>
      </c>
      <c r="H16" t="s">
        <v>137</v>
      </c>
      <c r="J16" s="12">
        <v>1</v>
      </c>
      <c r="K16" s="40" t="s">
        <v>247</v>
      </c>
      <c r="L16" t="s">
        <v>245</v>
      </c>
    </row>
    <row r="17" spans="1:15" x14ac:dyDescent="0.35">
      <c r="A17" t="s">
        <v>48</v>
      </c>
      <c r="B17" s="1" t="s">
        <v>46</v>
      </c>
      <c r="C17" t="s">
        <v>134</v>
      </c>
      <c r="D17" t="s">
        <v>135</v>
      </c>
      <c r="E17" s="5">
        <f t="shared" si="0"/>
        <v>142432539.75000003</v>
      </c>
      <c r="F17" t="s">
        <v>136</v>
      </c>
      <c r="G17">
        <v>1.4243253975000002E-4</v>
      </c>
      <c r="H17" t="s">
        <v>137</v>
      </c>
      <c r="J17" s="12">
        <v>1</v>
      </c>
      <c r="K17" s="40" t="s">
        <v>247</v>
      </c>
      <c r="L17" t="s">
        <v>245</v>
      </c>
    </row>
    <row r="18" spans="1:15" x14ac:dyDescent="0.35">
      <c r="A18" t="s">
        <v>37</v>
      </c>
      <c r="B18" s="1" t="s">
        <v>46</v>
      </c>
      <c r="C18" t="s">
        <v>134</v>
      </c>
      <c r="D18" t="s">
        <v>135</v>
      </c>
      <c r="E18" s="5">
        <f t="shared" ref="E18:E19" si="3">G18*1000000000000</f>
        <v>142432539.75000003</v>
      </c>
      <c r="F18" t="s">
        <v>136</v>
      </c>
      <c r="G18">
        <v>1.4243253975000002E-4</v>
      </c>
      <c r="H18" t="s">
        <v>137</v>
      </c>
      <c r="J18" s="5">
        <v>16181.229773462785</v>
      </c>
      <c r="K18" s="40" t="s">
        <v>246</v>
      </c>
      <c r="L18" t="s">
        <v>250</v>
      </c>
      <c r="O18" s="53"/>
    </row>
    <row r="19" spans="1:15" x14ac:dyDescent="0.35">
      <c r="A19" t="s">
        <v>36</v>
      </c>
      <c r="B19" s="1" t="s">
        <v>46</v>
      </c>
      <c r="C19" t="s">
        <v>134</v>
      </c>
      <c r="D19" t="s">
        <v>135</v>
      </c>
      <c r="E19" s="5">
        <f t="shared" si="3"/>
        <v>142432539.75000003</v>
      </c>
      <c r="F19" t="s">
        <v>136</v>
      </c>
      <c r="G19">
        <v>1.4243253975000002E-4</v>
      </c>
      <c r="H19" t="s">
        <v>137</v>
      </c>
      <c r="J19" s="5">
        <v>14492.753623188406</v>
      </c>
      <c r="K19" s="40" t="s">
        <v>246</v>
      </c>
      <c r="L19" t="s">
        <v>251</v>
      </c>
      <c r="O19" s="53"/>
    </row>
    <row r="23" spans="1:15" x14ac:dyDescent="0.35">
      <c r="L23">
        <v>1000</v>
      </c>
      <c r="M23" t="s">
        <v>253</v>
      </c>
      <c r="N23" t="s">
        <v>254</v>
      </c>
    </row>
  </sheetData>
  <autoFilter ref="A1:AK1" xr:uid="{5FA5616B-DF07-465E-AEEB-CCA6D05FE697}"/>
  <phoneticPr fontId="10" type="noConversion"/>
  <hyperlinks>
    <hyperlink ref="O10" r:id="rId1" display="https://netl.doe.gov/projects/files/ComparisonofCommercialStateofArtFossilBasedHydrogenProductionTechnologies_041222.pdf" xr:uid="{E7CB3D97-93CD-4126-9FFC-6A55103A1392}"/>
    <hyperlink ref="L3" r:id="rId2" display="https://www.nrel.gov/docs/fy20osti/77198.pdf" xr:uid="{531AFCC0-D1CD-457F-9290-C08242A339AF}"/>
    <hyperlink ref="L10" r:id="rId3" display="https://www.nrel.gov/docs/fy20osti/77198.pdf" xr:uid="{979EC4C4-9A4A-47DB-9CBE-1F560C4CD153}"/>
    <hyperlink ref="L12" r:id="rId4" xr:uid="{C8959CBC-501D-4F10-AA88-D7CD003A447E}"/>
    <hyperlink ref="L13" r:id="rId5" xr:uid="{A5DBCFA7-F634-44A5-B62E-436D59BDA540}"/>
  </hyperlinks>
  <pageMargins left="0.7" right="0.7" top="0.75" bottom="0.75" header="0.3" footer="0.3"/>
  <pageSetup orientation="portrait" horizontalDpi="300" verticalDpi="300" r:id="rId6"/>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7BF8B-8E54-426F-864A-9E457E959B26}">
  <dimension ref="A1:Y19"/>
  <sheetViews>
    <sheetView workbookViewId="0">
      <selection activeCell="B19" sqref="B19"/>
    </sheetView>
  </sheetViews>
  <sheetFormatPr defaultRowHeight="15.5" x14ac:dyDescent="0.35"/>
  <cols>
    <col min="1" max="1" width="14.58203125" customWidth="1"/>
    <col min="2" max="2" width="30.33203125" customWidth="1"/>
    <col min="3" max="3" width="8.33203125" customWidth="1"/>
    <col min="4" max="4" width="23.83203125" customWidth="1"/>
    <col min="5" max="25" width="8.25" customWidth="1"/>
  </cols>
  <sheetData>
    <row r="1" spans="1:25" x14ac:dyDescent="0.35">
      <c r="A1" t="s">
        <v>0</v>
      </c>
      <c r="B1" t="s">
        <v>1</v>
      </c>
      <c r="C1" t="s">
        <v>101</v>
      </c>
      <c r="D1" t="s">
        <v>110</v>
      </c>
      <c r="E1">
        <v>2025</v>
      </c>
      <c r="F1">
        <v>2026</v>
      </c>
      <c r="G1">
        <v>2027</v>
      </c>
      <c r="H1">
        <v>2028</v>
      </c>
      <c r="I1">
        <v>2029</v>
      </c>
      <c r="J1">
        <v>2030</v>
      </c>
      <c r="K1">
        <v>2031</v>
      </c>
      <c r="L1">
        <v>2032</v>
      </c>
      <c r="M1">
        <v>2033</v>
      </c>
      <c r="N1">
        <v>2034</v>
      </c>
      <c r="O1">
        <v>2035</v>
      </c>
      <c r="P1">
        <v>2036</v>
      </c>
      <c r="Q1">
        <v>2037</v>
      </c>
      <c r="R1">
        <v>2038</v>
      </c>
      <c r="S1">
        <v>2039</v>
      </c>
      <c r="T1">
        <v>2040</v>
      </c>
      <c r="U1">
        <v>2041</v>
      </c>
      <c r="V1">
        <v>2042</v>
      </c>
      <c r="W1">
        <v>2043</v>
      </c>
      <c r="X1">
        <v>2044</v>
      </c>
      <c r="Y1">
        <v>2045</v>
      </c>
    </row>
    <row r="2" spans="1:25" x14ac:dyDescent="0.35">
      <c r="A2" t="s">
        <v>11</v>
      </c>
      <c r="B2" t="s">
        <v>12</v>
      </c>
      <c r="C2" t="s">
        <v>111</v>
      </c>
      <c r="D2" t="s">
        <v>115</v>
      </c>
      <c r="E2" s="3">
        <v>2294.03577178978</v>
      </c>
      <c r="F2" s="3">
        <v>2240.1604058664384</v>
      </c>
      <c r="G2" s="3">
        <v>2186.2850399430968</v>
      </c>
      <c r="H2" s="3">
        <v>2132.4096740197551</v>
      </c>
      <c r="I2" s="3">
        <v>2078.5343080964135</v>
      </c>
      <c r="J2" s="3">
        <v>2024.6589421730721</v>
      </c>
      <c r="K2" s="3">
        <v>1970.7835762497307</v>
      </c>
      <c r="L2" s="3">
        <v>1916.9082103263893</v>
      </c>
      <c r="M2" s="3">
        <v>1863.0328444030479</v>
      </c>
      <c r="N2" s="3">
        <v>1809.1574784797065</v>
      </c>
      <c r="O2" s="3">
        <v>1755.2821125563651</v>
      </c>
      <c r="P2" s="3">
        <v>1701.4067466330237</v>
      </c>
      <c r="Q2" s="3">
        <v>1647.5313807096823</v>
      </c>
      <c r="R2" s="3">
        <v>1593.6560147863408</v>
      </c>
      <c r="S2" s="3">
        <v>1539.7806488629994</v>
      </c>
      <c r="T2" s="3">
        <v>1485.905282939658</v>
      </c>
      <c r="U2" s="3">
        <v>1432.0299170163166</v>
      </c>
      <c r="V2" s="3">
        <v>1378.1545510929752</v>
      </c>
      <c r="W2" s="3">
        <v>1324.2791851696338</v>
      </c>
      <c r="X2" s="3">
        <v>1270.4038192462924</v>
      </c>
      <c r="Y2" s="3">
        <v>1216.528453322951</v>
      </c>
    </row>
    <row r="3" spans="1:25" x14ac:dyDescent="0.35">
      <c r="A3" t="s">
        <v>22</v>
      </c>
      <c r="B3" t="s">
        <v>12</v>
      </c>
      <c r="C3" t="s">
        <v>111</v>
      </c>
      <c r="D3" t="s">
        <v>115</v>
      </c>
      <c r="E3" s="3">
        <v>2502.8086901013899</v>
      </c>
      <c r="F3" s="3">
        <v>2482.7671254296229</v>
      </c>
      <c r="G3" s="3">
        <v>2462.7255607578559</v>
      </c>
      <c r="H3" s="3">
        <v>2442.6839960860889</v>
      </c>
      <c r="I3" s="3">
        <v>2422.6424314143219</v>
      </c>
      <c r="J3" s="3">
        <v>2402.6008667425549</v>
      </c>
      <c r="K3" s="3">
        <v>2382.5593020707879</v>
      </c>
      <c r="L3" s="3">
        <v>2362.5177373990209</v>
      </c>
      <c r="M3" s="3">
        <v>2342.4761727272539</v>
      </c>
      <c r="N3" s="3">
        <v>2322.4346080554869</v>
      </c>
      <c r="O3" s="3">
        <v>2302.3930433837199</v>
      </c>
      <c r="P3" s="3">
        <v>2282.351478711953</v>
      </c>
      <c r="Q3" s="3">
        <v>2262.309914040186</v>
      </c>
      <c r="R3" s="3">
        <v>2242.268349368419</v>
      </c>
      <c r="S3" s="3">
        <v>2222.226784696652</v>
      </c>
      <c r="T3" s="3">
        <v>2202.185220024885</v>
      </c>
      <c r="U3" s="3">
        <v>2182.143655353118</v>
      </c>
      <c r="V3" s="3">
        <v>2162.102090681351</v>
      </c>
      <c r="W3" s="3">
        <v>2142.060526009584</v>
      </c>
      <c r="X3" s="3">
        <v>2122.018961337817</v>
      </c>
      <c r="Y3" s="3">
        <v>2101.97739666605</v>
      </c>
    </row>
    <row r="4" spans="1:25" x14ac:dyDescent="0.35">
      <c r="A4" s="12" t="s">
        <v>34</v>
      </c>
      <c r="B4" s="12" t="s">
        <v>12</v>
      </c>
      <c r="C4" s="12" t="s">
        <v>111</v>
      </c>
      <c r="D4" s="12" t="s">
        <v>115</v>
      </c>
      <c r="E4" s="3">
        <v>1171.0983188067505</v>
      </c>
      <c r="F4" s="54">
        <v>1171.0983188067505</v>
      </c>
      <c r="G4" s="54">
        <v>1171.0983188067505</v>
      </c>
      <c r="H4" s="54">
        <v>1171.0983188067505</v>
      </c>
      <c r="I4" s="54">
        <v>1171.0983188067505</v>
      </c>
      <c r="J4" s="54">
        <v>1171.0983188067505</v>
      </c>
      <c r="K4" s="54">
        <v>1171.0983188067505</v>
      </c>
      <c r="L4" s="54">
        <v>1171.0983188067505</v>
      </c>
      <c r="M4" s="54">
        <v>1171.0983188067505</v>
      </c>
      <c r="N4" s="54">
        <v>1171.0983188067505</v>
      </c>
      <c r="O4" s="54">
        <v>1171.0983188067505</v>
      </c>
      <c r="P4" s="54">
        <v>1171.0983188067505</v>
      </c>
      <c r="Q4" s="54">
        <v>1171.0983188067505</v>
      </c>
      <c r="R4" s="54">
        <v>1171.0983188067505</v>
      </c>
      <c r="S4" s="54">
        <v>1171.0983188067505</v>
      </c>
      <c r="T4" s="54">
        <v>1171.0983188067505</v>
      </c>
      <c r="U4" s="54">
        <v>1171.0983188067505</v>
      </c>
      <c r="V4" s="54">
        <v>1171.0983188067505</v>
      </c>
      <c r="W4" s="54">
        <v>1171.0983188067505</v>
      </c>
      <c r="X4" s="54">
        <v>1171.0983188067505</v>
      </c>
      <c r="Y4" s="54">
        <v>1171.0983188067505</v>
      </c>
    </row>
    <row r="5" spans="1:25" x14ac:dyDescent="0.35">
      <c r="A5" s="12" t="s">
        <v>35</v>
      </c>
      <c r="B5" s="12" t="s">
        <v>12</v>
      </c>
      <c r="C5" s="12" t="s">
        <v>111</v>
      </c>
      <c r="D5" s="12" t="s">
        <v>115</v>
      </c>
      <c r="E5" s="3">
        <v>1670.82114582243</v>
      </c>
      <c r="F5" s="54">
        <v>1698.006304040191</v>
      </c>
      <c r="G5" s="54">
        <v>1725.191462257952</v>
      </c>
      <c r="H5" s="54">
        <v>1752.376620475713</v>
      </c>
      <c r="I5" s="54">
        <v>1779.561778693474</v>
      </c>
      <c r="J5" s="54">
        <v>1806.746936911235</v>
      </c>
      <c r="K5" s="54">
        <v>1833.932095128996</v>
      </c>
      <c r="L5" s="54">
        <v>1861.117253346757</v>
      </c>
      <c r="M5" s="54">
        <v>1888.302411564518</v>
      </c>
      <c r="N5" s="54">
        <v>1915.487569782279</v>
      </c>
      <c r="O5" s="54">
        <v>1942.67272800004</v>
      </c>
      <c r="P5" s="54">
        <v>1969.857886217801</v>
      </c>
      <c r="Q5" s="54">
        <v>1997.043044435562</v>
      </c>
      <c r="R5" s="54">
        <v>2024.228202653323</v>
      </c>
      <c r="S5" s="54">
        <v>2051.413360871084</v>
      </c>
      <c r="T5" s="54">
        <v>2078.598519088845</v>
      </c>
      <c r="U5" s="54">
        <v>2105.783677306606</v>
      </c>
      <c r="V5" s="54">
        <v>2132.968835524367</v>
      </c>
      <c r="W5" s="54">
        <v>2160.153993742128</v>
      </c>
      <c r="X5" s="54">
        <v>2187.339151959889</v>
      </c>
      <c r="Y5" s="54">
        <v>2214.52431017765</v>
      </c>
    </row>
    <row r="6" spans="1:25" x14ac:dyDescent="0.35">
      <c r="A6" s="12" t="s">
        <v>36</v>
      </c>
      <c r="B6" s="12" t="s">
        <v>12</v>
      </c>
      <c r="C6" s="12" t="s">
        <v>111</v>
      </c>
      <c r="D6" s="12" t="s">
        <v>115</v>
      </c>
      <c r="E6" s="3">
        <v>6035.0858307307299</v>
      </c>
      <c r="F6" s="54">
        <v>5991.4369513857655</v>
      </c>
      <c r="G6" s="54">
        <v>5947.7880720408011</v>
      </c>
      <c r="H6" s="54">
        <v>5904.1391926958368</v>
      </c>
      <c r="I6" s="54">
        <v>5860.4903133508724</v>
      </c>
      <c r="J6" s="54">
        <v>5816.841434005908</v>
      </c>
      <c r="K6" s="54">
        <v>5773.1925546609436</v>
      </c>
      <c r="L6" s="54">
        <v>5729.5436753159793</v>
      </c>
      <c r="M6" s="54">
        <v>5685.8947959710149</v>
      </c>
      <c r="N6" s="54">
        <v>5642.2459166260505</v>
      </c>
      <c r="O6" s="54">
        <v>5598.5970372810862</v>
      </c>
      <c r="P6" s="54">
        <v>5554.9481579361218</v>
      </c>
      <c r="Q6" s="54">
        <v>5511.2992785911574</v>
      </c>
      <c r="R6" s="54">
        <v>5467.650399246193</v>
      </c>
      <c r="S6" s="54">
        <v>5424.0015199012287</v>
      </c>
      <c r="T6" s="54">
        <v>5380.3526405562643</v>
      </c>
      <c r="U6" s="54">
        <v>5336.7037612112999</v>
      </c>
      <c r="V6" s="54">
        <v>5293.0548818663356</v>
      </c>
      <c r="W6" s="54">
        <v>5249.4060025213712</v>
      </c>
      <c r="X6" s="54">
        <v>5205.7571231764068</v>
      </c>
      <c r="Y6" s="54">
        <v>5162.1082438314425</v>
      </c>
    </row>
    <row r="7" spans="1:25" x14ac:dyDescent="0.35">
      <c r="A7" s="12" t="s">
        <v>37</v>
      </c>
      <c r="B7" s="12" t="s">
        <v>12</v>
      </c>
      <c r="C7" s="12" t="s">
        <v>111</v>
      </c>
      <c r="D7" s="12" t="s">
        <v>115</v>
      </c>
      <c r="E7" s="3">
        <v>6035.0858307307299</v>
      </c>
      <c r="F7" s="54">
        <v>5991.4369513857655</v>
      </c>
      <c r="G7" s="54">
        <v>5947.7880720408011</v>
      </c>
      <c r="H7" s="54">
        <v>5904.1391926958368</v>
      </c>
      <c r="I7" s="54">
        <v>5860.4903133508724</v>
      </c>
      <c r="J7" s="54">
        <v>5816.841434005908</v>
      </c>
      <c r="K7" s="54">
        <v>5773.1925546609436</v>
      </c>
      <c r="L7" s="54">
        <v>5729.5436753159793</v>
      </c>
      <c r="M7" s="54">
        <v>5685.8947959710149</v>
      </c>
      <c r="N7" s="54">
        <v>5642.2459166260505</v>
      </c>
      <c r="O7" s="54">
        <v>5598.5970372810862</v>
      </c>
      <c r="P7" s="54">
        <v>5554.9481579361218</v>
      </c>
      <c r="Q7" s="54">
        <v>5511.2992785911574</v>
      </c>
      <c r="R7" s="54">
        <v>5467.650399246193</v>
      </c>
      <c r="S7" s="54">
        <v>5424.0015199012287</v>
      </c>
      <c r="T7" s="54">
        <v>5380.3526405562643</v>
      </c>
      <c r="U7" s="54">
        <v>5336.7037612112999</v>
      </c>
      <c r="V7" s="54">
        <v>5293.0548818663356</v>
      </c>
      <c r="W7" s="54">
        <v>5249.4060025213712</v>
      </c>
      <c r="X7" s="54">
        <v>5205.7571231764068</v>
      </c>
      <c r="Y7" s="54">
        <v>5162.1082438314425</v>
      </c>
    </row>
    <row r="8" spans="1:25" x14ac:dyDescent="0.35">
      <c r="A8" s="12" t="s">
        <v>43</v>
      </c>
      <c r="B8" s="12" t="s">
        <v>12</v>
      </c>
      <c r="C8" s="12" t="s">
        <v>111</v>
      </c>
      <c r="D8" s="12" t="s">
        <v>115</v>
      </c>
      <c r="E8" s="3">
        <v>6035.0858307307299</v>
      </c>
      <c r="F8" s="54">
        <v>5991.4369513857655</v>
      </c>
      <c r="G8" s="54">
        <v>5947.7880720408011</v>
      </c>
      <c r="H8" s="54">
        <v>5904.1391926958368</v>
      </c>
      <c r="I8" s="54">
        <v>5860.4903133508724</v>
      </c>
      <c r="J8" s="54">
        <v>5816.841434005908</v>
      </c>
      <c r="K8" s="54">
        <v>5773.1925546609436</v>
      </c>
      <c r="L8" s="54">
        <v>5729.5436753159793</v>
      </c>
      <c r="M8" s="54">
        <v>5685.8947959710149</v>
      </c>
      <c r="N8" s="54">
        <v>5642.2459166260505</v>
      </c>
      <c r="O8" s="54">
        <v>5598.5970372810862</v>
      </c>
      <c r="P8" s="54">
        <v>5554.9481579361218</v>
      </c>
      <c r="Q8" s="54">
        <v>5511.2992785911574</v>
      </c>
      <c r="R8" s="54">
        <v>5467.650399246193</v>
      </c>
      <c r="S8" s="54">
        <v>5424.0015199012287</v>
      </c>
      <c r="T8" s="54">
        <v>5380.3526405562643</v>
      </c>
      <c r="U8" s="54">
        <v>5336.7037612112999</v>
      </c>
      <c r="V8" s="54">
        <v>5293.0548818663356</v>
      </c>
      <c r="W8" s="54">
        <v>5249.4060025213712</v>
      </c>
      <c r="X8" s="54">
        <v>5205.7571231764068</v>
      </c>
      <c r="Y8" s="54">
        <v>5162.1082438314425</v>
      </c>
    </row>
    <row r="9" spans="1:25" x14ac:dyDescent="0.35">
      <c r="A9" t="s">
        <v>42</v>
      </c>
      <c r="B9" s="12" t="s">
        <v>12</v>
      </c>
      <c r="C9" s="12" t="s">
        <v>111</v>
      </c>
      <c r="D9" s="12" t="s">
        <v>115</v>
      </c>
      <c r="E9" s="3">
        <v>6035.0858307307299</v>
      </c>
      <c r="F9" s="54">
        <v>5991.4369513857655</v>
      </c>
      <c r="G9" s="54">
        <v>5947.7880720408011</v>
      </c>
      <c r="H9" s="54">
        <v>5904.1391926958368</v>
      </c>
      <c r="I9" s="54">
        <v>5860.4903133508724</v>
      </c>
      <c r="J9" s="54">
        <v>5816.841434005908</v>
      </c>
      <c r="K9" s="54">
        <v>5773.1925546609436</v>
      </c>
      <c r="L9" s="54">
        <v>5729.5436753159793</v>
      </c>
      <c r="M9" s="54">
        <v>5685.8947959710149</v>
      </c>
      <c r="N9" s="54">
        <v>5642.2459166260505</v>
      </c>
      <c r="O9" s="54">
        <v>5598.5970372810862</v>
      </c>
      <c r="P9" s="54">
        <v>5554.9481579361218</v>
      </c>
      <c r="Q9" s="54">
        <v>5511.2992785911574</v>
      </c>
      <c r="R9" s="54">
        <v>5467.650399246193</v>
      </c>
      <c r="S9" s="54">
        <v>5424.0015199012287</v>
      </c>
      <c r="T9" s="54">
        <v>5380.3526405562643</v>
      </c>
      <c r="U9" s="54">
        <v>5336.7037612112999</v>
      </c>
      <c r="V9" s="54">
        <v>5293.0548818663356</v>
      </c>
      <c r="W9" s="54">
        <v>5249.4060025213712</v>
      </c>
      <c r="X9" s="54">
        <v>5205.7571231764068</v>
      </c>
      <c r="Y9" s="54">
        <v>5162.1082438314425</v>
      </c>
    </row>
    <row r="12" spans="1:25" x14ac:dyDescent="0.35">
      <c r="E12" s="72">
        <f>E2/8760</f>
        <v>0.26187622965636759</v>
      </c>
      <c r="F12" s="72">
        <f t="shared" ref="F12:Y12" si="0">F2/8760</f>
        <v>0.25572607372904549</v>
      </c>
      <c r="G12" s="72">
        <f t="shared" si="0"/>
        <v>0.24957591780172336</v>
      </c>
      <c r="H12" s="72">
        <f t="shared" si="0"/>
        <v>0.24342576187440126</v>
      </c>
      <c r="I12" s="72">
        <f t="shared" si="0"/>
        <v>0.23727560594707917</v>
      </c>
      <c r="J12" s="72">
        <f t="shared" si="0"/>
        <v>0.23112545001975709</v>
      </c>
      <c r="K12" s="72">
        <f t="shared" si="0"/>
        <v>0.224975294092435</v>
      </c>
      <c r="L12" s="72">
        <f t="shared" si="0"/>
        <v>0.21882513816511293</v>
      </c>
      <c r="M12" s="72">
        <f t="shared" si="0"/>
        <v>0.21267498223779085</v>
      </c>
      <c r="N12" s="72">
        <f t="shared" si="0"/>
        <v>0.20652482631046878</v>
      </c>
      <c r="O12" s="72">
        <f t="shared" si="0"/>
        <v>0.20037467038314669</v>
      </c>
      <c r="P12" s="72">
        <f t="shared" si="0"/>
        <v>0.19422451445582462</v>
      </c>
      <c r="Q12" s="72">
        <f t="shared" si="0"/>
        <v>0.18807435852850254</v>
      </c>
      <c r="R12" s="72">
        <f t="shared" si="0"/>
        <v>0.18192420260118047</v>
      </c>
      <c r="S12" s="72">
        <f t="shared" si="0"/>
        <v>0.17577404667385838</v>
      </c>
      <c r="T12" s="72">
        <f t="shared" si="0"/>
        <v>0.1696238907465363</v>
      </c>
      <c r="U12" s="72">
        <f t="shared" si="0"/>
        <v>0.16347373481921423</v>
      </c>
      <c r="V12" s="72">
        <f t="shared" si="0"/>
        <v>0.15732357889189214</v>
      </c>
      <c r="W12" s="72">
        <f t="shared" si="0"/>
        <v>0.15117342296457006</v>
      </c>
      <c r="X12" s="72">
        <f t="shared" si="0"/>
        <v>0.14502326703724799</v>
      </c>
      <c r="Y12" s="72">
        <f t="shared" si="0"/>
        <v>0.13887311110992592</v>
      </c>
    </row>
    <row r="13" spans="1:25" x14ac:dyDescent="0.35">
      <c r="E13" s="72">
        <f t="shared" ref="E13:E19" si="1">E3/8760</f>
        <v>0.28570875457778422</v>
      </c>
    </row>
    <row r="14" spans="1:25" x14ac:dyDescent="0.35">
      <c r="E14" s="72">
        <f t="shared" si="1"/>
        <v>0.13368702269483454</v>
      </c>
    </row>
    <row r="15" spans="1:25" x14ac:dyDescent="0.35">
      <c r="E15" s="72">
        <f t="shared" si="1"/>
        <v>0.19073300751397604</v>
      </c>
    </row>
    <row r="16" spans="1:25" x14ac:dyDescent="0.35">
      <c r="E16" s="72">
        <f t="shared" si="1"/>
        <v>0.68893673866789151</v>
      </c>
    </row>
    <row r="17" spans="5:5" x14ac:dyDescent="0.35">
      <c r="E17" s="72">
        <f t="shared" si="1"/>
        <v>0.68893673866789151</v>
      </c>
    </row>
    <row r="18" spans="5:5" x14ac:dyDescent="0.35">
      <c r="E18" s="72">
        <f t="shared" si="1"/>
        <v>0.68893673866789151</v>
      </c>
    </row>
    <row r="19" spans="5:5" x14ac:dyDescent="0.35">
      <c r="E19" s="72">
        <f t="shared" si="1"/>
        <v>0.68893673866789151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34657-2DF7-8944-A332-1622EE581035}">
  <dimension ref="A1:AA20"/>
  <sheetViews>
    <sheetView topLeftCell="A4" workbookViewId="0">
      <selection activeCell="C24" sqref="C24"/>
    </sheetView>
  </sheetViews>
  <sheetFormatPr defaultColWidth="11" defaultRowHeight="15.5" x14ac:dyDescent="0.35"/>
  <cols>
    <col min="1" max="1" width="22.08203125" customWidth="1"/>
    <col min="2" max="2" width="31.83203125" bestFit="1" customWidth="1"/>
    <col min="3" max="4" width="21.58203125" bestFit="1" customWidth="1"/>
    <col min="5" max="5" width="15.58203125" bestFit="1" customWidth="1"/>
  </cols>
  <sheetData>
    <row r="1" spans="1:27" x14ac:dyDescent="0.35">
      <c r="A1" t="s">
        <v>288</v>
      </c>
      <c r="B1" t="s">
        <v>0</v>
      </c>
      <c r="C1" t="s">
        <v>140</v>
      </c>
      <c r="D1" t="s">
        <v>1</v>
      </c>
      <c r="E1" t="s">
        <v>101</v>
      </c>
      <c r="F1" t="s">
        <v>102</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row>
    <row r="2" spans="1:27" x14ac:dyDescent="0.35">
      <c r="A2" t="s">
        <v>289</v>
      </c>
      <c r="B2" t="s">
        <v>11</v>
      </c>
      <c r="C2" t="s">
        <v>141</v>
      </c>
      <c r="D2" t="s">
        <v>12</v>
      </c>
      <c r="E2" t="s">
        <v>111</v>
      </c>
      <c r="F2" t="s">
        <v>112</v>
      </c>
      <c r="G2" s="65">
        <v>1266.6666666666667</v>
      </c>
      <c r="H2" s="2">
        <v>2533.3333333333335</v>
      </c>
      <c r="I2" s="2">
        <v>3800</v>
      </c>
      <c r="J2" s="2">
        <v>5066.666666666667</v>
      </c>
      <c r="K2" s="2">
        <v>6333.3333333333339</v>
      </c>
      <c r="L2" s="2">
        <v>7600.0000000000009</v>
      </c>
      <c r="M2" s="2">
        <v>8866.6666666666679</v>
      </c>
      <c r="N2" s="2">
        <v>10133.333333333334</v>
      </c>
      <c r="O2" s="2">
        <v>11400</v>
      </c>
      <c r="P2" s="2">
        <v>12666.666666666666</v>
      </c>
      <c r="Q2" s="2">
        <v>13933.333333333332</v>
      </c>
      <c r="R2" s="2">
        <v>15199.999999999998</v>
      </c>
      <c r="S2" s="2">
        <v>16466.666666666664</v>
      </c>
      <c r="T2" s="2">
        <v>17733.333333333332</v>
      </c>
      <c r="U2" s="2">
        <v>19000</v>
      </c>
      <c r="V2" s="2">
        <v>20266.666666666668</v>
      </c>
      <c r="W2" s="2">
        <v>21533.333333333336</v>
      </c>
      <c r="X2" s="2">
        <v>22800.000000000004</v>
      </c>
      <c r="Y2" s="2">
        <v>24066.666666666672</v>
      </c>
      <c r="Z2" s="2">
        <v>25333.333333333339</v>
      </c>
      <c r="AA2" s="2">
        <v>26600</v>
      </c>
    </row>
    <row r="3" spans="1:27" x14ac:dyDescent="0.35">
      <c r="A3" t="s">
        <v>289</v>
      </c>
      <c r="B3" t="s">
        <v>22</v>
      </c>
      <c r="C3" t="s">
        <v>142</v>
      </c>
      <c r="D3" t="s">
        <v>12</v>
      </c>
      <c r="E3" t="s">
        <v>111</v>
      </c>
      <c r="F3" t="s">
        <v>112</v>
      </c>
      <c r="G3" s="65">
        <v>26.19047619047619</v>
      </c>
      <c r="H3" s="2">
        <v>52.38095238095238</v>
      </c>
      <c r="I3" s="2">
        <v>78.571428571428569</v>
      </c>
      <c r="J3" s="2">
        <v>104.76190476190476</v>
      </c>
      <c r="K3" s="2">
        <v>130.95238095238096</v>
      </c>
      <c r="L3" s="2">
        <v>157.14285714285717</v>
      </c>
      <c r="M3" s="2">
        <v>183.33333333333337</v>
      </c>
      <c r="N3" s="2">
        <v>209.52380952380958</v>
      </c>
      <c r="O3" s="2">
        <v>235.71428571428578</v>
      </c>
      <c r="P3" s="2">
        <v>261.90476190476198</v>
      </c>
      <c r="Q3" s="2">
        <v>288.09523809523819</v>
      </c>
      <c r="R3" s="2">
        <v>314.28571428571439</v>
      </c>
      <c r="S3" s="2">
        <v>340.4761904761906</v>
      </c>
      <c r="T3" s="2">
        <v>366.6666666666668</v>
      </c>
      <c r="U3" s="2">
        <v>392.857142857143</v>
      </c>
      <c r="V3" s="2">
        <v>419.04761904761921</v>
      </c>
      <c r="W3" s="2">
        <v>445.23809523809541</v>
      </c>
      <c r="X3" s="2">
        <v>471.42857142857162</v>
      </c>
      <c r="Y3" s="2">
        <v>497.61904761904782</v>
      </c>
      <c r="Z3" s="2">
        <v>523.80952380952397</v>
      </c>
      <c r="AA3" s="2">
        <v>550</v>
      </c>
    </row>
    <row r="4" spans="1:27" x14ac:dyDescent="0.35">
      <c r="A4" t="s">
        <v>290</v>
      </c>
      <c r="B4" t="s">
        <v>34</v>
      </c>
      <c r="C4" t="s">
        <v>143</v>
      </c>
      <c r="D4" t="s">
        <v>12</v>
      </c>
      <c r="E4" t="s">
        <v>111</v>
      </c>
      <c r="F4" t="s">
        <v>112</v>
      </c>
      <c r="G4" s="65">
        <v>704.76190476190482</v>
      </c>
      <c r="H4" s="2">
        <v>1409.5238095238096</v>
      </c>
      <c r="I4" s="2">
        <v>2114.2857142857147</v>
      </c>
      <c r="J4" s="2">
        <v>2819.0476190476193</v>
      </c>
      <c r="K4" s="2">
        <v>3523.8095238095239</v>
      </c>
      <c r="L4" s="2">
        <v>4228.5714285714284</v>
      </c>
      <c r="M4" s="2">
        <v>4933.333333333333</v>
      </c>
      <c r="N4" s="2">
        <v>5638.0952380952376</v>
      </c>
      <c r="O4" s="2">
        <v>6342.8571428571422</v>
      </c>
      <c r="P4" s="2">
        <v>7047.6190476190468</v>
      </c>
      <c r="Q4" s="2">
        <v>7752.3809523809514</v>
      </c>
      <c r="R4" s="2">
        <v>8457.1428571428569</v>
      </c>
      <c r="S4" s="2">
        <v>9161.9047619047615</v>
      </c>
      <c r="T4" s="2">
        <v>9866.6666666666661</v>
      </c>
      <c r="U4" s="2">
        <v>10571.428571428571</v>
      </c>
      <c r="V4" s="2">
        <v>11276.190476190475</v>
      </c>
      <c r="W4" s="2">
        <v>11980.95238095238</v>
      </c>
      <c r="X4" s="2">
        <v>12685.714285714284</v>
      </c>
      <c r="Y4" s="2">
        <v>13390.476190476189</v>
      </c>
      <c r="Z4" s="2">
        <v>14095.238095238094</v>
      </c>
      <c r="AA4" s="2">
        <v>14800</v>
      </c>
    </row>
    <row r="5" spans="1:27" x14ac:dyDescent="0.35">
      <c r="A5" t="s">
        <v>290</v>
      </c>
      <c r="B5" t="s">
        <v>35</v>
      </c>
      <c r="C5" t="s">
        <v>144</v>
      </c>
      <c r="D5" t="s">
        <v>12</v>
      </c>
      <c r="E5" t="s">
        <v>111</v>
      </c>
      <c r="F5" t="s">
        <v>112</v>
      </c>
      <c r="G5" s="65">
        <v>47.61904761904762</v>
      </c>
      <c r="H5" s="2">
        <v>95.238095238095241</v>
      </c>
      <c r="I5" s="2">
        <v>142.85714285714286</v>
      </c>
      <c r="J5" s="2">
        <v>190.47619047619048</v>
      </c>
      <c r="K5" s="2">
        <v>238.0952380952381</v>
      </c>
      <c r="L5" s="2">
        <v>285.71428571428572</v>
      </c>
      <c r="M5" s="2">
        <v>333.33333333333337</v>
      </c>
      <c r="N5" s="2">
        <v>380.95238095238096</v>
      </c>
      <c r="O5" s="2">
        <v>428.57142857142856</v>
      </c>
      <c r="P5" s="2">
        <v>476.19047619047615</v>
      </c>
      <c r="Q5" s="2">
        <v>523.80952380952374</v>
      </c>
      <c r="R5" s="2">
        <v>571.42857142857133</v>
      </c>
      <c r="S5" s="2">
        <v>619.04761904761892</v>
      </c>
      <c r="T5" s="2">
        <v>666.66666666666652</v>
      </c>
      <c r="U5" s="2">
        <v>714.28571428571411</v>
      </c>
      <c r="V5" s="2">
        <v>761.9047619047617</v>
      </c>
      <c r="W5" s="2">
        <v>809.52380952380929</v>
      </c>
      <c r="X5" s="2">
        <v>857.14285714285688</v>
      </c>
      <c r="Y5" s="2">
        <v>904.76190476190447</v>
      </c>
      <c r="Z5" s="2">
        <v>952.38095238095207</v>
      </c>
      <c r="AA5" s="2">
        <v>1000</v>
      </c>
    </row>
    <row r="6" spans="1:27" x14ac:dyDescent="0.35">
      <c r="A6" t="s">
        <v>138</v>
      </c>
      <c r="B6" t="s">
        <v>36</v>
      </c>
      <c r="C6" t="s">
        <v>145</v>
      </c>
      <c r="D6" t="s">
        <v>12</v>
      </c>
      <c r="E6" t="s">
        <v>111</v>
      </c>
      <c r="F6" t="s">
        <v>112</v>
      </c>
      <c r="G6" s="65">
        <v>0.16563146997929609</v>
      </c>
      <c r="H6" s="2">
        <v>0.33126293995859218</v>
      </c>
      <c r="I6" s="2">
        <v>0.49689440993788825</v>
      </c>
      <c r="J6" s="2">
        <v>0.66252587991718437</v>
      </c>
      <c r="K6" s="2">
        <v>0.82815734989648049</v>
      </c>
      <c r="L6" s="2">
        <v>0.99378881987577661</v>
      </c>
      <c r="M6" s="2">
        <v>1.1594202898550727</v>
      </c>
      <c r="N6" s="2">
        <v>1.3250517598343687</v>
      </c>
      <c r="O6" s="2">
        <v>1.4906832298136647</v>
      </c>
      <c r="P6" s="2">
        <v>1.6563146997929608</v>
      </c>
      <c r="Q6" s="2">
        <v>1.8219461697722568</v>
      </c>
      <c r="R6" s="2">
        <v>1.9875776397515528</v>
      </c>
      <c r="S6" s="2">
        <v>2.1532091097308488</v>
      </c>
      <c r="T6" s="2">
        <v>2.318840579710145</v>
      </c>
      <c r="U6" s="2">
        <v>2.4844720496894412</v>
      </c>
      <c r="V6" s="2">
        <v>2.6501035196687375</v>
      </c>
      <c r="W6" s="2">
        <v>2.8157349896480337</v>
      </c>
      <c r="X6" s="2">
        <v>2.9813664596273299</v>
      </c>
      <c r="Y6" s="2">
        <v>3.1469979296066262</v>
      </c>
      <c r="Z6" s="2">
        <v>3.3126293995859224</v>
      </c>
      <c r="AA6" s="2">
        <v>3.4782608695652177</v>
      </c>
    </row>
    <row r="7" spans="1:27" x14ac:dyDescent="0.35">
      <c r="A7" t="s">
        <v>138</v>
      </c>
      <c r="B7" t="s">
        <v>37</v>
      </c>
      <c r="C7" t="s">
        <v>145</v>
      </c>
      <c r="D7" t="s">
        <v>12</v>
      </c>
      <c r="E7" t="s">
        <v>111</v>
      </c>
      <c r="F7" t="s">
        <v>112</v>
      </c>
      <c r="G7" s="65">
        <v>1.0056196391600118</v>
      </c>
      <c r="H7" s="2">
        <v>2.0112392783200237</v>
      </c>
      <c r="I7" s="2">
        <v>3.0168589174800355</v>
      </c>
      <c r="J7" s="2">
        <v>4.0224785566400474</v>
      </c>
      <c r="K7" s="2">
        <v>5.0280981958000588</v>
      </c>
      <c r="L7" s="2">
        <v>6.0337178349600702</v>
      </c>
      <c r="M7" s="2">
        <v>7.0393374741200816</v>
      </c>
      <c r="N7" s="2">
        <v>8.044957113280093</v>
      </c>
      <c r="O7" s="2">
        <v>9.0505767524401044</v>
      </c>
      <c r="P7" s="2">
        <v>10.056196391600116</v>
      </c>
      <c r="Q7" s="2">
        <v>11.061816030760127</v>
      </c>
      <c r="R7" s="2">
        <v>12.067435669920139</v>
      </c>
      <c r="S7" s="2">
        <v>13.07305530908015</v>
      </c>
      <c r="T7" s="2">
        <v>14.078674948240161</v>
      </c>
      <c r="U7" s="2">
        <v>15.084294587400173</v>
      </c>
      <c r="V7" s="2">
        <v>16.089914226560186</v>
      </c>
      <c r="W7" s="2">
        <v>17.095533865720199</v>
      </c>
      <c r="X7" s="2">
        <v>18.101153504880212</v>
      </c>
      <c r="Y7" s="2">
        <v>19.106773144040226</v>
      </c>
      <c r="Z7" s="2">
        <v>20.112392783200239</v>
      </c>
      <c r="AA7" s="2">
        <v>21.118012422360248</v>
      </c>
    </row>
    <row r="8" spans="1:27" x14ac:dyDescent="0.35">
      <c r="A8" t="s">
        <v>138</v>
      </c>
      <c r="B8" s="13" t="s">
        <v>43</v>
      </c>
      <c r="C8" t="s">
        <v>291</v>
      </c>
      <c r="D8" t="s">
        <v>12</v>
      </c>
      <c r="E8" t="s">
        <v>111</v>
      </c>
      <c r="F8" t="s">
        <v>112</v>
      </c>
      <c r="G8" s="65">
        <v>10</v>
      </c>
      <c r="H8" s="2">
        <v>10</v>
      </c>
      <c r="I8" s="2">
        <v>10</v>
      </c>
      <c r="J8" s="2">
        <v>10</v>
      </c>
      <c r="K8" s="2">
        <v>10</v>
      </c>
      <c r="L8" s="2">
        <v>10</v>
      </c>
      <c r="M8" s="2">
        <v>10</v>
      </c>
      <c r="N8" s="2">
        <v>10</v>
      </c>
      <c r="O8" s="2">
        <v>10</v>
      </c>
      <c r="P8" s="2">
        <v>10</v>
      </c>
      <c r="Q8" s="2">
        <v>10</v>
      </c>
      <c r="R8" s="2">
        <v>10</v>
      </c>
      <c r="S8" s="2">
        <v>10</v>
      </c>
      <c r="T8" s="2">
        <v>10</v>
      </c>
      <c r="U8" s="2">
        <v>10</v>
      </c>
      <c r="V8" s="2">
        <v>10</v>
      </c>
      <c r="W8" s="2">
        <v>10</v>
      </c>
      <c r="X8" s="2">
        <v>10</v>
      </c>
      <c r="Y8" s="2">
        <v>10</v>
      </c>
      <c r="Z8" s="2">
        <v>10</v>
      </c>
      <c r="AA8" s="2">
        <v>10</v>
      </c>
    </row>
    <row r="9" spans="1:27" x14ac:dyDescent="0.35">
      <c r="A9" t="s">
        <v>138</v>
      </c>
      <c r="B9" s="13" t="s">
        <v>42</v>
      </c>
      <c r="C9" t="s">
        <v>291</v>
      </c>
      <c r="D9" t="s">
        <v>12</v>
      </c>
      <c r="E9" t="s">
        <v>111</v>
      </c>
      <c r="F9" t="s">
        <v>112</v>
      </c>
      <c r="G9" s="65">
        <v>10</v>
      </c>
      <c r="H9" s="2">
        <v>10</v>
      </c>
      <c r="I9" s="2">
        <v>10</v>
      </c>
      <c r="J9" s="2">
        <v>10</v>
      </c>
      <c r="K9" s="2">
        <v>10</v>
      </c>
      <c r="L9" s="2">
        <v>10</v>
      </c>
      <c r="M9" s="2">
        <v>10</v>
      </c>
      <c r="N9" s="2">
        <v>10</v>
      </c>
      <c r="O9" s="2">
        <v>10</v>
      </c>
      <c r="P9" s="2">
        <v>10</v>
      </c>
      <c r="Q9" s="2">
        <v>10</v>
      </c>
      <c r="R9" s="2">
        <v>10</v>
      </c>
      <c r="S9" s="2">
        <v>10</v>
      </c>
      <c r="T9" s="2">
        <v>10</v>
      </c>
      <c r="U9" s="2">
        <v>10</v>
      </c>
      <c r="V9" s="2">
        <v>10</v>
      </c>
      <c r="W9" s="2">
        <v>10</v>
      </c>
      <c r="X9" s="2">
        <v>10</v>
      </c>
      <c r="Y9" s="2">
        <v>10</v>
      </c>
      <c r="Z9" s="2">
        <v>10</v>
      </c>
      <c r="AA9" s="2">
        <v>10</v>
      </c>
    </row>
    <row r="10" spans="1:27" x14ac:dyDescent="0.35">
      <c r="A10" t="s">
        <v>289</v>
      </c>
      <c r="B10" t="s">
        <v>11</v>
      </c>
      <c r="C10" t="s">
        <v>147</v>
      </c>
      <c r="D10" t="s">
        <v>19</v>
      </c>
      <c r="E10" t="s">
        <v>116</v>
      </c>
      <c r="F10" t="s">
        <v>117</v>
      </c>
      <c r="G10" s="65">
        <v>2.3661638568470866E-5</v>
      </c>
      <c r="H10" s="2">
        <v>4.7323277136941733E-5</v>
      </c>
      <c r="I10" s="2">
        <v>7.0984915705412602E-5</v>
      </c>
      <c r="J10" s="2">
        <v>9.4646554273883465E-5</v>
      </c>
      <c r="K10" s="2">
        <v>1.1830819284235433E-4</v>
      </c>
      <c r="L10" s="2">
        <v>1.419698314108252E-4</v>
      </c>
      <c r="M10" s="2">
        <v>1.6563146997929608E-4</v>
      </c>
      <c r="N10" s="2">
        <v>1.8929310854776696E-4</v>
      </c>
      <c r="O10" s="2">
        <v>2.1295474711623783E-4</v>
      </c>
      <c r="P10" s="2">
        <v>2.3661638568470871E-4</v>
      </c>
      <c r="Q10" s="2">
        <v>2.6027802425317956E-4</v>
      </c>
      <c r="R10" s="2">
        <v>2.8393966282165041E-4</v>
      </c>
      <c r="S10" s="2">
        <v>3.0760130139012126E-4</v>
      </c>
      <c r="T10" s="2">
        <v>3.3126293995859211E-4</v>
      </c>
      <c r="U10" s="2">
        <v>3.5492457852706296E-4</v>
      </c>
      <c r="V10" s="2">
        <v>3.7858621709553381E-4</v>
      </c>
      <c r="W10" s="2">
        <v>4.0224785566400466E-4</v>
      </c>
      <c r="X10" s="2">
        <v>4.2590949423247551E-4</v>
      </c>
      <c r="Y10" s="2">
        <v>4.4957113280094636E-4</v>
      </c>
      <c r="Z10" s="2">
        <v>4.7323277136941721E-4</v>
      </c>
      <c r="AA10" s="65">
        <v>4.9689440993788822E-4</v>
      </c>
    </row>
    <row r="11" spans="1:27" x14ac:dyDescent="0.35">
      <c r="A11" t="s">
        <v>56</v>
      </c>
      <c r="B11" t="s">
        <v>40</v>
      </c>
      <c r="C11" t="s">
        <v>148</v>
      </c>
      <c r="D11" t="s">
        <v>19</v>
      </c>
      <c r="E11" t="s">
        <v>116</v>
      </c>
      <c r="F11" t="s">
        <v>117</v>
      </c>
      <c r="G11" s="65">
        <v>14761.904761904761</v>
      </c>
      <c r="H11" s="2">
        <v>29523.809523809523</v>
      </c>
      <c r="I11" s="2">
        <v>44285.714285714283</v>
      </c>
      <c r="J11" s="2">
        <v>59047.619047619046</v>
      </c>
      <c r="K11" s="2">
        <v>73809.523809523802</v>
      </c>
      <c r="L11" s="2">
        <v>88571.428571428565</v>
      </c>
      <c r="M11" s="2">
        <v>103333.33333333333</v>
      </c>
      <c r="N11" s="2">
        <v>118095.23809523809</v>
      </c>
      <c r="O11" s="2">
        <v>132857.14285714284</v>
      </c>
      <c r="P11" s="2">
        <v>147619.0476190476</v>
      </c>
      <c r="Q11" s="2">
        <v>162380.95238095237</v>
      </c>
      <c r="R11" s="2">
        <v>177142.85714285713</v>
      </c>
      <c r="S11" s="2">
        <v>191904.76190476189</v>
      </c>
      <c r="T11" s="2">
        <v>206666.66666666666</v>
      </c>
      <c r="U11" s="2">
        <v>221428.57142857142</v>
      </c>
      <c r="V11" s="2">
        <v>236190.47619047618</v>
      </c>
      <c r="W11" s="2">
        <v>250952.38095238095</v>
      </c>
      <c r="X11" s="2">
        <v>265714.28571428568</v>
      </c>
      <c r="Y11" s="2">
        <v>280476.19047619042</v>
      </c>
      <c r="Z11" s="2">
        <v>295238.09523809515</v>
      </c>
      <c r="AA11" s="65">
        <v>310000</v>
      </c>
    </row>
    <row r="12" spans="1:27" x14ac:dyDescent="0.35">
      <c r="A12" t="s">
        <v>138</v>
      </c>
      <c r="B12" t="s">
        <v>37</v>
      </c>
      <c r="C12" t="s">
        <v>149</v>
      </c>
      <c r="D12" t="s">
        <v>19</v>
      </c>
      <c r="E12" t="s">
        <v>116</v>
      </c>
      <c r="F12" t="s">
        <v>117</v>
      </c>
      <c r="G12" s="65">
        <v>523.80952380952385</v>
      </c>
      <c r="H12" s="2">
        <v>1047.6190476190477</v>
      </c>
      <c r="I12" s="2">
        <v>1571.4285714285716</v>
      </c>
      <c r="J12" s="2">
        <v>2095.2380952380954</v>
      </c>
      <c r="K12" s="2">
        <v>2619.0476190476193</v>
      </c>
      <c r="L12" s="2">
        <v>3142.8571428571431</v>
      </c>
      <c r="M12" s="2">
        <v>3666.666666666667</v>
      </c>
      <c r="N12" s="2">
        <v>4190.4761904761908</v>
      </c>
      <c r="O12" s="2">
        <v>4714.2857142857147</v>
      </c>
      <c r="P12" s="2">
        <v>5238.0952380952385</v>
      </c>
      <c r="Q12" s="2">
        <v>5761.9047619047624</v>
      </c>
      <c r="R12" s="2">
        <v>6285.7142857142862</v>
      </c>
      <c r="S12" s="2">
        <v>6809.5238095238101</v>
      </c>
      <c r="T12" s="2">
        <v>7333.3333333333339</v>
      </c>
      <c r="U12" s="2">
        <v>7857.1428571428578</v>
      </c>
      <c r="V12" s="2">
        <v>8380.9523809523816</v>
      </c>
      <c r="W12" s="2">
        <v>8904.7619047619046</v>
      </c>
      <c r="X12" s="2">
        <v>9428.5714285714275</v>
      </c>
      <c r="Y12" s="2">
        <v>9952.3809523809505</v>
      </c>
      <c r="Z12" s="2">
        <v>10476.190476190473</v>
      </c>
      <c r="AA12" s="65">
        <v>11000</v>
      </c>
    </row>
    <row r="13" spans="1:27" x14ac:dyDescent="0.35">
      <c r="A13" t="s">
        <v>138</v>
      </c>
      <c r="B13" t="s">
        <v>36</v>
      </c>
      <c r="C13" t="s">
        <v>149</v>
      </c>
      <c r="D13" t="s">
        <v>19</v>
      </c>
      <c r="E13" t="s">
        <v>116</v>
      </c>
      <c r="F13" t="s">
        <v>117</v>
      </c>
      <c r="G13" s="65">
        <v>3993.0890216824801</v>
      </c>
      <c r="H13" s="2">
        <v>7986.1780433649601</v>
      </c>
      <c r="I13" s="2">
        <v>11979.267065047439</v>
      </c>
      <c r="J13" s="2">
        <v>15972.35608672992</v>
      </c>
      <c r="K13" s="2">
        <v>19965.445108412401</v>
      </c>
      <c r="L13" s="2">
        <v>23958.534130094882</v>
      </c>
      <c r="M13" s="2">
        <v>27951.623151777363</v>
      </c>
      <c r="N13" s="2">
        <v>31944.712173459844</v>
      </c>
      <c r="O13" s="2">
        <v>35937.801195142325</v>
      </c>
      <c r="P13" s="2">
        <v>39930.890216824802</v>
      </c>
      <c r="Q13" s="2">
        <v>43923.97923850728</v>
      </c>
      <c r="R13" s="2">
        <v>47917.068260189757</v>
      </c>
      <c r="S13" s="2">
        <v>51910.157281872234</v>
      </c>
      <c r="T13" s="2">
        <v>55903.246303554712</v>
      </c>
      <c r="U13" s="2">
        <v>59896.335325237189</v>
      </c>
      <c r="V13" s="2">
        <v>63889.424346919666</v>
      </c>
      <c r="W13" s="2">
        <v>67882.513368602144</v>
      </c>
      <c r="X13" s="2">
        <v>71875.602390284621</v>
      </c>
      <c r="Y13" s="2">
        <v>75868.691411967098</v>
      </c>
      <c r="Z13" s="2">
        <v>79861.780433649576</v>
      </c>
      <c r="AA13" s="65">
        <v>83854.869455332082</v>
      </c>
    </row>
    <row r="14" spans="1:27" x14ac:dyDescent="0.35">
      <c r="A14" t="s">
        <v>138</v>
      </c>
      <c r="B14" t="s">
        <v>43</v>
      </c>
      <c r="C14" t="s">
        <v>292</v>
      </c>
      <c r="D14" t="s">
        <v>19</v>
      </c>
      <c r="E14" t="s">
        <v>116</v>
      </c>
      <c r="F14" t="s">
        <v>117</v>
      </c>
      <c r="G14" s="65">
        <v>20</v>
      </c>
      <c r="H14" s="2">
        <v>20</v>
      </c>
      <c r="I14" s="2">
        <v>20</v>
      </c>
      <c r="J14" s="2">
        <v>20</v>
      </c>
      <c r="K14" s="2">
        <v>20</v>
      </c>
      <c r="L14" s="2">
        <v>20</v>
      </c>
      <c r="M14" s="2">
        <v>20</v>
      </c>
      <c r="N14" s="2">
        <v>20</v>
      </c>
      <c r="O14" s="2">
        <v>20</v>
      </c>
      <c r="P14" s="2">
        <v>20</v>
      </c>
      <c r="Q14" s="2">
        <v>20</v>
      </c>
      <c r="R14" s="2">
        <v>20</v>
      </c>
      <c r="S14" s="2">
        <v>20</v>
      </c>
      <c r="T14" s="2">
        <v>20</v>
      </c>
      <c r="U14" s="2">
        <v>20</v>
      </c>
      <c r="V14" s="2">
        <v>20</v>
      </c>
      <c r="W14" s="2">
        <v>20</v>
      </c>
      <c r="X14" s="2">
        <v>20</v>
      </c>
      <c r="Y14" s="2">
        <v>20</v>
      </c>
      <c r="Z14" s="2">
        <v>20</v>
      </c>
      <c r="AA14" s="65">
        <v>20</v>
      </c>
    </row>
    <row r="15" spans="1:27" x14ac:dyDescent="0.35">
      <c r="A15" t="s">
        <v>138</v>
      </c>
      <c r="B15" t="s">
        <v>42</v>
      </c>
      <c r="C15" t="s">
        <v>292</v>
      </c>
      <c r="D15" t="s">
        <v>19</v>
      </c>
      <c r="E15" t="s">
        <v>116</v>
      </c>
      <c r="F15" t="s">
        <v>117</v>
      </c>
      <c r="G15" s="65">
        <v>20</v>
      </c>
      <c r="H15" s="2">
        <v>20</v>
      </c>
      <c r="I15" s="2">
        <v>20</v>
      </c>
      <c r="J15" s="2">
        <v>20</v>
      </c>
      <c r="K15" s="2">
        <v>20</v>
      </c>
      <c r="L15" s="2">
        <v>20</v>
      </c>
      <c r="M15" s="2">
        <v>20</v>
      </c>
      <c r="N15" s="2">
        <v>20</v>
      </c>
      <c r="O15" s="2">
        <v>20</v>
      </c>
      <c r="P15" s="2">
        <v>20</v>
      </c>
      <c r="Q15" s="2">
        <v>20</v>
      </c>
      <c r="R15" s="2">
        <v>20</v>
      </c>
      <c r="S15" s="2">
        <v>20</v>
      </c>
      <c r="T15" s="2">
        <v>20</v>
      </c>
      <c r="U15" s="2">
        <v>20</v>
      </c>
      <c r="V15" s="2">
        <v>20</v>
      </c>
      <c r="W15" s="2">
        <v>20</v>
      </c>
      <c r="X15" s="2">
        <v>20</v>
      </c>
      <c r="Y15" s="2">
        <v>20</v>
      </c>
      <c r="Z15" s="2">
        <v>20</v>
      </c>
      <c r="AA15" s="65">
        <v>20</v>
      </c>
    </row>
    <row r="16" spans="1:27" x14ac:dyDescent="0.35">
      <c r="A16" t="s">
        <v>138</v>
      </c>
      <c r="B16" s="13" t="s">
        <v>43</v>
      </c>
      <c r="C16" t="s">
        <v>151</v>
      </c>
      <c r="D16" t="s">
        <v>38</v>
      </c>
      <c r="E16" t="s">
        <v>130</v>
      </c>
      <c r="F16" t="s">
        <v>57</v>
      </c>
      <c r="G16" s="65">
        <v>1893379.5969071945</v>
      </c>
      <c r="H16" s="2">
        <v>3786759.1938143889</v>
      </c>
      <c r="I16" s="2">
        <v>5680138.7907215832</v>
      </c>
      <c r="J16" s="2">
        <v>7573518.3876287779</v>
      </c>
      <c r="K16" s="2">
        <v>9466897.9845359717</v>
      </c>
      <c r="L16" s="2">
        <v>11360277.581443166</v>
      </c>
      <c r="M16" s="2">
        <v>13253657.178350361</v>
      </c>
      <c r="N16" s="2">
        <v>15147036.775257556</v>
      </c>
      <c r="O16" s="2">
        <v>17040416.372164749</v>
      </c>
      <c r="P16" s="2">
        <v>18933795.969071943</v>
      </c>
      <c r="Q16" s="2">
        <v>20827175.565979138</v>
      </c>
      <c r="R16" s="2">
        <v>22720555.162886333</v>
      </c>
      <c r="S16" s="2">
        <v>24613934.759793527</v>
      </c>
      <c r="T16" s="2">
        <v>26507314.356700722</v>
      </c>
      <c r="U16" s="2">
        <v>28400693.953607917</v>
      </c>
      <c r="V16" s="2">
        <v>30294073.550515112</v>
      </c>
      <c r="W16" s="2">
        <v>32187453.147422306</v>
      </c>
      <c r="X16" s="2">
        <v>34080832.744329497</v>
      </c>
      <c r="Y16" s="2">
        <v>35974212.341236688</v>
      </c>
      <c r="Z16" s="2">
        <v>37867591.938143879</v>
      </c>
      <c r="AA16" s="65">
        <v>39760971.535051085</v>
      </c>
    </row>
    <row r="17" spans="1:27" x14ac:dyDescent="0.35">
      <c r="A17" t="s">
        <v>138</v>
      </c>
      <c r="B17" s="13" t="s">
        <v>42</v>
      </c>
      <c r="C17" t="s">
        <v>151</v>
      </c>
      <c r="D17" t="s">
        <v>38</v>
      </c>
      <c r="E17" t="s">
        <v>130</v>
      </c>
      <c r="F17" t="s">
        <v>57</v>
      </c>
      <c r="G17" s="65">
        <v>122512.79744693608</v>
      </c>
      <c r="H17" s="2">
        <v>245025.59489387216</v>
      </c>
      <c r="I17" s="2">
        <v>367538.39234080823</v>
      </c>
      <c r="J17" s="2">
        <v>490051.18978774431</v>
      </c>
      <c r="K17" s="2">
        <v>612563.98723468045</v>
      </c>
      <c r="L17" s="2">
        <v>735076.78468161658</v>
      </c>
      <c r="M17" s="2">
        <v>857589.58212855272</v>
      </c>
      <c r="N17" s="2">
        <v>980102.37957548886</v>
      </c>
      <c r="O17" s="2">
        <v>1102615.177022425</v>
      </c>
      <c r="P17" s="2">
        <v>1225127.9744693611</v>
      </c>
      <c r="Q17" s="2">
        <v>1347640.7719162973</v>
      </c>
      <c r="R17" s="2">
        <v>1470153.5693632334</v>
      </c>
      <c r="S17" s="2">
        <v>1592666.3668101695</v>
      </c>
      <c r="T17" s="2">
        <v>1715179.1642571057</v>
      </c>
      <c r="U17" s="2">
        <v>1837691.9617040418</v>
      </c>
      <c r="V17" s="2">
        <v>1960204.7591509779</v>
      </c>
      <c r="W17" s="2">
        <v>2082717.5565979141</v>
      </c>
      <c r="X17" s="2">
        <v>2205230.35404485</v>
      </c>
      <c r="Y17" s="2">
        <v>2327743.1514917859</v>
      </c>
      <c r="Z17" s="2">
        <v>2450255.9489387218</v>
      </c>
      <c r="AA17" s="65">
        <v>2572768.7463856577</v>
      </c>
    </row>
    <row r="18" spans="1:27" x14ac:dyDescent="0.35">
      <c r="A18" t="s">
        <v>138</v>
      </c>
      <c r="B18" t="s">
        <v>37</v>
      </c>
      <c r="C18" t="s">
        <v>154</v>
      </c>
      <c r="D18" t="s">
        <v>46</v>
      </c>
      <c r="E18" t="s">
        <v>134</v>
      </c>
      <c r="F18" t="s">
        <v>135</v>
      </c>
      <c r="G18" s="65">
        <v>274.72527472527474</v>
      </c>
      <c r="H18" s="2">
        <v>549.45054945054949</v>
      </c>
      <c r="I18" s="2">
        <v>824.17582417582423</v>
      </c>
      <c r="J18" s="2">
        <v>1098.901098901099</v>
      </c>
      <c r="K18" s="2">
        <v>1373.6263736263736</v>
      </c>
      <c r="L18" s="2">
        <v>1648.3516483516482</v>
      </c>
      <c r="M18" s="2">
        <v>1923.0769230769229</v>
      </c>
      <c r="N18" s="2">
        <v>2197.8021978021975</v>
      </c>
      <c r="O18" s="2">
        <v>2472.5274725274721</v>
      </c>
      <c r="P18" s="2">
        <v>2747.2527472527468</v>
      </c>
      <c r="Q18" s="2">
        <v>3021.9780219780214</v>
      </c>
      <c r="R18" s="2">
        <v>3296.703296703296</v>
      </c>
      <c r="S18" s="2">
        <v>3571.4285714285706</v>
      </c>
      <c r="T18" s="2">
        <v>3846.1538461538453</v>
      </c>
      <c r="U18" s="2">
        <v>4120.8791208791199</v>
      </c>
      <c r="V18" s="2">
        <v>4395.604395604395</v>
      </c>
      <c r="W18" s="2">
        <v>4670.3296703296701</v>
      </c>
      <c r="X18" s="2">
        <v>4945.0549450549452</v>
      </c>
      <c r="Y18" s="2">
        <v>5219.7802197802202</v>
      </c>
      <c r="Z18" s="2">
        <v>5494.5054945054953</v>
      </c>
      <c r="AA18" s="2">
        <v>5769.2307692307695</v>
      </c>
    </row>
    <row r="19" spans="1:27" x14ac:dyDescent="0.35">
      <c r="A19" t="s">
        <v>138</v>
      </c>
      <c r="B19" t="s">
        <v>36</v>
      </c>
      <c r="C19" t="s">
        <v>154</v>
      </c>
      <c r="D19" t="s">
        <v>46</v>
      </c>
      <c r="E19" t="s">
        <v>134</v>
      </c>
      <c r="F19" t="s">
        <v>135</v>
      </c>
      <c r="G19" s="65">
        <v>10.989010989010989</v>
      </c>
      <c r="H19" s="2">
        <v>21.978021978021978</v>
      </c>
      <c r="I19" s="2">
        <v>32.967032967032964</v>
      </c>
      <c r="J19" s="2">
        <v>43.956043956043956</v>
      </c>
      <c r="K19" s="2">
        <v>54.945054945054949</v>
      </c>
      <c r="L19" s="2">
        <v>65.934065934065941</v>
      </c>
      <c r="M19" s="2">
        <v>76.923076923076934</v>
      </c>
      <c r="N19" s="2">
        <v>87.912087912087927</v>
      </c>
      <c r="O19" s="2">
        <v>98.901098901098919</v>
      </c>
      <c r="P19" s="2">
        <v>109.89010989010991</v>
      </c>
      <c r="Q19" s="2">
        <v>120.8791208791209</v>
      </c>
      <c r="R19" s="2">
        <v>131.86813186813188</v>
      </c>
      <c r="S19" s="2">
        <v>142.85714285714286</v>
      </c>
      <c r="T19" s="2">
        <v>153.84615384615384</v>
      </c>
      <c r="U19" s="2">
        <v>164.83516483516482</v>
      </c>
      <c r="V19" s="2">
        <v>175.8241758241758</v>
      </c>
      <c r="W19" s="2">
        <v>186.81318681318677</v>
      </c>
      <c r="X19" s="2">
        <v>197.80219780219775</v>
      </c>
      <c r="Y19" s="2">
        <v>208.79120879120873</v>
      </c>
      <c r="Z19" s="2">
        <v>219.78021978021971</v>
      </c>
      <c r="AA19" s="2">
        <v>230.76923076923077</v>
      </c>
    </row>
    <row r="20" spans="1:27" ht="16.5" customHeight="1" x14ac:dyDescent="0.35">
      <c r="A20" t="s">
        <v>138</v>
      </c>
      <c r="B20" s="2" t="s">
        <v>293</v>
      </c>
      <c r="C20" t="s">
        <v>153</v>
      </c>
      <c r="D20" t="s">
        <v>46</v>
      </c>
      <c r="E20" t="s">
        <v>134</v>
      </c>
      <c r="F20" t="s">
        <v>135</v>
      </c>
      <c r="G20" s="65">
        <v>4081.6326530612241</v>
      </c>
      <c r="H20" s="2">
        <v>8163.2653061224482</v>
      </c>
      <c r="I20" s="2">
        <v>12244.897959183672</v>
      </c>
      <c r="J20" s="2">
        <v>16326.530612244896</v>
      </c>
      <c r="K20" s="2">
        <v>20408.163265306121</v>
      </c>
      <c r="L20" s="2">
        <v>24489.795918367345</v>
      </c>
      <c r="M20" s="2">
        <v>28571.428571428569</v>
      </c>
      <c r="N20" s="2">
        <v>32653.061224489793</v>
      </c>
      <c r="O20" s="2">
        <v>36734.693877551021</v>
      </c>
      <c r="P20" s="2">
        <v>40816.326530612248</v>
      </c>
      <c r="Q20" s="2">
        <v>44897.959183673476</v>
      </c>
      <c r="R20" s="2">
        <v>48979.591836734704</v>
      </c>
      <c r="S20" s="2">
        <v>53061.224489795932</v>
      </c>
      <c r="T20" s="2">
        <v>57142.857142857159</v>
      </c>
      <c r="U20" s="2">
        <v>61224.489795918387</v>
      </c>
      <c r="V20" s="2">
        <v>65306.122448979615</v>
      </c>
      <c r="W20" s="2">
        <v>69387.755102040843</v>
      </c>
      <c r="X20" s="2">
        <v>73469.387755102071</v>
      </c>
      <c r="Y20" s="2">
        <v>77551.020408163298</v>
      </c>
      <c r="Z20" s="2">
        <v>81632.653061224526</v>
      </c>
      <c r="AA20" s="2">
        <v>85714.28571428571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F942D-1725-B745-A61F-46451943A74C}">
  <dimension ref="A1:W6"/>
  <sheetViews>
    <sheetView zoomScale="85" zoomScaleNormal="85" workbookViewId="0">
      <selection activeCell="B18" sqref="B18"/>
    </sheetView>
  </sheetViews>
  <sheetFormatPr defaultColWidth="11" defaultRowHeight="15.5" x14ac:dyDescent="0.35"/>
  <cols>
    <col min="1" max="1" width="21.75" bestFit="1" customWidth="1"/>
    <col min="2" max="2" width="21.08203125" customWidth="1"/>
  </cols>
  <sheetData>
    <row r="1" spans="1:23" x14ac:dyDescent="0.35">
      <c r="A1" t="s">
        <v>1</v>
      </c>
      <c r="B1" t="s">
        <v>159</v>
      </c>
      <c r="C1">
        <v>2025</v>
      </c>
      <c r="D1">
        <v>2026</v>
      </c>
      <c r="E1">
        <v>2027</v>
      </c>
      <c r="F1">
        <v>2028</v>
      </c>
      <c r="G1">
        <v>2029</v>
      </c>
      <c r="H1">
        <v>2030</v>
      </c>
      <c r="I1">
        <v>2031</v>
      </c>
      <c r="J1">
        <v>2032</v>
      </c>
      <c r="K1">
        <v>2033</v>
      </c>
      <c r="L1">
        <v>2034</v>
      </c>
      <c r="M1">
        <v>2035</v>
      </c>
      <c r="N1">
        <v>2036</v>
      </c>
      <c r="O1">
        <v>2037</v>
      </c>
      <c r="P1">
        <v>2038</v>
      </c>
      <c r="Q1">
        <v>2039</v>
      </c>
      <c r="R1">
        <v>2040</v>
      </c>
      <c r="S1">
        <v>2041</v>
      </c>
      <c r="T1">
        <v>2042</v>
      </c>
      <c r="U1">
        <v>2043</v>
      </c>
      <c r="V1">
        <v>2044</v>
      </c>
      <c r="W1">
        <v>2045</v>
      </c>
    </row>
    <row r="2" spans="1:23" x14ac:dyDescent="0.35">
      <c r="A2" t="s">
        <v>12</v>
      </c>
      <c r="B2" t="s">
        <v>60</v>
      </c>
      <c r="C2" s="2">
        <v>1</v>
      </c>
      <c r="D2" s="2">
        <v>1</v>
      </c>
      <c r="E2" s="2">
        <v>1</v>
      </c>
      <c r="F2" s="2">
        <v>1</v>
      </c>
      <c r="G2" s="2">
        <v>1</v>
      </c>
      <c r="H2" s="2">
        <v>1</v>
      </c>
      <c r="I2" s="2">
        <v>1</v>
      </c>
      <c r="J2" s="2">
        <v>1</v>
      </c>
      <c r="K2" s="2">
        <v>1</v>
      </c>
      <c r="L2" s="2">
        <v>1</v>
      </c>
      <c r="M2" s="2">
        <v>1</v>
      </c>
      <c r="N2" s="2">
        <v>1</v>
      </c>
      <c r="O2" s="2">
        <v>1</v>
      </c>
      <c r="P2" s="2">
        <v>1</v>
      </c>
      <c r="Q2" s="2">
        <v>1</v>
      </c>
      <c r="R2" s="2">
        <v>1</v>
      </c>
      <c r="S2" s="2">
        <v>1</v>
      </c>
      <c r="T2" s="2">
        <v>1</v>
      </c>
      <c r="U2" s="2">
        <v>1</v>
      </c>
      <c r="V2" s="2">
        <v>1</v>
      </c>
      <c r="W2" s="2">
        <v>1</v>
      </c>
    </row>
    <row r="3" spans="1:23" x14ac:dyDescent="0.35">
      <c r="A3" t="s">
        <v>19</v>
      </c>
      <c r="B3" t="s">
        <v>61</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row>
    <row r="4" spans="1:23" x14ac:dyDescent="0.35">
      <c r="A4" t="s">
        <v>19</v>
      </c>
      <c r="B4" t="s">
        <v>65</v>
      </c>
      <c r="C4" s="2">
        <v>1</v>
      </c>
      <c r="D4" s="2">
        <v>1</v>
      </c>
      <c r="E4" s="2">
        <v>1</v>
      </c>
      <c r="F4" s="2">
        <v>1</v>
      </c>
      <c r="G4" s="2">
        <v>1</v>
      </c>
      <c r="H4" s="2">
        <v>1</v>
      </c>
      <c r="I4" s="2">
        <v>1</v>
      </c>
      <c r="J4" s="2">
        <v>1</v>
      </c>
      <c r="K4" s="2">
        <v>1</v>
      </c>
      <c r="L4" s="2">
        <v>1</v>
      </c>
      <c r="M4" s="2">
        <v>1</v>
      </c>
      <c r="N4" s="2">
        <v>1</v>
      </c>
      <c r="O4" s="2">
        <v>1</v>
      </c>
      <c r="P4" s="2">
        <v>1</v>
      </c>
      <c r="Q4" s="2">
        <v>1</v>
      </c>
      <c r="R4" s="2">
        <v>1</v>
      </c>
      <c r="S4" s="2">
        <v>1</v>
      </c>
      <c r="T4" s="2">
        <v>1</v>
      </c>
      <c r="U4" s="2">
        <v>1</v>
      </c>
      <c r="V4" s="2">
        <v>1</v>
      </c>
      <c r="W4" s="2">
        <v>1</v>
      </c>
    </row>
    <row r="5" spans="1:23" x14ac:dyDescent="0.35">
      <c r="A5" t="s">
        <v>38</v>
      </c>
      <c r="B5" t="s">
        <v>55</v>
      </c>
      <c r="C5" s="2">
        <v>1</v>
      </c>
      <c r="D5" s="2">
        <v>1</v>
      </c>
      <c r="E5" s="2">
        <v>1</v>
      </c>
      <c r="F5" s="2">
        <v>1</v>
      </c>
      <c r="G5" s="2">
        <v>1</v>
      </c>
      <c r="H5" s="2">
        <v>1</v>
      </c>
      <c r="I5" s="2">
        <v>1</v>
      </c>
      <c r="J5" s="2">
        <v>1</v>
      </c>
      <c r="K5" s="2">
        <v>1</v>
      </c>
      <c r="L5" s="2">
        <v>1</v>
      </c>
      <c r="M5" s="2">
        <v>1</v>
      </c>
      <c r="N5" s="2">
        <v>1</v>
      </c>
      <c r="O5" s="2">
        <v>1</v>
      </c>
      <c r="P5" s="2">
        <v>1</v>
      </c>
      <c r="Q5" s="2">
        <v>1</v>
      </c>
      <c r="R5" s="2">
        <v>1</v>
      </c>
      <c r="S5" s="2">
        <v>1</v>
      </c>
      <c r="T5" s="2">
        <v>1</v>
      </c>
      <c r="U5" s="2">
        <v>1</v>
      </c>
      <c r="V5" s="2">
        <v>1</v>
      </c>
      <c r="W5" s="2">
        <v>1</v>
      </c>
    </row>
    <row r="6" spans="1:23" x14ac:dyDescent="0.35">
      <c r="A6" s="1" t="s">
        <v>46</v>
      </c>
      <c r="B6" t="s">
        <v>67</v>
      </c>
      <c r="C6" s="2">
        <v>1</v>
      </c>
      <c r="D6" s="2">
        <v>1</v>
      </c>
      <c r="E6" s="2">
        <v>1</v>
      </c>
      <c r="F6" s="2">
        <v>1</v>
      </c>
      <c r="G6" s="2">
        <v>1</v>
      </c>
      <c r="H6" s="2">
        <v>1</v>
      </c>
      <c r="I6" s="2">
        <v>1</v>
      </c>
      <c r="J6" s="2">
        <v>1</v>
      </c>
      <c r="K6" s="2">
        <v>1</v>
      </c>
      <c r="L6" s="2">
        <v>1</v>
      </c>
      <c r="M6" s="2">
        <v>1</v>
      </c>
      <c r="N6" s="2">
        <v>1</v>
      </c>
      <c r="O6" s="2">
        <v>1</v>
      </c>
      <c r="P6" s="2">
        <v>1</v>
      </c>
      <c r="Q6" s="2">
        <v>1</v>
      </c>
      <c r="R6" s="2">
        <v>1</v>
      </c>
      <c r="S6" s="2">
        <v>1</v>
      </c>
      <c r="T6" s="2">
        <v>1</v>
      </c>
      <c r="U6" s="2">
        <v>1</v>
      </c>
      <c r="V6" s="2">
        <v>1</v>
      </c>
      <c r="W6" s="2">
        <v>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DA0F3-A3DE-4AB4-98AB-8BE3425A27E0}">
  <dimension ref="A1:G30"/>
  <sheetViews>
    <sheetView workbookViewId="0">
      <selection activeCell="E20" sqref="E20"/>
    </sheetView>
  </sheetViews>
  <sheetFormatPr defaultRowHeight="15.5" x14ac:dyDescent="0.35"/>
  <cols>
    <col min="1" max="1" width="25.75" customWidth="1"/>
    <col min="2" max="2" width="20.75" customWidth="1"/>
    <col min="3" max="3" width="20.58203125" bestFit="1" customWidth="1"/>
    <col min="4" max="4" width="46.83203125" bestFit="1" customWidth="1"/>
    <col min="5" max="5" width="20.33203125" customWidth="1"/>
    <col min="6" max="6" width="15.33203125" customWidth="1"/>
  </cols>
  <sheetData>
    <row r="1" spans="1:7" x14ac:dyDescent="0.35">
      <c r="A1" s="32" t="s">
        <v>155</v>
      </c>
      <c r="B1" s="32" t="s">
        <v>156</v>
      </c>
      <c r="C1" s="50" t="s">
        <v>0</v>
      </c>
      <c r="D1" s="50" t="s">
        <v>140</v>
      </c>
      <c r="E1" s="50" t="s">
        <v>157</v>
      </c>
      <c r="F1" t="s">
        <v>101</v>
      </c>
      <c r="G1" t="s">
        <v>102</v>
      </c>
    </row>
    <row r="2" spans="1:7" x14ac:dyDescent="0.35">
      <c r="A2" s="14" t="s">
        <v>11</v>
      </c>
      <c r="B2" s="49"/>
      <c r="C2" s="51" t="s">
        <v>11</v>
      </c>
      <c r="D2" s="51" t="s">
        <v>141</v>
      </c>
      <c r="E2" s="51" t="s">
        <v>12</v>
      </c>
      <c r="F2" t="s">
        <v>111</v>
      </c>
      <c r="G2" t="s">
        <v>112</v>
      </c>
    </row>
    <row r="3" spans="1:7" x14ac:dyDescent="0.35">
      <c r="A3" s="14" t="s">
        <v>22</v>
      </c>
      <c r="B3" s="49"/>
      <c r="C3" s="51" t="s">
        <v>22</v>
      </c>
      <c r="D3" s="51" t="s">
        <v>142</v>
      </c>
      <c r="E3" s="51" t="s">
        <v>12</v>
      </c>
      <c r="F3" t="s">
        <v>111</v>
      </c>
      <c r="G3" t="s">
        <v>112</v>
      </c>
    </row>
    <row r="4" spans="1:7" x14ac:dyDescent="0.35">
      <c r="A4" s="14" t="s">
        <v>34</v>
      </c>
      <c r="B4" s="49"/>
      <c r="C4" s="51" t="s">
        <v>34</v>
      </c>
      <c r="D4" s="51" t="s">
        <v>143</v>
      </c>
      <c r="E4" s="51" t="s">
        <v>12</v>
      </c>
      <c r="F4" t="s">
        <v>111</v>
      </c>
      <c r="G4" t="s">
        <v>112</v>
      </c>
    </row>
    <row r="5" spans="1:7" x14ac:dyDescent="0.35">
      <c r="A5" s="14" t="s">
        <v>35</v>
      </c>
      <c r="B5" s="49"/>
      <c r="C5" s="51" t="s">
        <v>35</v>
      </c>
      <c r="D5" s="51" t="s">
        <v>144</v>
      </c>
      <c r="E5" s="51" t="s">
        <v>12</v>
      </c>
      <c r="F5" t="s">
        <v>111</v>
      </c>
      <c r="G5" t="s">
        <v>112</v>
      </c>
    </row>
    <row r="6" spans="1:7" x14ac:dyDescent="0.35">
      <c r="A6" s="14" t="s">
        <v>138</v>
      </c>
      <c r="B6" s="14"/>
      <c r="C6" s="51" t="s">
        <v>36</v>
      </c>
      <c r="D6" s="51" t="s">
        <v>145</v>
      </c>
      <c r="E6" s="51" t="s">
        <v>12</v>
      </c>
      <c r="F6" t="s">
        <v>111</v>
      </c>
      <c r="G6" t="s">
        <v>112</v>
      </c>
    </row>
    <row r="7" spans="1:7" x14ac:dyDescent="0.35">
      <c r="A7" s="14" t="s">
        <v>138</v>
      </c>
      <c r="B7" s="14"/>
      <c r="C7" s="51" t="s">
        <v>37</v>
      </c>
      <c r="D7" s="51" t="s">
        <v>145</v>
      </c>
      <c r="E7" s="51" t="s">
        <v>12</v>
      </c>
      <c r="F7" t="s">
        <v>111</v>
      </c>
      <c r="G7" t="s">
        <v>112</v>
      </c>
    </row>
    <row r="8" spans="1:7" x14ac:dyDescent="0.35">
      <c r="A8" s="14" t="s">
        <v>38</v>
      </c>
      <c r="B8" s="16"/>
      <c r="C8" s="51" t="s">
        <v>38</v>
      </c>
      <c r="D8" s="51" t="s">
        <v>146</v>
      </c>
      <c r="E8" s="51" t="s">
        <v>12</v>
      </c>
      <c r="F8" t="s">
        <v>111</v>
      </c>
      <c r="G8" t="s">
        <v>112</v>
      </c>
    </row>
    <row r="9" spans="1:7" x14ac:dyDescent="0.35">
      <c r="A9" s="14" t="s">
        <v>11</v>
      </c>
      <c r="B9" s="14"/>
      <c r="C9" s="51" t="s">
        <v>11</v>
      </c>
      <c r="D9" s="51" t="s">
        <v>147</v>
      </c>
      <c r="E9" s="51" t="s">
        <v>19</v>
      </c>
      <c r="F9" t="s">
        <v>116</v>
      </c>
      <c r="G9" t="s">
        <v>117</v>
      </c>
    </row>
    <row r="10" spans="1:7" x14ac:dyDescent="0.35">
      <c r="A10" s="14" t="s">
        <v>56</v>
      </c>
      <c r="B10" s="14"/>
      <c r="C10" s="51" t="s">
        <v>40</v>
      </c>
      <c r="D10" s="51" t="s">
        <v>148</v>
      </c>
      <c r="E10" s="51" t="s">
        <v>19</v>
      </c>
      <c r="F10" t="s">
        <v>116</v>
      </c>
      <c r="G10" t="s">
        <v>117</v>
      </c>
    </row>
    <row r="11" spans="1:7" x14ac:dyDescent="0.35">
      <c r="A11" s="14" t="s">
        <v>138</v>
      </c>
      <c r="B11" s="14"/>
      <c r="C11" s="51" t="s">
        <v>37</v>
      </c>
      <c r="D11" s="51" t="s">
        <v>149</v>
      </c>
      <c r="E11" s="51" t="s">
        <v>19</v>
      </c>
      <c r="F11" t="s">
        <v>116</v>
      </c>
      <c r="G11" t="s">
        <v>117</v>
      </c>
    </row>
    <row r="12" spans="1:7" x14ac:dyDescent="0.35">
      <c r="A12" s="14" t="s">
        <v>138</v>
      </c>
      <c r="B12" s="14"/>
      <c r="C12" s="51" t="s">
        <v>36</v>
      </c>
      <c r="D12" s="51" t="s">
        <v>149</v>
      </c>
      <c r="E12" s="51" t="s">
        <v>19</v>
      </c>
      <c r="F12" t="s">
        <v>116</v>
      </c>
      <c r="G12" t="s">
        <v>117</v>
      </c>
    </row>
    <row r="13" spans="1:7" x14ac:dyDescent="0.35">
      <c r="A13" s="14" t="s">
        <v>38</v>
      </c>
      <c r="B13" s="14"/>
      <c r="C13" s="51" t="s">
        <v>38</v>
      </c>
      <c r="D13" s="51" t="s">
        <v>150</v>
      </c>
      <c r="E13" s="51" t="s">
        <v>19</v>
      </c>
      <c r="F13" t="s">
        <v>116</v>
      </c>
      <c r="G13" t="s">
        <v>117</v>
      </c>
    </row>
    <row r="14" spans="1:7" x14ac:dyDescent="0.35">
      <c r="A14" s="14" t="s">
        <v>138</v>
      </c>
      <c r="B14" s="14"/>
      <c r="C14" s="51" t="s">
        <v>43</v>
      </c>
      <c r="D14" s="51" t="s">
        <v>151</v>
      </c>
      <c r="E14" s="51" t="s">
        <v>38</v>
      </c>
      <c r="F14" t="s">
        <v>130</v>
      </c>
      <c r="G14" t="s">
        <v>57</v>
      </c>
    </row>
    <row r="15" spans="1:7" x14ac:dyDescent="0.35">
      <c r="A15" s="14" t="s">
        <v>138</v>
      </c>
      <c r="B15" s="14"/>
      <c r="C15" s="51" t="s">
        <v>42</v>
      </c>
      <c r="D15" s="51" t="s">
        <v>151</v>
      </c>
      <c r="E15" s="51" t="s">
        <v>38</v>
      </c>
      <c r="F15" t="s">
        <v>130</v>
      </c>
      <c r="G15" t="s">
        <v>57</v>
      </c>
    </row>
    <row r="16" spans="1:7" x14ac:dyDescent="0.35">
      <c r="A16" s="14" t="s">
        <v>158</v>
      </c>
      <c r="B16" s="14"/>
      <c r="C16" s="51" t="s">
        <v>152</v>
      </c>
      <c r="D16" s="51" t="s">
        <v>153</v>
      </c>
      <c r="E16" s="52" t="s">
        <v>46</v>
      </c>
      <c r="F16" t="s">
        <v>134</v>
      </c>
      <c r="G16" t="s">
        <v>135</v>
      </c>
    </row>
    <row r="17" spans="1:7" x14ac:dyDescent="0.35">
      <c r="A17" s="14" t="s">
        <v>158</v>
      </c>
      <c r="B17" s="14"/>
      <c r="C17" s="51" t="s">
        <v>48</v>
      </c>
      <c r="D17" s="51" t="s">
        <v>153</v>
      </c>
      <c r="E17" s="52" t="s">
        <v>46</v>
      </c>
      <c r="F17" t="s">
        <v>134</v>
      </c>
      <c r="G17" t="s">
        <v>135</v>
      </c>
    </row>
    <row r="18" spans="1:7" x14ac:dyDescent="0.35">
      <c r="A18" s="14" t="s">
        <v>138</v>
      </c>
      <c r="B18" s="14"/>
      <c r="C18" s="51" t="s">
        <v>37</v>
      </c>
      <c r="D18" s="51" t="s">
        <v>154</v>
      </c>
      <c r="E18" s="52" t="s">
        <v>46</v>
      </c>
      <c r="F18" t="s">
        <v>134</v>
      </c>
      <c r="G18" t="s">
        <v>135</v>
      </c>
    </row>
    <row r="19" spans="1:7" x14ac:dyDescent="0.35">
      <c r="A19" s="14" t="s">
        <v>138</v>
      </c>
      <c r="B19" s="14"/>
      <c r="C19" s="51" t="s">
        <v>36</v>
      </c>
      <c r="D19" s="51" t="s">
        <v>154</v>
      </c>
      <c r="E19" s="52" t="s">
        <v>46</v>
      </c>
      <c r="F19" t="s">
        <v>134</v>
      </c>
      <c r="G19" t="s">
        <v>135</v>
      </c>
    </row>
    <row r="23" spans="1:7" x14ac:dyDescent="0.35">
      <c r="A23" s="50" t="s">
        <v>157</v>
      </c>
      <c r="B23" s="32" t="s">
        <v>50</v>
      </c>
    </row>
    <row r="24" spans="1:7" x14ac:dyDescent="0.35">
      <c r="A24" s="51" t="s">
        <v>12</v>
      </c>
      <c r="B24" s="14" t="s">
        <v>60</v>
      </c>
    </row>
    <row r="25" spans="1:7" x14ac:dyDescent="0.35">
      <c r="A25" s="51" t="s">
        <v>19</v>
      </c>
      <c r="B25" s="14" t="s">
        <v>61</v>
      </c>
    </row>
    <row r="26" spans="1:7" x14ac:dyDescent="0.35">
      <c r="A26" s="51" t="s">
        <v>19</v>
      </c>
      <c r="B26" s="14" t="s">
        <v>65</v>
      </c>
    </row>
    <row r="27" spans="1:7" x14ac:dyDescent="0.35">
      <c r="A27" s="51" t="s">
        <v>38</v>
      </c>
      <c r="B27" s="14" t="s">
        <v>12</v>
      </c>
    </row>
    <row r="28" spans="1:7" x14ac:dyDescent="0.35">
      <c r="A28" s="51" t="s">
        <v>38</v>
      </c>
      <c r="B28" s="14" t="s">
        <v>19</v>
      </c>
    </row>
    <row r="29" spans="1:7" x14ac:dyDescent="0.35">
      <c r="A29" s="51" t="s">
        <v>38</v>
      </c>
      <c r="B29" s="14" t="s">
        <v>55</v>
      </c>
    </row>
    <row r="30" spans="1:7" x14ac:dyDescent="0.35">
      <c r="A30" s="51" t="s">
        <v>68</v>
      </c>
      <c r="B30" s="14" t="s">
        <v>67</v>
      </c>
    </row>
  </sheetData>
  <pageMargins left="0.7" right="0.7" top="0.75" bottom="0.75" header="0.3" footer="0.3"/>
  <pageSetup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85204-D4C6-FC4C-98EB-2FC1A2E0E66E}">
  <dimension ref="A1:I6"/>
  <sheetViews>
    <sheetView zoomScaleNormal="100" workbookViewId="0">
      <selection activeCell="A5" sqref="A5"/>
    </sheetView>
  </sheetViews>
  <sheetFormatPr defaultColWidth="11" defaultRowHeight="15.5" x14ac:dyDescent="0.35"/>
  <cols>
    <col min="1" max="1" width="23.33203125" customWidth="1"/>
    <col min="2" max="2" width="20" customWidth="1"/>
    <col min="3" max="3" width="18" customWidth="1"/>
    <col min="4" max="4" width="16.58203125" customWidth="1"/>
    <col min="6" max="6" width="14.5" customWidth="1"/>
    <col min="7" max="7" width="14" customWidth="1"/>
  </cols>
  <sheetData>
    <row r="1" spans="1:9" x14ac:dyDescent="0.35">
      <c r="A1" t="s">
        <v>1</v>
      </c>
      <c r="B1" t="s">
        <v>160</v>
      </c>
      <c r="C1" t="s">
        <v>161</v>
      </c>
      <c r="D1" t="s">
        <v>65</v>
      </c>
      <c r="E1" t="s">
        <v>162</v>
      </c>
      <c r="F1" t="s">
        <v>163</v>
      </c>
      <c r="G1" t="s">
        <v>164</v>
      </c>
      <c r="H1" t="s">
        <v>165</v>
      </c>
      <c r="I1" t="s">
        <v>71</v>
      </c>
    </row>
    <row r="2" spans="1:9" x14ac:dyDescent="0.35">
      <c r="A2" t="s">
        <v>56</v>
      </c>
      <c r="B2">
        <v>1</v>
      </c>
      <c r="I2" s="2">
        <v>1</v>
      </c>
    </row>
    <row r="3" spans="1:9" x14ac:dyDescent="0.35">
      <c r="A3" t="s">
        <v>12</v>
      </c>
      <c r="B3">
        <v>1</v>
      </c>
      <c r="H3" s="2">
        <v>1</v>
      </c>
    </row>
    <row r="4" spans="1:9" x14ac:dyDescent="0.35">
      <c r="A4" t="s">
        <v>19</v>
      </c>
      <c r="B4" s="2">
        <v>1</v>
      </c>
      <c r="D4">
        <v>1</v>
      </c>
      <c r="E4">
        <v>1</v>
      </c>
      <c r="F4">
        <v>1</v>
      </c>
    </row>
    <row r="5" spans="1:9" x14ac:dyDescent="0.35">
      <c r="A5" t="s">
        <v>68</v>
      </c>
      <c r="C5" s="2">
        <v>1</v>
      </c>
    </row>
    <row r="6" spans="1:9" x14ac:dyDescent="0.35">
      <c r="A6" t="s">
        <v>166</v>
      </c>
      <c r="G6">
        <v>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7B0DD-C673-4DCD-83AE-47E17C286F51}">
  <dimension ref="A1:K68"/>
  <sheetViews>
    <sheetView topLeftCell="A17" workbookViewId="0">
      <selection activeCell="B20" sqref="B20"/>
    </sheetView>
  </sheetViews>
  <sheetFormatPr defaultRowHeight="15.5" x14ac:dyDescent="0.35"/>
  <cols>
    <col min="1" max="1" width="47.83203125" customWidth="1"/>
    <col min="2" max="2" width="30.08203125" bestFit="1" customWidth="1"/>
    <col min="3" max="3" width="27" customWidth="1"/>
    <col min="4" max="4" width="40.83203125" customWidth="1"/>
    <col min="5" max="5" width="30.58203125" customWidth="1"/>
    <col min="6" max="6" width="9" customWidth="1"/>
  </cols>
  <sheetData>
    <row r="1" spans="1:11" x14ac:dyDescent="0.35">
      <c r="A1" s="14" t="s">
        <v>0</v>
      </c>
      <c r="B1" s="14" t="s">
        <v>1</v>
      </c>
      <c r="C1" s="14" t="s">
        <v>157</v>
      </c>
      <c r="D1" s="15" t="s">
        <v>159</v>
      </c>
      <c r="F1" s="14" t="s">
        <v>0</v>
      </c>
      <c r="G1" s="14" t="s">
        <v>1</v>
      </c>
      <c r="I1" t="s">
        <v>1</v>
      </c>
      <c r="J1" t="s">
        <v>159</v>
      </c>
      <c r="K1" t="s">
        <v>167</v>
      </c>
    </row>
    <row r="2" spans="1:11" x14ac:dyDescent="0.35">
      <c r="A2" s="14" t="s">
        <v>56</v>
      </c>
      <c r="B2" s="14" t="s">
        <v>19</v>
      </c>
      <c r="C2" s="14" t="s">
        <v>168</v>
      </c>
      <c r="D2" s="15"/>
      <c r="F2" s="14" t="s">
        <v>169</v>
      </c>
      <c r="G2" s="14" t="s">
        <v>170</v>
      </c>
      <c r="I2" s="7" t="s">
        <v>56</v>
      </c>
      <c r="J2" s="7" t="s">
        <v>171</v>
      </c>
      <c r="K2" s="7" t="s">
        <v>172</v>
      </c>
    </row>
    <row r="3" spans="1:11" x14ac:dyDescent="0.35">
      <c r="A3" s="14" t="s">
        <v>152</v>
      </c>
      <c r="B3" s="14" t="s">
        <v>68</v>
      </c>
      <c r="C3" s="14" t="s">
        <v>173</v>
      </c>
      <c r="D3" s="15"/>
      <c r="F3" s="14" t="s">
        <v>174</v>
      </c>
      <c r="G3" s="14" t="s">
        <v>170</v>
      </c>
      <c r="I3" s="7" t="s">
        <v>56</v>
      </c>
      <c r="J3" s="7" t="s">
        <v>175</v>
      </c>
      <c r="K3" s="7" t="s">
        <v>172</v>
      </c>
    </row>
    <row r="4" spans="1:11" x14ac:dyDescent="0.35">
      <c r="A4" s="14" t="s">
        <v>11</v>
      </c>
      <c r="B4" s="14" t="s">
        <v>12</v>
      </c>
      <c r="C4" s="14" t="s">
        <v>176</v>
      </c>
      <c r="D4" s="15"/>
      <c r="F4" s="14" t="s">
        <v>177</v>
      </c>
      <c r="G4" s="14" t="s">
        <v>170</v>
      </c>
      <c r="I4" t="s">
        <v>56</v>
      </c>
      <c r="J4" t="s">
        <v>178</v>
      </c>
      <c r="K4" t="s">
        <v>179</v>
      </c>
    </row>
    <row r="5" spans="1:11" x14ac:dyDescent="0.35">
      <c r="A5" s="14" t="s">
        <v>11</v>
      </c>
      <c r="B5" s="14" t="s">
        <v>19</v>
      </c>
      <c r="C5" s="14" t="s">
        <v>180</v>
      </c>
      <c r="D5" s="15"/>
      <c r="F5" s="14" t="s">
        <v>181</v>
      </c>
      <c r="G5" s="14" t="s">
        <v>170</v>
      </c>
      <c r="I5" s="7" t="s">
        <v>56</v>
      </c>
      <c r="J5" s="7" t="s">
        <v>71</v>
      </c>
      <c r="K5" s="7" t="s">
        <v>172</v>
      </c>
    </row>
    <row r="6" spans="1:11" x14ac:dyDescent="0.35">
      <c r="A6" s="14" t="s">
        <v>22</v>
      </c>
      <c r="B6" s="14" t="s">
        <v>12</v>
      </c>
      <c r="C6" s="14" t="s">
        <v>176</v>
      </c>
      <c r="D6" s="15"/>
      <c r="F6" s="16" t="s">
        <v>182</v>
      </c>
      <c r="G6" s="16" t="s">
        <v>183</v>
      </c>
      <c r="I6" s="7" t="s">
        <v>56</v>
      </c>
      <c r="J6" s="7" t="s">
        <v>184</v>
      </c>
      <c r="K6" s="7" t="s">
        <v>172</v>
      </c>
    </row>
    <row r="7" spans="1:11" x14ac:dyDescent="0.35">
      <c r="A7" s="14" t="s">
        <v>37</v>
      </c>
      <c r="B7" s="14"/>
      <c r="C7" s="14"/>
      <c r="D7" s="15"/>
      <c r="F7" s="14" t="s">
        <v>182</v>
      </c>
      <c r="G7" s="14" t="s">
        <v>19</v>
      </c>
      <c r="I7" t="s">
        <v>56</v>
      </c>
      <c r="J7" t="s">
        <v>35</v>
      </c>
      <c r="K7" t="s">
        <v>179</v>
      </c>
    </row>
    <row r="8" spans="1:11" x14ac:dyDescent="0.35">
      <c r="A8" s="14" t="s">
        <v>36</v>
      </c>
      <c r="B8" s="14"/>
      <c r="C8" s="14"/>
      <c r="D8" s="15"/>
      <c r="F8" s="16" t="s">
        <v>37</v>
      </c>
      <c r="G8" s="16" t="s">
        <v>183</v>
      </c>
      <c r="I8" t="s">
        <v>183</v>
      </c>
      <c r="J8" t="s">
        <v>171</v>
      </c>
      <c r="K8" t="s">
        <v>179</v>
      </c>
    </row>
    <row r="9" spans="1:11" x14ac:dyDescent="0.35">
      <c r="A9" s="14" t="s">
        <v>177</v>
      </c>
      <c r="B9" s="14" t="s">
        <v>170</v>
      </c>
      <c r="C9" s="14"/>
      <c r="D9" s="15"/>
      <c r="F9" s="14" t="s">
        <v>37</v>
      </c>
      <c r="G9" s="14" t="s">
        <v>19</v>
      </c>
      <c r="I9" t="s">
        <v>183</v>
      </c>
      <c r="J9" t="s">
        <v>175</v>
      </c>
      <c r="K9" t="s">
        <v>179</v>
      </c>
    </row>
    <row r="10" spans="1:11" x14ac:dyDescent="0.35">
      <c r="A10" s="14" t="s">
        <v>177</v>
      </c>
      <c r="B10" s="14" t="s">
        <v>185</v>
      </c>
      <c r="C10" s="14"/>
      <c r="D10" s="15"/>
      <c r="F10" s="16" t="s">
        <v>36</v>
      </c>
      <c r="G10" s="16" t="s">
        <v>183</v>
      </c>
      <c r="I10" t="s">
        <v>183</v>
      </c>
      <c r="J10" t="s">
        <v>178</v>
      </c>
      <c r="K10" t="s">
        <v>179</v>
      </c>
    </row>
    <row r="11" spans="1:11" x14ac:dyDescent="0.35">
      <c r="A11" s="14" t="s">
        <v>181</v>
      </c>
      <c r="B11" s="14" t="s">
        <v>170</v>
      </c>
      <c r="C11" s="14"/>
      <c r="D11" s="15"/>
      <c r="F11" s="14" t="s">
        <v>36</v>
      </c>
      <c r="G11" s="14" t="s">
        <v>19</v>
      </c>
      <c r="I11" t="s">
        <v>183</v>
      </c>
      <c r="J11" t="s">
        <v>71</v>
      </c>
      <c r="K11" t="s">
        <v>179</v>
      </c>
    </row>
    <row r="12" spans="1:11" x14ac:dyDescent="0.35">
      <c r="A12" s="14" t="s">
        <v>181</v>
      </c>
      <c r="B12" s="14" t="s">
        <v>185</v>
      </c>
      <c r="C12" s="14"/>
      <c r="D12" s="15"/>
      <c r="I12" t="s">
        <v>183</v>
      </c>
      <c r="J12" t="s">
        <v>184</v>
      </c>
      <c r="K12" t="s">
        <v>172</v>
      </c>
    </row>
    <row r="13" spans="1:11" x14ac:dyDescent="0.35">
      <c r="A13" s="14"/>
      <c r="B13" s="14"/>
      <c r="C13" s="14"/>
      <c r="D13" s="15"/>
      <c r="I13" t="s">
        <v>183</v>
      </c>
      <c r="J13" t="s">
        <v>35</v>
      </c>
      <c r="K13" t="s">
        <v>179</v>
      </c>
    </row>
    <row r="14" spans="1:11" x14ac:dyDescent="0.35">
      <c r="A14" s="14"/>
      <c r="B14" s="14"/>
      <c r="C14" s="14"/>
      <c r="D14" s="15"/>
      <c r="I14" s="7" t="s">
        <v>19</v>
      </c>
      <c r="J14" s="7" t="s">
        <v>171</v>
      </c>
      <c r="K14" s="7" t="s">
        <v>172</v>
      </c>
    </row>
    <row r="15" spans="1:11" x14ac:dyDescent="0.35">
      <c r="A15" s="17" t="s">
        <v>186</v>
      </c>
      <c r="B15" s="17" t="s">
        <v>187</v>
      </c>
      <c r="C15" s="17" t="s">
        <v>188</v>
      </c>
      <c r="D15" s="18" t="s">
        <v>189</v>
      </c>
      <c r="E15" s="19"/>
      <c r="F15" s="19"/>
      <c r="G15" s="19"/>
      <c r="H15" s="19"/>
      <c r="I15" t="s">
        <v>19</v>
      </c>
      <c r="J15" t="s">
        <v>178</v>
      </c>
      <c r="K15" t="s">
        <v>179</v>
      </c>
    </row>
    <row r="16" spans="1:11" ht="46.5" x14ac:dyDescent="0.35">
      <c r="A16" s="20" t="s">
        <v>169</v>
      </c>
      <c r="B16" s="20" t="s">
        <v>190</v>
      </c>
      <c r="C16" s="20" t="s">
        <v>38</v>
      </c>
      <c r="D16" s="21" t="s">
        <v>191</v>
      </c>
      <c r="I16" s="7" t="s">
        <v>19</v>
      </c>
      <c r="J16" s="7" t="s">
        <v>71</v>
      </c>
      <c r="K16" s="7" t="s">
        <v>192</v>
      </c>
    </row>
    <row r="17" spans="1:11" ht="62" x14ac:dyDescent="0.35">
      <c r="A17" s="20" t="s">
        <v>174</v>
      </c>
      <c r="B17" s="22" t="s">
        <v>193</v>
      </c>
      <c r="C17" s="22" t="s">
        <v>194</v>
      </c>
      <c r="D17" s="21" t="s">
        <v>195</v>
      </c>
      <c r="I17" s="7" t="s">
        <v>19</v>
      </c>
      <c r="J17" s="7" t="s">
        <v>184</v>
      </c>
      <c r="K17" s="7" t="s">
        <v>196</v>
      </c>
    </row>
    <row r="18" spans="1:11" ht="62" x14ac:dyDescent="0.35">
      <c r="A18" s="20" t="s">
        <v>177</v>
      </c>
      <c r="B18" s="22" t="s">
        <v>193</v>
      </c>
      <c r="C18" s="22" t="s">
        <v>194</v>
      </c>
      <c r="D18" s="21" t="s">
        <v>195</v>
      </c>
      <c r="I18" t="s">
        <v>19</v>
      </c>
      <c r="J18" t="s">
        <v>35</v>
      </c>
      <c r="K18" t="s">
        <v>197</v>
      </c>
    </row>
    <row r="19" spans="1:11" ht="62" x14ac:dyDescent="0.35">
      <c r="A19" s="20" t="s">
        <v>181</v>
      </c>
      <c r="B19" s="22" t="s">
        <v>193</v>
      </c>
      <c r="C19" s="22" t="s">
        <v>194</v>
      </c>
      <c r="D19" s="21" t="s">
        <v>195</v>
      </c>
    </row>
    <row r="20" spans="1:11" ht="77.5" x14ac:dyDescent="0.35">
      <c r="A20" s="23" t="s">
        <v>182</v>
      </c>
      <c r="B20" s="24" t="s">
        <v>198</v>
      </c>
      <c r="C20" s="24" t="s">
        <v>199</v>
      </c>
      <c r="D20" s="25" t="s">
        <v>200</v>
      </c>
    </row>
    <row r="21" spans="1:11" ht="77.5" x14ac:dyDescent="0.35">
      <c r="A21" s="23" t="s">
        <v>37</v>
      </c>
      <c r="B21" s="24" t="s">
        <v>198</v>
      </c>
      <c r="C21" s="24" t="s">
        <v>199</v>
      </c>
      <c r="D21" s="25" t="s">
        <v>200</v>
      </c>
    </row>
    <row r="22" spans="1:11" ht="77.5" x14ac:dyDescent="0.35">
      <c r="A22" s="23" t="s">
        <v>36</v>
      </c>
      <c r="B22" s="24" t="s">
        <v>198</v>
      </c>
      <c r="C22" s="24" t="s">
        <v>199</v>
      </c>
      <c r="D22" s="25" t="s">
        <v>200</v>
      </c>
    </row>
    <row r="30" spans="1:11" x14ac:dyDescent="0.35">
      <c r="A30" s="26" t="s">
        <v>201</v>
      </c>
    </row>
    <row r="31" spans="1:11" x14ac:dyDescent="0.35">
      <c r="A31" s="32" t="s">
        <v>0</v>
      </c>
      <c r="B31" s="32" t="s">
        <v>202</v>
      </c>
      <c r="C31" s="32" t="s">
        <v>203</v>
      </c>
      <c r="D31" t="s">
        <v>204</v>
      </c>
      <c r="E31" t="s">
        <v>205</v>
      </c>
    </row>
    <row r="32" spans="1:11" x14ac:dyDescent="0.35">
      <c r="A32" s="14" t="s">
        <v>56</v>
      </c>
      <c r="B32" s="14" t="s">
        <v>19</v>
      </c>
      <c r="C32" s="14"/>
    </row>
    <row r="33" spans="1:5" x14ac:dyDescent="0.35">
      <c r="A33" s="14" t="s">
        <v>152</v>
      </c>
      <c r="B33" s="14" t="s">
        <v>68</v>
      </c>
      <c r="C33" s="14"/>
    </row>
    <row r="34" spans="1:5" x14ac:dyDescent="0.35">
      <c r="A34" s="14" t="s">
        <v>48</v>
      </c>
      <c r="B34" s="14" t="s">
        <v>68</v>
      </c>
      <c r="C34" s="14"/>
    </row>
    <row r="35" spans="1:5" x14ac:dyDescent="0.35">
      <c r="A35" s="14" t="s">
        <v>11</v>
      </c>
      <c r="B35" s="14" t="s">
        <v>12</v>
      </c>
      <c r="C35" s="14" t="s">
        <v>206</v>
      </c>
    </row>
    <row r="36" spans="1:5" x14ac:dyDescent="0.35">
      <c r="A36" s="14" t="s">
        <v>22</v>
      </c>
      <c r="B36" s="14" t="s">
        <v>12</v>
      </c>
      <c r="C36" s="14"/>
    </row>
    <row r="37" spans="1:5" x14ac:dyDescent="0.35">
      <c r="A37" s="14" t="s">
        <v>207</v>
      </c>
      <c r="B37" s="14" t="s">
        <v>208</v>
      </c>
      <c r="C37" s="14"/>
    </row>
    <row r="38" spans="1:5" x14ac:dyDescent="0.35">
      <c r="A38" s="14" t="s">
        <v>35</v>
      </c>
      <c r="B38" s="14" t="s">
        <v>208</v>
      </c>
      <c r="C38" s="14"/>
    </row>
    <row r="39" spans="1:5" x14ac:dyDescent="0.35">
      <c r="A39" s="27" t="s">
        <v>37</v>
      </c>
      <c r="B39" s="27" t="s">
        <v>12</v>
      </c>
      <c r="C39" s="27" t="s">
        <v>19</v>
      </c>
      <c r="D39" t="s">
        <v>26</v>
      </c>
    </row>
    <row r="40" spans="1:5" x14ac:dyDescent="0.35">
      <c r="A40" s="27" t="s">
        <v>36</v>
      </c>
      <c r="B40" s="14" t="s">
        <v>12</v>
      </c>
      <c r="C40" s="27" t="s">
        <v>19</v>
      </c>
      <c r="D40" t="s">
        <v>26</v>
      </c>
    </row>
    <row r="41" spans="1:5" x14ac:dyDescent="0.35">
      <c r="A41" s="14" t="s">
        <v>177</v>
      </c>
      <c r="B41" s="14" t="s">
        <v>56</v>
      </c>
      <c r="C41" s="27" t="s">
        <v>209</v>
      </c>
      <c r="D41" t="s">
        <v>210</v>
      </c>
      <c r="E41" t="s">
        <v>211</v>
      </c>
    </row>
    <row r="42" spans="1:5" x14ac:dyDescent="0.35">
      <c r="A42" s="14" t="s">
        <v>181</v>
      </c>
      <c r="B42" s="14" t="s">
        <v>56</v>
      </c>
      <c r="C42" s="27" t="s">
        <v>209</v>
      </c>
      <c r="D42" t="s">
        <v>210</v>
      </c>
      <c r="E42" t="s">
        <v>211</v>
      </c>
    </row>
    <row r="45" spans="1:5" x14ac:dyDescent="0.35">
      <c r="A45" s="26" t="s">
        <v>212</v>
      </c>
    </row>
    <row r="46" spans="1:5" x14ac:dyDescent="0.35">
      <c r="A46" s="32" t="s">
        <v>1</v>
      </c>
      <c r="B46" s="33" t="s">
        <v>159</v>
      </c>
      <c r="C46" s="32" t="s">
        <v>213</v>
      </c>
    </row>
    <row r="47" spans="1:5" x14ac:dyDescent="0.35">
      <c r="A47" s="14" t="s">
        <v>19</v>
      </c>
      <c r="B47" s="15" t="s">
        <v>171</v>
      </c>
      <c r="C47" s="34" t="s">
        <v>214</v>
      </c>
    </row>
    <row r="48" spans="1:5" x14ac:dyDescent="0.35">
      <c r="A48" s="30" t="s">
        <v>19</v>
      </c>
      <c r="B48" s="31" t="s">
        <v>215</v>
      </c>
      <c r="C48" s="28" t="s">
        <v>216</v>
      </c>
      <c r="D48" t="s">
        <v>24</v>
      </c>
      <c r="E48" t="s">
        <v>217</v>
      </c>
    </row>
    <row r="49" spans="1:6" x14ac:dyDescent="0.35">
      <c r="A49" s="30" t="s">
        <v>19</v>
      </c>
      <c r="B49" s="31" t="s">
        <v>163</v>
      </c>
      <c r="C49" s="28" t="s">
        <v>56</v>
      </c>
      <c r="D49" t="s">
        <v>218</v>
      </c>
      <c r="E49" t="s">
        <v>219</v>
      </c>
    </row>
    <row r="50" spans="1:6" x14ac:dyDescent="0.35">
      <c r="A50" s="30" t="s">
        <v>19</v>
      </c>
      <c r="B50" s="31" t="s">
        <v>65</v>
      </c>
      <c r="C50" s="28" t="s">
        <v>220</v>
      </c>
      <c r="D50" t="s">
        <v>221</v>
      </c>
      <c r="E50" t="s">
        <v>222</v>
      </c>
      <c r="F50" s="35" t="s">
        <v>223</v>
      </c>
    </row>
    <row r="51" spans="1:6" x14ac:dyDescent="0.35">
      <c r="A51" s="27" t="s">
        <v>19</v>
      </c>
      <c r="B51" s="28" t="s">
        <v>184</v>
      </c>
      <c r="C51" s="27" t="s">
        <v>224</v>
      </c>
      <c r="D51" t="s">
        <v>24</v>
      </c>
      <c r="E51" t="s">
        <v>225</v>
      </c>
    </row>
    <row r="52" spans="1:6" x14ac:dyDescent="0.35">
      <c r="A52" s="27" t="s">
        <v>56</v>
      </c>
      <c r="B52" s="28" t="s">
        <v>171</v>
      </c>
      <c r="C52" s="27" t="s">
        <v>214</v>
      </c>
      <c r="D52" t="s">
        <v>26</v>
      </c>
      <c r="E52" t="s">
        <v>226</v>
      </c>
    </row>
    <row r="53" spans="1:6" x14ac:dyDescent="0.35">
      <c r="A53" s="14" t="s">
        <v>56</v>
      </c>
      <c r="B53" s="15" t="s">
        <v>71</v>
      </c>
      <c r="C53" s="34" t="s">
        <v>56</v>
      </c>
    </row>
    <row r="54" spans="1:6" x14ac:dyDescent="0.35">
      <c r="A54" s="27" t="s">
        <v>56</v>
      </c>
      <c r="B54" s="28" t="s">
        <v>184</v>
      </c>
      <c r="C54" s="27" t="s">
        <v>56</v>
      </c>
      <c r="D54" t="s">
        <v>26</v>
      </c>
      <c r="E54" t="s">
        <v>227</v>
      </c>
    </row>
    <row r="55" spans="1:6" x14ac:dyDescent="0.35">
      <c r="A55" s="27" t="s">
        <v>12</v>
      </c>
      <c r="B55" s="28" t="s">
        <v>171</v>
      </c>
      <c r="C55" s="27" t="s">
        <v>214</v>
      </c>
      <c r="D55" t="s">
        <v>24</v>
      </c>
      <c r="E55" t="s">
        <v>228</v>
      </c>
    </row>
    <row r="56" spans="1:6" x14ac:dyDescent="0.35">
      <c r="A56" s="14" t="s">
        <v>12</v>
      </c>
      <c r="B56" s="15" t="s">
        <v>229</v>
      </c>
      <c r="C56" s="34" t="s">
        <v>224</v>
      </c>
    </row>
    <row r="60" spans="1:6" x14ac:dyDescent="0.35">
      <c r="A60" s="26" t="s">
        <v>230</v>
      </c>
    </row>
    <row r="61" spans="1:6" x14ac:dyDescent="0.35">
      <c r="A61" s="27" t="s">
        <v>231</v>
      </c>
      <c r="D61" t="s">
        <v>24</v>
      </c>
      <c r="E61" t="s">
        <v>232</v>
      </c>
    </row>
    <row r="62" spans="1:6" x14ac:dyDescent="0.35">
      <c r="A62" s="29" t="s">
        <v>233</v>
      </c>
      <c r="D62" t="s">
        <v>26</v>
      </c>
    </row>
    <row r="63" spans="1:6" x14ac:dyDescent="0.35">
      <c r="A63" s="27" t="s">
        <v>234</v>
      </c>
      <c r="D63" t="s">
        <v>24</v>
      </c>
    </row>
    <row r="66" spans="1:4" x14ac:dyDescent="0.35">
      <c r="A66" s="26" t="s">
        <v>235</v>
      </c>
    </row>
    <row r="67" spans="1:4" x14ac:dyDescent="0.35">
      <c r="A67" s="27" t="s">
        <v>236</v>
      </c>
      <c r="D67" t="s">
        <v>218</v>
      </c>
    </row>
    <row r="68" spans="1:4" x14ac:dyDescent="0.35">
      <c r="A68" s="27" t="s">
        <v>237</v>
      </c>
      <c r="D68" t="s">
        <v>238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51DB9-2485-024A-9940-AED9C0912620}">
  <dimension ref="A1:K19"/>
  <sheetViews>
    <sheetView topLeftCell="D1" zoomScaleNormal="100" workbookViewId="0">
      <selection activeCell="G6" sqref="G6"/>
    </sheetView>
  </sheetViews>
  <sheetFormatPr defaultColWidth="11" defaultRowHeight="15.5" x14ac:dyDescent="0.35"/>
  <cols>
    <col min="1" max="1" width="15.25" customWidth="1"/>
    <col min="2" max="2" width="12.75" customWidth="1"/>
    <col min="3" max="3" width="14.83203125" customWidth="1"/>
    <col min="4" max="4" width="26" customWidth="1"/>
    <col min="5" max="5" width="11.5" customWidth="1"/>
    <col min="6" max="6" width="11.25" customWidth="1"/>
    <col min="7" max="7" width="8.25" customWidth="1"/>
    <col min="8" max="9" width="24.08203125" customWidth="1"/>
  </cols>
  <sheetData>
    <row r="1" spans="1:11" x14ac:dyDescent="0.35">
      <c r="A1" s="1" t="s">
        <v>0</v>
      </c>
      <c r="B1" s="1" t="s">
        <v>1</v>
      </c>
      <c r="C1" t="s">
        <v>2</v>
      </c>
      <c r="D1" t="s">
        <v>3</v>
      </c>
      <c r="E1" t="s">
        <v>4</v>
      </c>
      <c r="F1" t="s">
        <v>5</v>
      </c>
      <c r="G1" t="s">
        <v>6</v>
      </c>
      <c r="H1" t="s">
        <v>7</v>
      </c>
      <c r="I1" t="s">
        <v>8</v>
      </c>
      <c r="J1" t="s">
        <v>9</v>
      </c>
      <c r="K1" t="s">
        <v>10</v>
      </c>
    </row>
    <row r="2" spans="1:11" x14ac:dyDescent="0.35">
      <c r="A2" s="1" t="s">
        <v>11</v>
      </c>
      <c r="B2" s="1" t="s">
        <v>12</v>
      </c>
      <c r="C2" t="s">
        <v>13</v>
      </c>
      <c r="D2" t="s">
        <v>14</v>
      </c>
      <c r="E2" t="s">
        <v>15</v>
      </c>
      <c r="F2" t="s">
        <v>16</v>
      </c>
      <c r="G2" s="3">
        <f>G5/0.8</f>
        <v>4.375</v>
      </c>
      <c r="H2" t="s">
        <v>17</v>
      </c>
      <c r="I2" s="3">
        <f>I5/0.8</f>
        <v>4.375</v>
      </c>
      <c r="J2" t="s">
        <v>18</v>
      </c>
    </row>
    <row r="3" spans="1:11" x14ac:dyDescent="0.35">
      <c r="A3" s="1" t="s">
        <v>11</v>
      </c>
      <c r="B3" s="1" t="s">
        <v>19</v>
      </c>
      <c r="C3" t="s">
        <v>13</v>
      </c>
      <c r="D3" t="s">
        <v>14</v>
      </c>
      <c r="E3" t="s">
        <v>15</v>
      </c>
      <c r="F3" t="s">
        <v>16</v>
      </c>
      <c r="G3" s="3">
        <f>G6/0.8</f>
        <v>8.5374999999999993E-2</v>
      </c>
      <c r="H3" t="s">
        <v>17</v>
      </c>
      <c r="I3" s="3">
        <f>I6/0.8</f>
        <v>4.375</v>
      </c>
      <c r="J3" t="s">
        <v>20</v>
      </c>
      <c r="K3" s="3" t="s">
        <v>21</v>
      </c>
    </row>
    <row r="4" spans="1:11" x14ac:dyDescent="0.35">
      <c r="A4" s="1" t="s">
        <v>22</v>
      </c>
      <c r="B4" s="1" t="s">
        <v>12</v>
      </c>
      <c r="C4" t="s">
        <v>13</v>
      </c>
      <c r="D4" t="s">
        <v>14</v>
      </c>
      <c r="E4" t="s">
        <v>15</v>
      </c>
      <c r="F4" t="s">
        <v>16</v>
      </c>
      <c r="G4" s="3">
        <v>82</v>
      </c>
      <c r="H4" t="s">
        <v>17</v>
      </c>
      <c r="I4">
        <v>82</v>
      </c>
    </row>
    <row r="5" spans="1:11" x14ac:dyDescent="0.35">
      <c r="A5" s="1" t="s">
        <v>11</v>
      </c>
      <c r="B5" s="1" t="s">
        <v>12</v>
      </c>
      <c r="C5" t="s">
        <v>13</v>
      </c>
      <c r="D5" t="s">
        <v>23</v>
      </c>
      <c r="E5" t="s">
        <v>15</v>
      </c>
      <c r="F5" t="s">
        <v>16</v>
      </c>
      <c r="G5" s="3">
        <v>3.5</v>
      </c>
      <c r="H5" t="s">
        <v>17</v>
      </c>
      <c r="I5">
        <v>3.5</v>
      </c>
    </row>
    <row r="6" spans="1:11" x14ac:dyDescent="0.35">
      <c r="A6" s="1" t="s">
        <v>11</v>
      </c>
      <c r="B6" s="1" t="s">
        <v>19</v>
      </c>
      <c r="C6" t="s">
        <v>13</v>
      </c>
      <c r="D6" t="s">
        <v>23</v>
      </c>
      <c r="E6" t="s">
        <v>15</v>
      </c>
      <c r="F6" t="s">
        <v>16</v>
      </c>
      <c r="G6" s="4">
        <v>6.83E-2</v>
      </c>
      <c r="H6" t="s">
        <v>17</v>
      </c>
      <c r="I6">
        <v>3.5</v>
      </c>
    </row>
    <row r="7" spans="1:11" x14ac:dyDescent="0.35">
      <c r="A7" s="1" t="s">
        <v>22</v>
      </c>
      <c r="B7" s="1" t="s">
        <v>12</v>
      </c>
      <c r="C7" t="s">
        <v>13</v>
      </c>
      <c r="D7" t="s">
        <v>23</v>
      </c>
      <c r="E7" t="s">
        <v>15</v>
      </c>
      <c r="F7" t="s">
        <v>16</v>
      </c>
      <c r="G7" s="3">
        <v>2.5</v>
      </c>
      <c r="H7" t="s">
        <v>17</v>
      </c>
      <c r="I7">
        <v>2.5</v>
      </c>
    </row>
    <row r="8" spans="1:11" s="10" customFormat="1" x14ac:dyDescent="0.35">
      <c r="A8" s="9" t="s">
        <v>11</v>
      </c>
      <c r="B8" s="9" t="s">
        <v>12</v>
      </c>
      <c r="C8" s="10" t="s">
        <v>13</v>
      </c>
      <c r="D8" s="10" t="s">
        <v>14</v>
      </c>
      <c r="E8" s="10" t="s">
        <v>24</v>
      </c>
      <c r="F8" s="10" t="s">
        <v>16</v>
      </c>
      <c r="G8" s="45">
        <f>G11/0.8</f>
        <v>3.4999999999999996</v>
      </c>
      <c r="H8" s="10" t="s">
        <v>17</v>
      </c>
      <c r="I8" s="11">
        <f>I11/0.8</f>
        <v>3.4999999999999996</v>
      </c>
      <c r="J8" s="10" t="s">
        <v>18</v>
      </c>
    </row>
    <row r="9" spans="1:11" s="10" customFormat="1" x14ac:dyDescent="0.35">
      <c r="A9" s="9" t="s">
        <v>11</v>
      </c>
      <c r="B9" s="9" t="s">
        <v>19</v>
      </c>
      <c r="C9" s="10" t="s">
        <v>13</v>
      </c>
      <c r="D9" s="10" t="s">
        <v>14</v>
      </c>
      <c r="E9" s="10" t="s">
        <v>24</v>
      </c>
      <c r="F9" s="10" t="s">
        <v>16</v>
      </c>
      <c r="G9" s="45">
        <f>G12/0.8</f>
        <v>6.83E-2</v>
      </c>
      <c r="H9" s="10" t="s">
        <v>17</v>
      </c>
      <c r="I9" s="11">
        <f>I12/0.8</f>
        <v>3.4999999999999996</v>
      </c>
      <c r="J9" s="10" t="s">
        <v>20</v>
      </c>
      <c r="K9" s="11" t="s">
        <v>21</v>
      </c>
    </row>
    <row r="10" spans="1:11" s="10" customFormat="1" x14ac:dyDescent="0.35">
      <c r="A10" s="9" t="s">
        <v>22</v>
      </c>
      <c r="B10" s="9" t="s">
        <v>12</v>
      </c>
      <c r="C10" s="10" t="s">
        <v>13</v>
      </c>
      <c r="D10" s="10" t="s">
        <v>14</v>
      </c>
      <c r="E10" s="10" t="s">
        <v>24</v>
      </c>
      <c r="F10" s="10" t="s">
        <v>16</v>
      </c>
      <c r="G10" s="45">
        <v>24</v>
      </c>
      <c r="H10" s="10" t="s">
        <v>17</v>
      </c>
      <c r="I10" s="10">
        <v>82</v>
      </c>
    </row>
    <row r="11" spans="1:11" s="10" customFormat="1" x14ac:dyDescent="0.35">
      <c r="A11" s="9" t="s">
        <v>11</v>
      </c>
      <c r="B11" s="9" t="s">
        <v>12</v>
      </c>
      <c r="C11" s="10" t="s">
        <v>13</v>
      </c>
      <c r="D11" s="10" t="s">
        <v>23</v>
      </c>
      <c r="E11" s="10" t="s">
        <v>24</v>
      </c>
      <c r="F11" s="10" t="s">
        <v>16</v>
      </c>
      <c r="G11" s="45">
        <v>2.8</v>
      </c>
      <c r="H11" s="10" t="s">
        <v>17</v>
      </c>
      <c r="I11" s="10">
        <v>2.8</v>
      </c>
      <c r="J11" s="10" t="s">
        <v>25</v>
      </c>
    </row>
    <row r="12" spans="1:11" s="10" customFormat="1" x14ac:dyDescent="0.35">
      <c r="A12" s="9" t="s">
        <v>11</v>
      </c>
      <c r="B12" s="9" t="s">
        <v>19</v>
      </c>
      <c r="C12" s="10" t="s">
        <v>13</v>
      </c>
      <c r="D12" s="10" t="s">
        <v>23</v>
      </c>
      <c r="E12" s="10" t="s">
        <v>24</v>
      </c>
      <c r="F12" s="10" t="s">
        <v>16</v>
      </c>
      <c r="G12" s="46">
        <f>G6*G11/G5</f>
        <v>5.4640000000000001E-2</v>
      </c>
      <c r="H12" s="10" t="s">
        <v>17</v>
      </c>
      <c r="I12" s="10">
        <f>I11</f>
        <v>2.8</v>
      </c>
      <c r="J12" s="10" t="s">
        <v>25</v>
      </c>
    </row>
    <row r="13" spans="1:11" s="10" customFormat="1" x14ac:dyDescent="0.35">
      <c r="A13" s="9" t="s">
        <v>22</v>
      </c>
      <c r="B13" s="9" t="s">
        <v>12</v>
      </c>
      <c r="C13" s="10" t="s">
        <v>13</v>
      </c>
      <c r="D13" s="10" t="s">
        <v>23</v>
      </c>
      <c r="E13" s="10" t="s">
        <v>24</v>
      </c>
      <c r="F13" s="10" t="s">
        <v>16</v>
      </c>
      <c r="G13" s="45">
        <v>0.8</v>
      </c>
      <c r="H13" s="10" t="s">
        <v>17</v>
      </c>
      <c r="I13" s="11">
        <v>0.8</v>
      </c>
    </row>
    <row r="14" spans="1:11" s="10" customFormat="1" x14ac:dyDescent="0.35">
      <c r="A14" s="9" t="s">
        <v>11</v>
      </c>
      <c r="B14" s="9" t="s">
        <v>12</v>
      </c>
      <c r="C14" s="10" t="s">
        <v>13</v>
      </c>
      <c r="D14" s="10" t="s">
        <v>14</v>
      </c>
      <c r="E14" s="10" t="s">
        <v>26</v>
      </c>
      <c r="F14" s="10" t="s">
        <v>16</v>
      </c>
      <c r="G14" s="45">
        <f>G17/0.8</f>
        <v>5.25</v>
      </c>
      <c r="H14" s="10" t="s">
        <v>17</v>
      </c>
      <c r="I14" s="11">
        <f>I17/0.8</f>
        <v>5.25</v>
      </c>
      <c r="J14" s="10" t="s">
        <v>18</v>
      </c>
    </row>
    <row r="15" spans="1:11" s="10" customFormat="1" x14ac:dyDescent="0.35">
      <c r="A15" s="9" t="s">
        <v>11</v>
      </c>
      <c r="B15" s="9" t="s">
        <v>19</v>
      </c>
      <c r="C15" s="10" t="s">
        <v>13</v>
      </c>
      <c r="D15" s="10" t="s">
        <v>14</v>
      </c>
      <c r="E15" s="10" t="s">
        <v>26</v>
      </c>
      <c r="F15" s="10" t="s">
        <v>16</v>
      </c>
      <c r="G15" s="45">
        <f>G18/0.8</f>
        <v>0.10245</v>
      </c>
      <c r="H15" s="10" t="s">
        <v>17</v>
      </c>
      <c r="I15" s="11">
        <f>I18/0.8</f>
        <v>5.25</v>
      </c>
      <c r="J15" s="10" t="s">
        <v>20</v>
      </c>
      <c r="K15" s="11" t="s">
        <v>21</v>
      </c>
    </row>
    <row r="16" spans="1:11" s="10" customFormat="1" x14ac:dyDescent="0.35">
      <c r="A16" s="9" t="s">
        <v>22</v>
      </c>
      <c r="B16" s="9" t="s">
        <v>12</v>
      </c>
      <c r="C16" s="10" t="s">
        <v>13</v>
      </c>
      <c r="D16" s="10" t="s">
        <v>14</v>
      </c>
      <c r="E16" s="10" t="s">
        <v>26</v>
      </c>
      <c r="F16" s="10" t="s">
        <v>16</v>
      </c>
      <c r="G16" s="45">
        <v>123</v>
      </c>
      <c r="H16" s="10" t="s">
        <v>17</v>
      </c>
      <c r="I16" s="11">
        <f>G16</f>
        <v>123</v>
      </c>
    </row>
    <row r="17" spans="1:10" s="10" customFormat="1" x14ac:dyDescent="0.35">
      <c r="A17" s="9" t="s">
        <v>11</v>
      </c>
      <c r="B17" s="9" t="s">
        <v>12</v>
      </c>
      <c r="C17" s="10" t="s">
        <v>13</v>
      </c>
      <c r="D17" s="10" t="s">
        <v>23</v>
      </c>
      <c r="E17" s="10" t="s">
        <v>26</v>
      </c>
      <c r="F17" s="10" t="s">
        <v>16</v>
      </c>
      <c r="G17" s="45">
        <v>4.2</v>
      </c>
      <c r="H17" s="10" t="s">
        <v>17</v>
      </c>
      <c r="I17" s="10">
        <v>4.2</v>
      </c>
      <c r="J17" s="10" t="s">
        <v>27</v>
      </c>
    </row>
    <row r="18" spans="1:10" s="10" customFormat="1" x14ac:dyDescent="0.35">
      <c r="A18" s="9" t="s">
        <v>11</v>
      </c>
      <c r="B18" s="9" t="s">
        <v>19</v>
      </c>
      <c r="C18" s="10" t="s">
        <v>13</v>
      </c>
      <c r="D18" s="10" t="s">
        <v>23</v>
      </c>
      <c r="E18" s="10" t="s">
        <v>26</v>
      </c>
      <c r="F18" s="10" t="s">
        <v>16</v>
      </c>
      <c r="G18" s="46">
        <f>G6*G17/G5</f>
        <v>8.1960000000000005E-2</v>
      </c>
      <c r="H18" s="10" t="s">
        <v>17</v>
      </c>
      <c r="I18" s="10">
        <v>4.2</v>
      </c>
      <c r="J18" s="10" t="s">
        <v>27</v>
      </c>
    </row>
    <row r="19" spans="1:10" s="10" customFormat="1" x14ac:dyDescent="0.35">
      <c r="A19" s="9" t="s">
        <v>22</v>
      </c>
      <c r="B19" s="9" t="s">
        <v>12</v>
      </c>
      <c r="C19" s="10" t="s">
        <v>13</v>
      </c>
      <c r="D19" s="10" t="s">
        <v>23</v>
      </c>
      <c r="E19" s="10" t="s">
        <v>26</v>
      </c>
      <c r="F19" s="10" t="s">
        <v>16</v>
      </c>
      <c r="G19" s="45">
        <v>4.2</v>
      </c>
      <c r="H19" s="10" t="s">
        <v>17</v>
      </c>
      <c r="I19" s="10">
        <v>4.2</v>
      </c>
    </row>
  </sheetData>
  <autoFilter ref="A1:K19" xr:uid="{E8F51DB9-2485-024A-9940-AED9C091262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7DE39-83AB-8346-8AC1-EC99E6C87D8C}">
  <dimension ref="A1:F12"/>
  <sheetViews>
    <sheetView zoomScale="156" workbookViewId="0">
      <selection activeCell="A11" sqref="A11"/>
    </sheetView>
  </sheetViews>
  <sheetFormatPr defaultColWidth="11" defaultRowHeight="15.5" x14ac:dyDescent="0.35"/>
  <cols>
    <col min="1" max="1" width="25.58203125" customWidth="1"/>
    <col min="2" max="5" width="15.58203125" customWidth="1"/>
  </cols>
  <sheetData>
    <row r="1" spans="1:6" x14ac:dyDescent="0.35">
      <c r="A1" t="s">
        <v>239</v>
      </c>
      <c r="B1" t="s">
        <v>56</v>
      </c>
      <c r="C1" t="s">
        <v>12</v>
      </c>
      <c r="D1" t="s">
        <v>19</v>
      </c>
      <c r="E1" t="s">
        <v>68</v>
      </c>
      <c r="F1" t="s">
        <v>166</v>
      </c>
    </row>
    <row r="2" spans="1:6" x14ac:dyDescent="0.35">
      <c r="A2" t="s">
        <v>240</v>
      </c>
      <c r="C2" s="2">
        <v>1</v>
      </c>
      <c r="D2" s="2">
        <v>1</v>
      </c>
    </row>
    <row r="3" spans="1:6" x14ac:dyDescent="0.35">
      <c r="A3" t="s">
        <v>22</v>
      </c>
      <c r="C3" s="2">
        <v>1</v>
      </c>
    </row>
    <row r="4" spans="1:6" x14ac:dyDescent="0.35">
      <c r="A4" t="s">
        <v>56</v>
      </c>
      <c r="D4" s="2">
        <v>1</v>
      </c>
    </row>
    <row r="5" spans="1:6" x14ac:dyDescent="0.35">
      <c r="A5" t="s">
        <v>43</v>
      </c>
      <c r="B5" s="2">
        <v>1</v>
      </c>
      <c r="C5">
        <v>1</v>
      </c>
      <c r="D5">
        <v>1</v>
      </c>
    </row>
    <row r="6" spans="1:6" x14ac:dyDescent="0.35">
      <c r="A6" t="s">
        <v>139</v>
      </c>
      <c r="B6" s="2">
        <v>1</v>
      </c>
      <c r="C6">
        <v>1</v>
      </c>
      <c r="D6">
        <v>1</v>
      </c>
    </row>
    <row r="7" spans="1:6" x14ac:dyDescent="0.35">
      <c r="A7" t="s">
        <v>241</v>
      </c>
      <c r="B7" s="2">
        <v>1</v>
      </c>
      <c r="C7">
        <v>1</v>
      </c>
      <c r="D7">
        <v>1</v>
      </c>
    </row>
    <row r="8" spans="1:6" x14ac:dyDescent="0.35">
      <c r="A8" t="s">
        <v>242</v>
      </c>
      <c r="C8">
        <v>1</v>
      </c>
      <c r="F8">
        <v>1</v>
      </c>
    </row>
    <row r="9" spans="1:6" x14ac:dyDescent="0.35">
      <c r="A9" t="s">
        <v>243</v>
      </c>
      <c r="C9">
        <v>1</v>
      </c>
      <c r="F9">
        <v>1</v>
      </c>
    </row>
    <row r="10" spans="1:6" x14ac:dyDescent="0.35">
      <c r="A10" t="s">
        <v>244</v>
      </c>
      <c r="C10">
        <v>1</v>
      </c>
      <c r="F10">
        <v>1</v>
      </c>
    </row>
    <row r="11" spans="1:6" x14ac:dyDescent="0.35">
      <c r="A11" t="s">
        <v>45</v>
      </c>
      <c r="E11" s="2">
        <v>1</v>
      </c>
    </row>
    <row r="12" spans="1:6" x14ac:dyDescent="0.35">
      <c r="A12" t="s">
        <v>48</v>
      </c>
      <c r="E12" s="2">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D9AEE-59CF-9744-8E33-A83B08C738C6}">
  <sheetPr filterMode="1"/>
  <dimension ref="A1:J68"/>
  <sheetViews>
    <sheetView workbookViewId="0">
      <selection activeCell="A2" sqref="A2:A10"/>
    </sheetView>
  </sheetViews>
  <sheetFormatPr defaultColWidth="11" defaultRowHeight="15.5" x14ac:dyDescent="0.35"/>
  <cols>
    <col min="1" max="1" width="21.83203125" customWidth="1"/>
    <col min="2" max="2" width="24.33203125" customWidth="1"/>
    <col min="3" max="3" width="21" customWidth="1"/>
    <col min="4" max="5" width="26" customWidth="1"/>
    <col min="6" max="7" width="24.08203125" customWidth="1"/>
    <col min="8" max="8" width="31.5" customWidth="1"/>
    <col min="9" max="9" width="36.83203125" customWidth="1"/>
  </cols>
  <sheetData>
    <row r="1" spans="1:10" x14ac:dyDescent="0.35">
      <c r="A1" s="1" t="s">
        <v>0</v>
      </c>
      <c r="B1" s="1" t="s">
        <v>1</v>
      </c>
      <c r="C1" t="s">
        <v>2</v>
      </c>
      <c r="D1" t="s">
        <v>3</v>
      </c>
      <c r="E1" t="s">
        <v>4</v>
      </c>
      <c r="F1" t="s">
        <v>28</v>
      </c>
      <c r="G1" t="s">
        <v>29</v>
      </c>
      <c r="H1" t="s">
        <v>9</v>
      </c>
      <c r="I1" t="s">
        <v>10</v>
      </c>
    </row>
    <row r="2" spans="1:10" x14ac:dyDescent="0.35">
      <c r="A2" s="1" t="s">
        <v>11</v>
      </c>
      <c r="B2" s="1" t="s">
        <v>12</v>
      </c>
      <c r="C2" t="s">
        <v>30</v>
      </c>
      <c r="D2" t="s">
        <v>31</v>
      </c>
      <c r="E2" t="s">
        <v>15</v>
      </c>
      <c r="F2" t="s">
        <v>32</v>
      </c>
      <c r="G2">
        <v>0</v>
      </c>
    </row>
    <row r="3" spans="1:10" hidden="1" x14ac:dyDescent="0.35">
      <c r="A3" s="55" t="s">
        <v>11</v>
      </c>
      <c r="B3" s="55" t="s">
        <v>19</v>
      </c>
      <c r="C3" s="55" t="s">
        <v>30</v>
      </c>
      <c r="D3" s="55" t="s">
        <v>31</v>
      </c>
      <c r="E3" s="55" t="s">
        <v>15</v>
      </c>
      <c r="F3" t="s">
        <v>32</v>
      </c>
      <c r="G3" s="38">
        <v>18</v>
      </c>
      <c r="H3" t="s">
        <v>33</v>
      </c>
      <c r="I3" s="36" t="s">
        <v>341</v>
      </c>
    </row>
    <row r="4" spans="1:10" x14ac:dyDescent="0.35">
      <c r="A4" s="1" t="s">
        <v>22</v>
      </c>
      <c r="B4" s="1" t="s">
        <v>12</v>
      </c>
      <c r="C4" t="s">
        <v>30</v>
      </c>
      <c r="D4" t="s">
        <v>31</v>
      </c>
      <c r="E4" t="s">
        <v>15</v>
      </c>
      <c r="F4" t="s">
        <v>32</v>
      </c>
      <c r="G4">
        <v>0</v>
      </c>
    </row>
    <row r="5" spans="1:10" x14ac:dyDescent="0.35">
      <c r="A5" s="1" t="s">
        <v>34</v>
      </c>
      <c r="B5" s="1" t="s">
        <v>12</v>
      </c>
      <c r="C5" t="s">
        <v>30</v>
      </c>
      <c r="D5" t="s">
        <v>31</v>
      </c>
      <c r="E5" t="s">
        <v>15</v>
      </c>
      <c r="F5" t="s">
        <v>32</v>
      </c>
      <c r="G5">
        <v>0</v>
      </c>
    </row>
    <row r="6" spans="1:10" x14ac:dyDescent="0.35">
      <c r="A6" s="1" t="s">
        <v>35</v>
      </c>
      <c r="B6" s="1" t="s">
        <v>12</v>
      </c>
      <c r="C6" t="s">
        <v>30</v>
      </c>
      <c r="D6" t="s">
        <v>31</v>
      </c>
      <c r="E6" t="s">
        <v>15</v>
      </c>
      <c r="F6" t="s">
        <v>32</v>
      </c>
      <c r="G6">
        <v>0</v>
      </c>
    </row>
    <row r="7" spans="1:10" x14ac:dyDescent="0.35">
      <c r="A7" t="s">
        <v>36</v>
      </c>
      <c r="B7" s="1" t="s">
        <v>12</v>
      </c>
      <c r="C7" t="s">
        <v>30</v>
      </c>
      <c r="D7" t="s">
        <v>31</v>
      </c>
      <c r="E7" t="s">
        <v>15</v>
      </c>
      <c r="F7" t="s">
        <v>32</v>
      </c>
      <c r="G7">
        <v>0</v>
      </c>
    </row>
    <row r="8" spans="1:10" x14ac:dyDescent="0.35">
      <c r="A8" s="55" t="s">
        <v>37</v>
      </c>
      <c r="B8" s="1" t="s">
        <v>12</v>
      </c>
      <c r="C8" t="s">
        <v>30</v>
      </c>
      <c r="D8" t="s">
        <v>31</v>
      </c>
      <c r="E8" t="s">
        <v>15</v>
      </c>
      <c r="F8" t="s">
        <v>32</v>
      </c>
      <c r="G8">
        <v>0</v>
      </c>
    </row>
    <row r="9" spans="1:10" x14ac:dyDescent="0.35">
      <c r="A9" s="13" t="s">
        <v>42</v>
      </c>
      <c r="B9" s="1" t="s">
        <v>12</v>
      </c>
      <c r="C9" t="s">
        <v>30</v>
      </c>
      <c r="D9" t="s">
        <v>31</v>
      </c>
      <c r="E9" t="s">
        <v>15</v>
      </c>
      <c r="F9" t="s">
        <v>32</v>
      </c>
      <c r="G9" s="48">
        <f>G10*15%</f>
        <v>-8.1</v>
      </c>
      <c r="I9" s="3" t="s">
        <v>259</v>
      </c>
    </row>
    <row r="10" spans="1:10" x14ac:dyDescent="0.35">
      <c r="A10" s="13" t="s">
        <v>43</v>
      </c>
      <c r="B10" s="1" t="s">
        <v>12</v>
      </c>
      <c r="C10" t="s">
        <v>30</v>
      </c>
      <c r="D10" t="s">
        <v>31</v>
      </c>
      <c r="E10" t="s">
        <v>15</v>
      </c>
      <c r="F10" t="s">
        <v>32</v>
      </c>
      <c r="G10" s="48">
        <f>-94+'C2U CI'!G5</f>
        <v>-54</v>
      </c>
      <c r="I10" s="3" t="s">
        <v>258</v>
      </c>
    </row>
    <row r="11" spans="1:10" hidden="1" x14ac:dyDescent="0.35">
      <c r="A11" s="55" t="s">
        <v>40</v>
      </c>
      <c r="B11" s="55" t="s">
        <v>19</v>
      </c>
      <c r="C11" s="55" t="s">
        <v>30</v>
      </c>
      <c r="D11" s="55" t="s">
        <v>31</v>
      </c>
      <c r="E11" s="55" t="s">
        <v>15</v>
      </c>
      <c r="F11" t="s">
        <v>32</v>
      </c>
      <c r="G11">
        <v>25</v>
      </c>
      <c r="H11" s="36" t="s">
        <v>340</v>
      </c>
      <c r="I11" s="3"/>
    </row>
    <row r="12" spans="1:10" hidden="1" x14ac:dyDescent="0.35">
      <c r="A12" s="55" t="s">
        <v>37</v>
      </c>
      <c r="B12" s="55" t="s">
        <v>19</v>
      </c>
      <c r="C12" s="55" t="s">
        <v>30</v>
      </c>
      <c r="D12" s="55" t="s">
        <v>31</v>
      </c>
      <c r="E12" s="55" t="s">
        <v>15</v>
      </c>
      <c r="F12" t="s">
        <v>32</v>
      </c>
      <c r="G12">
        <v>22</v>
      </c>
      <c r="H12" t="s">
        <v>344</v>
      </c>
      <c r="I12" s="3" t="s">
        <v>337</v>
      </c>
      <c r="J12" t="s">
        <v>41</v>
      </c>
    </row>
    <row r="13" spans="1:10" hidden="1" x14ac:dyDescent="0.35">
      <c r="A13" s="55" t="s">
        <v>36</v>
      </c>
      <c r="B13" s="55" t="s">
        <v>19</v>
      </c>
      <c r="C13" s="55" t="s">
        <v>30</v>
      </c>
      <c r="D13" s="55" t="s">
        <v>31</v>
      </c>
      <c r="E13" s="55" t="s">
        <v>15</v>
      </c>
      <c r="F13" t="s">
        <v>32</v>
      </c>
      <c r="G13">
        <v>22</v>
      </c>
      <c r="H13" t="s">
        <v>344</v>
      </c>
      <c r="I13" s="3" t="s">
        <v>21</v>
      </c>
      <c r="J13" t="s">
        <v>41</v>
      </c>
    </row>
    <row r="14" spans="1:10" hidden="1" x14ac:dyDescent="0.35">
      <c r="A14" s="13" t="s">
        <v>42</v>
      </c>
      <c r="B14" s="55" t="s">
        <v>19</v>
      </c>
      <c r="C14" s="55" t="s">
        <v>30</v>
      </c>
      <c r="D14" s="55" t="s">
        <v>39</v>
      </c>
      <c r="E14" s="55" t="s">
        <v>15</v>
      </c>
      <c r="F14" t="s">
        <v>32</v>
      </c>
      <c r="G14">
        <f>G15*15%</f>
        <v>-30</v>
      </c>
      <c r="I14" s="3" t="s">
        <v>259</v>
      </c>
    </row>
    <row r="15" spans="1:10" hidden="1" x14ac:dyDescent="0.35">
      <c r="A15" s="13" t="s">
        <v>43</v>
      </c>
      <c r="B15" s="55" t="s">
        <v>19</v>
      </c>
      <c r="C15" s="55" t="s">
        <v>30</v>
      </c>
      <c r="D15" s="55" t="s">
        <v>39</v>
      </c>
      <c r="E15" s="55" t="s">
        <v>15</v>
      </c>
      <c r="F15" t="s">
        <v>32</v>
      </c>
      <c r="G15">
        <v>-200</v>
      </c>
      <c r="I15" s="3" t="s">
        <v>258</v>
      </c>
    </row>
    <row r="16" spans="1:10" hidden="1" x14ac:dyDescent="0.35">
      <c r="A16" t="s">
        <v>42</v>
      </c>
      <c r="B16" s="1" t="s">
        <v>38</v>
      </c>
      <c r="C16" t="s">
        <v>30</v>
      </c>
      <c r="D16" t="s">
        <v>31</v>
      </c>
      <c r="E16" t="s">
        <v>15</v>
      </c>
      <c r="F16" t="s">
        <v>32</v>
      </c>
      <c r="G16">
        <v>45</v>
      </c>
      <c r="I16" s="3"/>
    </row>
    <row r="17" spans="1:9" hidden="1" x14ac:dyDescent="0.35">
      <c r="A17" s="1" t="s">
        <v>43</v>
      </c>
      <c r="B17" s="1" t="s">
        <v>38</v>
      </c>
      <c r="C17" t="s">
        <v>30</v>
      </c>
      <c r="D17" t="s">
        <v>31</v>
      </c>
      <c r="E17" t="s">
        <v>15</v>
      </c>
      <c r="F17" t="s">
        <v>32</v>
      </c>
      <c r="G17">
        <v>-150</v>
      </c>
      <c r="H17" s="6" t="s">
        <v>44</v>
      </c>
    </row>
    <row r="18" spans="1:9" hidden="1" x14ac:dyDescent="0.35">
      <c r="A18" s="1" t="s">
        <v>45</v>
      </c>
      <c r="B18" s="1" t="s">
        <v>46</v>
      </c>
      <c r="C18" t="s">
        <v>30</v>
      </c>
      <c r="D18" t="s">
        <v>31</v>
      </c>
      <c r="E18" t="s">
        <v>15</v>
      </c>
      <c r="F18" t="s">
        <v>32</v>
      </c>
      <c r="G18">
        <v>70</v>
      </c>
      <c r="H18" t="s">
        <v>47</v>
      </c>
    </row>
    <row r="19" spans="1:9" hidden="1" x14ac:dyDescent="0.35">
      <c r="A19" s="1" t="s">
        <v>48</v>
      </c>
      <c r="B19" s="1" t="s">
        <v>46</v>
      </c>
      <c r="C19" t="s">
        <v>30</v>
      </c>
      <c r="D19" t="s">
        <v>31</v>
      </c>
      <c r="E19" t="s">
        <v>15</v>
      </c>
      <c r="F19" t="s">
        <v>32</v>
      </c>
      <c r="G19">
        <v>50</v>
      </c>
      <c r="H19" t="s">
        <v>47</v>
      </c>
    </row>
    <row r="20" spans="1:9" hidden="1" x14ac:dyDescent="0.35">
      <c r="A20" t="s">
        <v>37</v>
      </c>
      <c r="B20" s="1" t="s">
        <v>46</v>
      </c>
      <c r="C20" t="s">
        <v>30</v>
      </c>
      <c r="D20" t="s">
        <v>31</v>
      </c>
      <c r="E20" t="s">
        <v>15</v>
      </c>
      <c r="F20" t="s">
        <v>32</v>
      </c>
      <c r="G20">
        <v>7.7</v>
      </c>
      <c r="H20" t="s">
        <v>47</v>
      </c>
      <c r="I20" t="s">
        <v>49</v>
      </c>
    </row>
    <row r="21" spans="1:9" hidden="1" x14ac:dyDescent="0.35">
      <c r="A21" t="s">
        <v>36</v>
      </c>
      <c r="B21" s="1" t="s">
        <v>46</v>
      </c>
      <c r="C21" t="s">
        <v>30</v>
      </c>
      <c r="D21" t="s">
        <v>31</v>
      </c>
      <c r="E21" t="s">
        <v>15</v>
      </c>
      <c r="F21" t="s">
        <v>32</v>
      </c>
      <c r="G21">
        <v>8.3000000000000007</v>
      </c>
      <c r="H21" t="s">
        <v>47</v>
      </c>
      <c r="I21" t="s">
        <v>49</v>
      </c>
    </row>
    <row r="22" spans="1:9" x14ac:dyDescent="0.35">
      <c r="A22" t="s">
        <v>11</v>
      </c>
      <c r="B22" t="s">
        <v>12</v>
      </c>
      <c r="C22" t="s">
        <v>30</v>
      </c>
      <c r="D22" t="s">
        <v>31</v>
      </c>
      <c r="E22" t="s">
        <v>24</v>
      </c>
      <c r="F22" t="s">
        <v>32</v>
      </c>
      <c r="G22">
        <v>0</v>
      </c>
    </row>
    <row r="23" spans="1:9" hidden="1" x14ac:dyDescent="0.35">
      <c r="A23" s="55" t="s">
        <v>11</v>
      </c>
      <c r="B23" s="55" t="s">
        <v>19</v>
      </c>
      <c r="C23" s="55" t="s">
        <v>30</v>
      </c>
      <c r="D23" s="55" t="s">
        <v>31</v>
      </c>
      <c r="E23" s="55" t="s">
        <v>24</v>
      </c>
      <c r="F23" t="s">
        <v>32</v>
      </c>
      <c r="G23">
        <v>11</v>
      </c>
      <c r="H23" t="s">
        <v>33</v>
      </c>
      <c r="I23" s="36" t="s">
        <v>341</v>
      </c>
    </row>
    <row r="24" spans="1:9" x14ac:dyDescent="0.35">
      <c r="A24" t="s">
        <v>22</v>
      </c>
      <c r="B24" t="s">
        <v>12</v>
      </c>
      <c r="C24" t="s">
        <v>30</v>
      </c>
      <c r="D24" t="s">
        <v>31</v>
      </c>
      <c r="E24" t="s">
        <v>24</v>
      </c>
      <c r="F24" t="s">
        <v>32</v>
      </c>
      <c r="G24">
        <v>0</v>
      </c>
    </row>
    <row r="25" spans="1:9" x14ac:dyDescent="0.35">
      <c r="A25" s="1" t="s">
        <v>34</v>
      </c>
      <c r="B25" s="1" t="s">
        <v>12</v>
      </c>
      <c r="C25" t="s">
        <v>30</v>
      </c>
      <c r="D25" t="s">
        <v>31</v>
      </c>
      <c r="E25" t="s">
        <v>24</v>
      </c>
      <c r="F25" t="s">
        <v>32</v>
      </c>
      <c r="G25">
        <v>0</v>
      </c>
    </row>
    <row r="26" spans="1:9" x14ac:dyDescent="0.35">
      <c r="A26" s="1" t="s">
        <v>35</v>
      </c>
      <c r="B26" s="1" t="s">
        <v>12</v>
      </c>
      <c r="C26" t="s">
        <v>30</v>
      </c>
      <c r="D26" t="s">
        <v>31</v>
      </c>
      <c r="E26" t="s">
        <v>24</v>
      </c>
      <c r="F26" t="s">
        <v>32</v>
      </c>
      <c r="G26">
        <v>0</v>
      </c>
    </row>
    <row r="27" spans="1:9" x14ac:dyDescent="0.35">
      <c r="A27" t="s">
        <v>36</v>
      </c>
      <c r="B27" s="1" t="s">
        <v>12</v>
      </c>
      <c r="C27" t="s">
        <v>30</v>
      </c>
      <c r="D27" t="s">
        <v>31</v>
      </c>
      <c r="E27" t="s">
        <v>24</v>
      </c>
      <c r="F27" t="s">
        <v>32</v>
      </c>
      <c r="G27">
        <v>0</v>
      </c>
    </row>
    <row r="28" spans="1:9" x14ac:dyDescent="0.35">
      <c r="A28" t="s">
        <v>37</v>
      </c>
      <c r="B28" s="1" t="s">
        <v>12</v>
      </c>
      <c r="C28" t="s">
        <v>30</v>
      </c>
      <c r="D28" t="s">
        <v>31</v>
      </c>
      <c r="E28" t="s">
        <v>24</v>
      </c>
      <c r="F28" t="s">
        <v>32</v>
      </c>
      <c r="G28">
        <v>0</v>
      </c>
    </row>
    <row r="29" spans="1:9" x14ac:dyDescent="0.35">
      <c r="A29" s="13" t="s">
        <v>42</v>
      </c>
      <c r="B29" s="1" t="s">
        <v>12</v>
      </c>
      <c r="C29" t="s">
        <v>30</v>
      </c>
      <c r="D29" t="s">
        <v>31</v>
      </c>
      <c r="E29" t="s">
        <v>24</v>
      </c>
      <c r="F29" t="s">
        <v>32</v>
      </c>
      <c r="G29" s="48">
        <f>G30*15%</f>
        <v>-73.5</v>
      </c>
      <c r="I29" s="3" t="s">
        <v>259</v>
      </c>
    </row>
    <row r="30" spans="1:9" x14ac:dyDescent="0.35">
      <c r="A30" s="13" t="s">
        <v>43</v>
      </c>
      <c r="B30" s="1" t="s">
        <v>12</v>
      </c>
      <c r="C30" t="s">
        <v>30</v>
      </c>
      <c r="D30" t="s">
        <v>31</v>
      </c>
      <c r="E30" t="s">
        <v>24</v>
      </c>
      <c r="F30" t="s">
        <v>32</v>
      </c>
      <c r="G30">
        <f>-530+'C2U CI'!G5</f>
        <v>-490</v>
      </c>
      <c r="I30" s="3" t="s">
        <v>258</v>
      </c>
    </row>
    <row r="31" spans="1:9" hidden="1" x14ac:dyDescent="0.35">
      <c r="A31" s="55" t="s">
        <v>40</v>
      </c>
      <c r="B31" s="55" t="s">
        <v>19</v>
      </c>
      <c r="C31" s="55" t="s">
        <v>30</v>
      </c>
      <c r="D31" s="55" t="s">
        <v>31</v>
      </c>
      <c r="E31" s="55" t="s">
        <v>24</v>
      </c>
      <c r="F31" t="s">
        <v>32</v>
      </c>
      <c r="G31">
        <v>47</v>
      </c>
      <c r="H31" s="36" t="s">
        <v>340</v>
      </c>
      <c r="I31" s="3"/>
    </row>
    <row r="32" spans="1:9" hidden="1" x14ac:dyDescent="0.35">
      <c r="A32" s="55" t="s">
        <v>37</v>
      </c>
      <c r="B32" s="55" t="s">
        <v>19</v>
      </c>
      <c r="C32" s="55" t="s">
        <v>30</v>
      </c>
      <c r="D32" s="55" t="s">
        <v>31</v>
      </c>
      <c r="E32" s="55" t="s">
        <v>24</v>
      </c>
      <c r="F32" t="s">
        <v>32</v>
      </c>
      <c r="G32">
        <v>71.7</v>
      </c>
      <c r="H32" s="55" t="s">
        <v>339</v>
      </c>
      <c r="I32" s="56" t="s">
        <v>340</v>
      </c>
    </row>
    <row r="33" spans="1:9" hidden="1" x14ac:dyDescent="0.35">
      <c r="A33" s="13" t="s">
        <v>42</v>
      </c>
      <c r="B33" s="55" t="s">
        <v>19</v>
      </c>
      <c r="C33" s="55" t="s">
        <v>30</v>
      </c>
      <c r="D33" s="55" t="s">
        <v>39</v>
      </c>
      <c r="E33" s="55" t="s">
        <v>24</v>
      </c>
      <c r="F33" t="s">
        <v>32</v>
      </c>
      <c r="G33">
        <f>G34*15%</f>
        <v>-13.5</v>
      </c>
      <c r="I33" s="3" t="s">
        <v>338</v>
      </c>
    </row>
    <row r="34" spans="1:9" hidden="1" x14ac:dyDescent="0.35">
      <c r="A34" s="13" t="s">
        <v>43</v>
      </c>
      <c r="B34" s="55" t="s">
        <v>19</v>
      </c>
      <c r="C34" s="55" t="s">
        <v>30</v>
      </c>
      <c r="D34" s="55" t="s">
        <v>39</v>
      </c>
      <c r="E34" s="55" t="s">
        <v>24</v>
      </c>
      <c r="F34" t="s">
        <v>32</v>
      </c>
      <c r="G34">
        <v>-90</v>
      </c>
      <c r="I34" s="3" t="s">
        <v>258</v>
      </c>
    </row>
    <row r="35" spans="1:9" hidden="1" x14ac:dyDescent="0.35">
      <c r="A35" s="55" t="s">
        <v>36</v>
      </c>
      <c r="B35" s="55" t="s">
        <v>19</v>
      </c>
      <c r="C35" s="55" t="s">
        <v>30</v>
      </c>
      <c r="D35" s="55" t="s">
        <v>31</v>
      </c>
      <c r="E35" s="55" t="s">
        <v>24</v>
      </c>
      <c r="F35" t="s">
        <v>32</v>
      </c>
      <c r="G35">
        <v>71.7</v>
      </c>
      <c r="H35" s="55" t="s">
        <v>339</v>
      </c>
      <c r="I35" s="36" t="s">
        <v>341</v>
      </c>
    </row>
    <row r="36" spans="1:9" hidden="1" x14ac:dyDescent="0.35">
      <c r="A36" t="s">
        <v>42</v>
      </c>
      <c r="B36" s="1" t="s">
        <v>38</v>
      </c>
      <c r="C36" t="s">
        <v>30</v>
      </c>
      <c r="D36" t="s">
        <v>31</v>
      </c>
      <c r="E36" t="s">
        <v>24</v>
      </c>
      <c r="F36" t="s">
        <v>32</v>
      </c>
      <c r="G36">
        <v>45</v>
      </c>
      <c r="H36" s="6" t="s">
        <v>44</v>
      </c>
      <c r="I36" s="3"/>
    </row>
    <row r="37" spans="1:9" hidden="1" x14ac:dyDescent="0.35">
      <c r="A37" t="s">
        <v>43</v>
      </c>
      <c r="B37" s="1" t="s">
        <v>38</v>
      </c>
      <c r="C37" t="s">
        <v>30</v>
      </c>
      <c r="D37" t="s">
        <v>31</v>
      </c>
      <c r="E37" t="s">
        <v>24</v>
      </c>
      <c r="F37" t="s">
        <v>32</v>
      </c>
      <c r="G37">
        <v>-132.5</v>
      </c>
      <c r="H37" s="6" t="s">
        <v>44</v>
      </c>
    </row>
    <row r="38" spans="1:9" hidden="1" x14ac:dyDescent="0.35">
      <c r="A38" t="s">
        <v>45</v>
      </c>
      <c r="B38" s="1" t="s">
        <v>46</v>
      </c>
      <c r="C38" t="s">
        <v>30</v>
      </c>
      <c r="D38" t="s">
        <v>31</v>
      </c>
      <c r="E38" t="s">
        <v>24</v>
      </c>
      <c r="F38" t="s">
        <v>32</v>
      </c>
      <c r="G38">
        <v>70</v>
      </c>
      <c r="H38" t="s">
        <v>47</v>
      </c>
    </row>
    <row r="39" spans="1:9" hidden="1" x14ac:dyDescent="0.35">
      <c r="A39" t="s">
        <v>48</v>
      </c>
      <c r="B39" s="1" t="s">
        <v>46</v>
      </c>
      <c r="C39" t="s">
        <v>30</v>
      </c>
      <c r="D39" t="s">
        <v>31</v>
      </c>
      <c r="E39" t="s">
        <v>24</v>
      </c>
      <c r="F39" t="s">
        <v>32</v>
      </c>
      <c r="G39">
        <v>50</v>
      </c>
      <c r="H39" t="s">
        <v>47</v>
      </c>
    </row>
    <row r="40" spans="1:9" hidden="1" x14ac:dyDescent="0.35">
      <c r="A40" t="s">
        <v>37</v>
      </c>
      <c r="B40" s="1" t="s">
        <v>46</v>
      </c>
      <c r="C40" t="s">
        <v>30</v>
      </c>
      <c r="D40" t="s">
        <v>31</v>
      </c>
      <c r="E40" t="s">
        <v>24</v>
      </c>
      <c r="F40" t="s">
        <v>32</v>
      </c>
      <c r="G40">
        <v>29.3</v>
      </c>
      <c r="I40" s="36" t="s">
        <v>294</v>
      </c>
    </row>
    <row r="41" spans="1:9" hidden="1" x14ac:dyDescent="0.35">
      <c r="A41" t="s">
        <v>36</v>
      </c>
      <c r="B41" s="1" t="s">
        <v>46</v>
      </c>
      <c r="C41" t="s">
        <v>30</v>
      </c>
      <c r="D41" t="s">
        <v>31</v>
      </c>
      <c r="E41" t="s">
        <v>24</v>
      </c>
      <c r="F41" t="s">
        <v>32</v>
      </c>
      <c r="G41">
        <v>23.8</v>
      </c>
      <c r="I41" s="36" t="s">
        <v>294</v>
      </c>
    </row>
    <row r="42" spans="1:9" x14ac:dyDescent="0.35">
      <c r="A42" t="s">
        <v>11</v>
      </c>
      <c r="B42" t="s">
        <v>12</v>
      </c>
      <c r="C42" t="s">
        <v>30</v>
      </c>
      <c r="D42" t="s">
        <v>31</v>
      </c>
      <c r="E42" t="s">
        <v>26</v>
      </c>
      <c r="F42" t="s">
        <v>32</v>
      </c>
      <c r="G42">
        <v>0</v>
      </c>
    </row>
    <row r="43" spans="1:9" hidden="1" x14ac:dyDescent="0.35">
      <c r="A43" s="55" t="s">
        <v>11</v>
      </c>
      <c r="B43" s="55" t="s">
        <v>19</v>
      </c>
      <c r="C43" s="55" t="s">
        <v>30</v>
      </c>
      <c r="D43" s="55" t="s">
        <v>31</v>
      </c>
      <c r="E43" s="55" t="s">
        <v>26</v>
      </c>
      <c r="F43" t="s">
        <v>32</v>
      </c>
      <c r="G43">
        <v>21</v>
      </c>
      <c r="H43" t="s">
        <v>33</v>
      </c>
      <c r="I43" s="36" t="s">
        <v>341</v>
      </c>
    </row>
    <row r="44" spans="1:9" x14ac:dyDescent="0.35">
      <c r="A44" t="s">
        <v>22</v>
      </c>
      <c r="B44" t="s">
        <v>12</v>
      </c>
      <c r="C44" t="s">
        <v>30</v>
      </c>
      <c r="D44" t="s">
        <v>31</v>
      </c>
      <c r="E44" t="s">
        <v>26</v>
      </c>
      <c r="F44" t="s">
        <v>32</v>
      </c>
      <c r="G44">
        <v>0</v>
      </c>
    </row>
    <row r="45" spans="1:9" x14ac:dyDescent="0.35">
      <c r="A45" s="1" t="s">
        <v>34</v>
      </c>
      <c r="B45" s="1" t="s">
        <v>12</v>
      </c>
      <c r="C45" t="s">
        <v>30</v>
      </c>
      <c r="D45" t="s">
        <v>31</v>
      </c>
      <c r="E45" t="s">
        <v>26</v>
      </c>
      <c r="F45" t="s">
        <v>32</v>
      </c>
      <c r="G45">
        <v>0</v>
      </c>
    </row>
    <row r="46" spans="1:9" x14ac:dyDescent="0.35">
      <c r="A46" s="1" t="s">
        <v>35</v>
      </c>
      <c r="B46" s="1" t="s">
        <v>12</v>
      </c>
      <c r="C46" t="s">
        <v>30</v>
      </c>
      <c r="D46" t="s">
        <v>31</v>
      </c>
      <c r="E46" t="s">
        <v>26</v>
      </c>
      <c r="F46" t="s">
        <v>32</v>
      </c>
      <c r="G46">
        <v>0</v>
      </c>
    </row>
    <row r="47" spans="1:9" x14ac:dyDescent="0.35">
      <c r="A47" t="s">
        <v>36</v>
      </c>
      <c r="B47" s="1" t="s">
        <v>12</v>
      </c>
      <c r="C47" t="s">
        <v>30</v>
      </c>
      <c r="D47" t="s">
        <v>31</v>
      </c>
      <c r="E47" t="s">
        <v>26</v>
      </c>
      <c r="F47" t="s">
        <v>32</v>
      </c>
      <c r="G47">
        <v>0</v>
      </c>
    </row>
    <row r="48" spans="1:9" x14ac:dyDescent="0.35">
      <c r="A48" t="s">
        <v>37</v>
      </c>
      <c r="B48" s="1" t="s">
        <v>12</v>
      </c>
      <c r="C48" t="s">
        <v>30</v>
      </c>
      <c r="D48" t="s">
        <v>31</v>
      </c>
      <c r="E48" t="s">
        <v>26</v>
      </c>
      <c r="F48" t="s">
        <v>32</v>
      </c>
      <c r="G48">
        <v>0</v>
      </c>
    </row>
    <row r="49" spans="1:9" x14ac:dyDescent="0.35">
      <c r="A49" s="13" t="s">
        <v>42</v>
      </c>
      <c r="B49" s="1" t="s">
        <v>12</v>
      </c>
      <c r="C49" t="s">
        <v>30</v>
      </c>
      <c r="D49" t="s">
        <v>31</v>
      </c>
      <c r="E49" t="s">
        <v>26</v>
      </c>
      <c r="F49" t="s">
        <v>32</v>
      </c>
      <c r="G49" s="48">
        <f>G50*15%</f>
        <v>-108.3</v>
      </c>
      <c r="I49" s="3" t="s">
        <v>259</v>
      </c>
    </row>
    <row r="50" spans="1:9" x14ac:dyDescent="0.35">
      <c r="A50" s="13" t="s">
        <v>43</v>
      </c>
      <c r="B50" s="1" t="s">
        <v>12</v>
      </c>
      <c r="C50" t="s">
        <v>30</v>
      </c>
      <c r="D50" t="s">
        <v>31</v>
      </c>
      <c r="E50" t="s">
        <v>26</v>
      </c>
      <c r="F50" t="s">
        <v>32</v>
      </c>
      <c r="G50">
        <f>-762+'C2U CI'!G5</f>
        <v>-722</v>
      </c>
      <c r="I50" s="3" t="s">
        <v>258</v>
      </c>
    </row>
    <row r="51" spans="1:9" hidden="1" x14ac:dyDescent="0.35">
      <c r="A51" s="55" t="s">
        <v>40</v>
      </c>
      <c r="B51" s="55" t="s">
        <v>19</v>
      </c>
      <c r="C51" s="55" t="s">
        <v>30</v>
      </c>
      <c r="D51" s="55" t="s">
        <v>31</v>
      </c>
      <c r="E51" s="55" t="s">
        <v>26</v>
      </c>
      <c r="F51" t="s">
        <v>32</v>
      </c>
      <c r="G51">
        <v>76</v>
      </c>
      <c r="H51" s="36" t="s">
        <v>340</v>
      </c>
      <c r="I51" s="3"/>
    </row>
    <row r="52" spans="1:9" hidden="1" x14ac:dyDescent="0.35">
      <c r="A52" s="55" t="s">
        <v>37</v>
      </c>
      <c r="B52" s="55" t="s">
        <v>19</v>
      </c>
      <c r="C52" s="55" t="s">
        <v>30</v>
      </c>
      <c r="D52" s="55" t="s">
        <v>31</v>
      </c>
      <c r="E52" s="55" t="s">
        <v>26</v>
      </c>
      <c r="F52" t="s">
        <v>32</v>
      </c>
      <c r="G52">
        <v>3</v>
      </c>
      <c r="H52" s="55" t="s">
        <v>343</v>
      </c>
      <c r="I52" s="56" t="s">
        <v>260</v>
      </c>
    </row>
    <row r="53" spans="1:9" hidden="1" x14ac:dyDescent="0.35">
      <c r="A53" s="13" t="s">
        <v>42</v>
      </c>
      <c r="B53" s="55" t="s">
        <v>19</v>
      </c>
      <c r="C53" s="55" t="s">
        <v>30</v>
      </c>
      <c r="D53" s="55" t="s">
        <v>31</v>
      </c>
      <c r="E53" s="55" t="s">
        <v>26</v>
      </c>
      <c r="F53" t="s">
        <v>32</v>
      </c>
      <c r="G53">
        <f>G54*15%</f>
        <v>-46.35</v>
      </c>
      <c r="I53" s="3" t="s">
        <v>259</v>
      </c>
    </row>
    <row r="54" spans="1:9" hidden="1" x14ac:dyDescent="0.35">
      <c r="A54" s="13" t="s">
        <v>43</v>
      </c>
      <c r="B54" s="55" t="s">
        <v>19</v>
      </c>
      <c r="C54" s="55" t="s">
        <v>30</v>
      </c>
      <c r="D54" s="55" t="s">
        <v>39</v>
      </c>
      <c r="E54" s="55" t="s">
        <v>26</v>
      </c>
      <c r="F54" t="s">
        <v>32</v>
      </c>
      <c r="G54">
        <v>-309</v>
      </c>
      <c r="I54" s="3" t="s">
        <v>258</v>
      </c>
    </row>
    <row r="55" spans="1:9" hidden="1" x14ac:dyDescent="0.35">
      <c r="A55" s="55" t="s">
        <v>36</v>
      </c>
      <c r="B55" s="55" t="s">
        <v>19</v>
      </c>
      <c r="C55" s="55" t="s">
        <v>30</v>
      </c>
      <c r="D55" s="55" t="s">
        <v>31</v>
      </c>
      <c r="E55" s="55" t="s">
        <v>26</v>
      </c>
      <c r="F55" t="s">
        <v>32</v>
      </c>
      <c r="G55">
        <v>3</v>
      </c>
      <c r="H55" s="55" t="s">
        <v>343</v>
      </c>
      <c r="I55" s="56" t="s">
        <v>260</v>
      </c>
    </row>
    <row r="56" spans="1:9" hidden="1" x14ac:dyDescent="0.35">
      <c r="A56" t="s">
        <v>42</v>
      </c>
      <c r="B56" s="1" t="s">
        <v>38</v>
      </c>
      <c r="C56" t="s">
        <v>30</v>
      </c>
      <c r="D56" t="s">
        <v>31</v>
      </c>
      <c r="E56" t="s">
        <v>26</v>
      </c>
      <c r="F56" t="s">
        <v>32</v>
      </c>
      <c r="G56">
        <v>45</v>
      </c>
      <c r="H56" s="6" t="s">
        <v>44</v>
      </c>
      <c r="I56" s="3"/>
    </row>
    <row r="57" spans="1:9" hidden="1" x14ac:dyDescent="0.35">
      <c r="A57" t="s">
        <v>43</v>
      </c>
      <c r="B57" s="1" t="s">
        <v>38</v>
      </c>
      <c r="C57" t="s">
        <v>30</v>
      </c>
      <c r="D57" t="s">
        <v>31</v>
      </c>
      <c r="E57" t="s">
        <v>26</v>
      </c>
      <c r="F57" t="s">
        <v>32</v>
      </c>
      <c r="G57">
        <v>-328.8</v>
      </c>
      <c r="H57" s="6" t="s">
        <v>44</v>
      </c>
    </row>
    <row r="58" spans="1:9" hidden="1" x14ac:dyDescent="0.35">
      <c r="A58" t="s">
        <v>45</v>
      </c>
      <c r="B58" s="1" t="s">
        <v>46</v>
      </c>
      <c r="C58" t="s">
        <v>30</v>
      </c>
      <c r="D58" t="s">
        <v>31</v>
      </c>
      <c r="E58" t="s">
        <v>26</v>
      </c>
      <c r="F58" t="s">
        <v>32</v>
      </c>
      <c r="G58">
        <v>47.5</v>
      </c>
      <c r="H58" t="s">
        <v>47</v>
      </c>
    </row>
    <row r="59" spans="1:9" hidden="1" x14ac:dyDescent="0.35">
      <c r="A59" t="s">
        <v>48</v>
      </c>
      <c r="B59" s="1" t="s">
        <v>46</v>
      </c>
      <c r="C59" t="s">
        <v>30</v>
      </c>
      <c r="D59" t="s">
        <v>31</v>
      </c>
      <c r="E59" t="s">
        <v>26</v>
      </c>
      <c r="F59" t="s">
        <v>32</v>
      </c>
      <c r="G59">
        <v>32.799999999999997</v>
      </c>
      <c r="H59" t="s">
        <v>47</v>
      </c>
    </row>
    <row r="60" spans="1:9" hidden="1" x14ac:dyDescent="0.35">
      <c r="A60" t="s">
        <v>37</v>
      </c>
      <c r="B60" s="1" t="s">
        <v>46</v>
      </c>
      <c r="C60" t="s">
        <v>30</v>
      </c>
      <c r="D60" t="s">
        <v>31</v>
      </c>
      <c r="E60" t="s">
        <v>26</v>
      </c>
      <c r="F60" t="s">
        <v>32</v>
      </c>
      <c r="G60" s="12">
        <v>7.7</v>
      </c>
    </row>
    <row r="61" spans="1:9" hidden="1" x14ac:dyDescent="0.35">
      <c r="A61" t="s">
        <v>36</v>
      </c>
      <c r="B61" s="1" t="s">
        <v>46</v>
      </c>
      <c r="C61" t="s">
        <v>30</v>
      </c>
      <c r="D61" t="s">
        <v>31</v>
      </c>
      <c r="E61" t="s">
        <v>26</v>
      </c>
      <c r="F61" t="s">
        <v>32</v>
      </c>
      <c r="G61" s="12">
        <v>8.3000000000000007</v>
      </c>
    </row>
    <row r="67" spans="6:6" x14ac:dyDescent="0.35">
      <c r="F67" s="5"/>
    </row>
    <row r="68" spans="6:6" x14ac:dyDescent="0.35">
      <c r="F68" s="64"/>
    </row>
  </sheetData>
  <autoFilter ref="A1:J61" xr:uid="{732D9AEE-59CF-9744-8E33-A83B08C738C6}">
    <filterColumn colId="1">
      <filters>
        <filter val="Electricity"/>
      </filters>
    </filterColumn>
  </autoFilter>
  <phoneticPr fontId="10" type="noConversion"/>
  <hyperlinks>
    <hyperlink ref="I40" r:id="rId1" xr:uid="{3DE9360D-4B28-4580-B9AC-7A8A7FDEC5D9}"/>
    <hyperlink ref="I41" r:id="rId2" xr:uid="{616833AB-8ACA-41F8-8D0E-642E78789A77}"/>
    <hyperlink ref="I52" r:id="rId3" xr:uid="{8E40FAC8-BE6F-4972-8F8A-D7FFC804E06E}"/>
    <hyperlink ref="I55" r:id="rId4" xr:uid="{F8847031-885E-40E1-92C0-8616552E06FA}"/>
    <hyperlink ref="I32" r:id="rId5" xr:uid="{5E2BC77F-A5F7-4E28-8FD6-6908622A66F4}"/>
    <hyperlink ref="I35" r:id="rId6" display="https://bof.fire.ca.gov/media/10190/introduction-to-the-hydrogen-market-in-california-draft-for-comment_ada.pdf" xr:uid="{D1B92899-5F56-4BC1-9B1A-753C033ABE12}"/>
    <hyperlink ref="H11" r:id="rId7" xr:uid="{ABF6638B-67E6-4462-9698-7878ED08063F}"/>
    <hyperlink ref="H31" r:id="rId8" xr:uid="{6CC27E2D-896B-4F52-9EBF-B1D4967B49EA}"/>
    <hyperlink ref="H51" r:id="rId9" xr:uid="{3FA6F57B-1576-49E0-BC0A-B6213F870ACC}"/>
    <hyperlink ref="I3" r:id="rId10" display="https://bof.fire.ca.gov/media/10190/introduction-to-the-hydrogen-market-in-california-draft-for-comment_ada.pdf" xr:uid="{40CAFF63-7148-4667-98FE-FFF89E0DA688}"/>
    <hyperlink ref="I23" r:id="rId11" display="https://bof.fire.ca.gov/media/10190/introduction-to-the-hydrogen-market-in-california-draft-for-comment_ada.pdf" xr:uid="{42190A8E-57A6-46F3-8FA3-71EA01DCB935}"/>
    <hyperlink ref="I43" r:id="rId12" display="https://bof.fire.ca.gov/media/10190/introduction-to-the-hydrogen-market-in-california-draft-for-comment_ada.pdf" xr:uid="{4D26B25D-D196-4051-BCD5-66F3EB23535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C9CF8-69D9-4059-BEAC-4E8C34B2FEBB}">
  <dimension ref="A1:F6"/>
  <sheetViews>
    <sheetView workbookViewId="0">
      <selection activeCell="B9" sqref="B9"/>
    </sheetView>
  </sheetViews>
  <sheetFormatPr defaultRowHeight="15.5" x14ac:dyDescent="0.35"/>
  <cols>
    <col min="1" max="1" width="21.83203125" bestFit="1" customWidth="1"/>
    <col min="2" max="2" width="19.33203125" bestFit="1" customWidth="1"/>
    <col min="3" max="3" width="20" bestFit="1" customWidth="1"/>
    <col min="4" max="4" width="16.25" bestFit="1" customWidth="1"/>
    <col min="5" max="5" width="16" bestFit="1" customWidth="1"/>
    <col min="6" max="6" width="173.08203125" bestFit="1" customWidth="1"/>
  </cols>
  <sheetData>
    <row r="1" spans="1:6" x14ac:dyDescent="0.35">
      <c r="A1" t="s">
        <v>1</v>
      </c>
      <c r="B1" t="s">
        <v>50</v>
      </c>
      <c r="C1" t="s">
        <v>51</v>
      </c>
      <c r="D1" t="s">
        <v>52</v>
      </c>
      <c r="E1" t="s">
        <v>53</v>
      </c>
      <c r="F1" t="s">
        <v>54</v>
      </c>
    </row>
    <row r="2" spans="1:6" x14ac:dyDescent="0.35">
      <c r="A2" t="s">
        <v>38</v>
      </c>
      <c r="B2" t="s">
        <v>55</v>
      </c>
      <c r="C2" t="s">
        <v>56</v>
      </c>
      <c r="D2" t="s">
        <v>57</v>
      </c>
      <c r="E2" s="2">
        <v>1</v>
      </c>
    </row>
    <row r="3" spans="1:6" x14ac:dyDescent="0.35">
      <c r="A3" t="s">
        <v>12</v>
      </c>
      <c r="B3" t="s">
        <v>60</v>
      </c>
      <c r="C3" t="s">
        <v>58</v>
      </c>
      <c r="D3" t="s">
        <v>59</v>
      </c>
      <c r="E3">
        <v>1</v>
      </c>
    </row>
    <row r="4" spans="1:6" x14ac:dyDescent="0.35">
      <c r="A4" t="s">
        <v>19</v>
      </c>
      <c r="B4" t="s">
        <v>160</v>
      </c>
      <c r="C4" t="s">
        <v>62</v>
      </c>
      <c r="D4" t="s">
        <v>63</v>
      </c>
      <c r="E4">
        <v>2.5</v>
      </c>
      <c r="F4" s="44" t="s">
        <v>64</v>
      </c>
    </row>
    <row r="5" spans="1:6" x14ac:dyDescent="0.35">
      <c r="A5" t="s">
        <v>19</v>
      </c>
      <c r="B5" t="s">
        <v>257</v>
      </c>
      <c r="C5" t="s">
        <v>65</v>
      </c>
      <c r="D5" t="s">
        <v>66</v>
      </c>
      <c r="E5">
        <v>1</v>
      </c>
    </row>
    <row r="6" spans="1:6" x14ac:dyDescent="0.35">
      <c r="A6" s="1" t="s">
        <v>46</v>
      </c>
      <c r="B6" t="s">
        <v>67</v>
      </c>
      <c r="C6" t="s">
        <v>68</v>
      </c>
      <c r="D6" t="s">
        <v>69</v>
      </c>
      <c r="E6">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EFDD9-D46C-E64E-8B04-7DDDC1C1B0F3}">
  <sheetPr filterMode="1"/>
  <dimension ref="A1:AA16"/>
  <sheetViews>
    <sheetView workbookViewId="0">
      <selection activeCell="F1" sqref="F1:F10"/>
    </sheetView>
  </sheetViews>
  <sheetFormatPr defaultColWidth="11" defaultRowHeight="15.5" x14ac:dyDescent="0.35"/>
  <cols>
    <col min="1" max="1" width="17.58203125" customWidth="1"/>
    <col min="2" max="2" width="19.08203125" customWidth="1"/>
    <col min="3" max="3" width="28" customWidth="1"/>
    <col min="4" max="4" width="26" customWidth="1"/>
    <col min="5" max="5" width="25.75" customWidth="1"/>
    <col min="6" max="6" width="19.08203125" customWidth="1"/>
  </cols>
  <sheetData>
    <row r="1" spans="1:27" x14ac:dyDescent="0.35">
      <c r="A1" t="s">
        <v>1</v>
      </c>
      <c r="B1" t="s">
        <v>50</v>
      </c>
      <c r="C1" t="s">
        <v>70</v>
      </c>
      <c r="D1" t="s">
        <v>3</v>
      </c>
      <c r="E1" t="s">
        <v>4</v>
      </c>
      <c r="F1" t="s">
        <v>28</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row>
    <row r="2" spans="1:27" hidden="1" x14ac:dyDescent="0.35">
      <c r="A2" t="s">
        <v>38</v>
      </c>
      <c r="B2" t="s">
        <v>55</v>
      </c>
      <c r="C2" t="s">
        <v>71</v>
      </c>
      <c r="D2" t="s">
        <v>72</v>
      </c>
      <c r="E2" t="s">
        <v>15</v>
      </c>
      <c r="F2" t="s">
        <v>32</v>
      </c>
      <c r="G2">
        <v>81</v>
      </c>
      <c r="H2">
        <v>81</v>
      </c>
      <c r="I2">
        <v>81</v>
      </c>
      <c r="J2">
        <v>81</v>
      </c>
      <c r="K2">
        <v>81</v>
      </c>
      <c r="L2">
        <v>81</v>
      </c>
      <c r="M2">
        <v>81</v>
      </c>
      <c r="N2">
        <v>81</v>
      </c>
      <c r="O2">
        <v>81</v>
      </c>
      <c r="P2">
        <v>81</v>
      </c>
      <c r="Q2">
        <v>81</v>
      </c>
      <c r="R2">
        <v>81</v>
      </c>
      <c r="S2">
        <v>81</v>
      </c>
      <c r="T2">
        <v>81</v>
      </c>
      <c r="U2">
        <v>81</v>
      </c>
      <c r="V2">
        <v>81</v>
      </c>
      <c r="W2">
        <v>81</v>
      </c>
      <c r="X2">
        <v>81</v>
      </c>
      <c r="Y2">
        <v>81</v>
      </c>
      <c r="Z2">
        <v>81</v>
      </c>
      <c r="AA2">
        <v>81</v>
      </c>
    </row>
    <row r="3" spans="1:27" hidden="1" x14ac:dyDescent="0.35">
      <c r="A3" t="s">
        <v>38</v>
      </c>
      <c r="B3" t="s">
        <v>55</v>
      </c>
      <c r="C3" t="s">
        <v>71</v>
      </c>
      <c r="D3" t="s">
        <v>72</v>
      </c>
      <c r="E3" t="s">
        <v>26</v>
      </c>
      <c r="F3" t="s">
        <v>32</v>
      </c>
      <c r="G3" s="12">
        <v>81</v>
      </c>
      <c r="H3" s="12">
        <v>81</v>
      </c>
      <c r="I3" s="12">
        <v>81</v>
      </c>
      <c r="J3" s="12">
        <v>81</v>
      </c>
      <c r="K3" s="12">
        <v>81</v>
      </c>
      <c r="L3" s="12">
        <v>81</v>
      </c>
      <c r="M3" s="12">
        <v>81</v>
      </c>
      <c r="N3" s="12">
        <v>81</v>
      </c>
      <c r="O3" s="12">
        <v>81</v>
      </c>
      <c r="P3" s="12">
        <v>81</v>
      </c>
      <c r="Q3" s="12">
        <v>81</v>
      </c>
      <c r="R3" s="12">
        <v>81</v>
      </c>
      <c r="S3" s="12">
        <v>81</v>
      </c>
      <c r="T3" s="12">
        <v>81</v>
      </c>
      <c r="U3" s="12">
        <v>81</v>
      </c>
      <c r="V3" s="12">
        <v>81</v>
      </c>
      <c r="W3" s="12">
        <v>81</v>
      </c>
      <c r="X3" s="12">
        <v>81</v>
      </c>
      <c r="Y3" s="12">
        <v>81</v>
      </c>
      <c r="Z3" s="12">
        <v>81</v>
      </c>
      <c r="AA3" s="12">
        <v>81</v>
      </c>
    </row>
    <row r="4" spans="1:27" hidden="1" x14ac:dyDescent="0.35">
      <c r="A4" t="s">
        <v>38</v>
      </c>
      <c r="B4" t="s">
        <v>55</v>
      </c>
      <c r="C4" t="s">
        <v>71</v>
      </c>
      <c r="D4" t="s">
        <v>72</v>
      </c>
      <c r="E4" t="s">
        <v>24</v>
      </c>
      <c r="F4" t="s">
        <v>32</v>
      </c>
      <c r="G4" s="12">
        <v>81</v>
      </c>
      <c r="H4" s="12">
        <v>81</v>
      </c>
      <c r="I4" s="12">
        <v>81</v>
      </c>
      <c r="J4" s="12">
        <v>81</v>
      </c>
      <c r="K4" s="12">
        <v>81</v>
      </c>
      <c r="L4" s="12">
        <v>81</v>
      </c>
      <c r="M4" s="12">
        <v>81</v>
      </c>
      <c r="N4" s="12">
        <v>81</v>
      </c>
      <c r="O4" s="12">
        <v>81</v>
      </c>
      <c r="P4" s="12">
        <v>81</v>
      </c>
      <c r="Q4" s="12">
        <v>81</v>
      </c>
      <c r="R4" s="12">
        <v>81</v>
      </c>
      <c r="S4" s="12">
        <v>81</v>
      </c>
      <c r="T4" s="12">
        <v>81</v>
      </c>
      <c r="U4" s="12">
        <v>81</v>
      </c>
      <c r="V4" s="12">
        <v>81</v>
      </c>
      <c r="W4" s="12">
        <v>81</v>
      </c>
      <c r="X4" s="12">
        <v>81</v>
      </c>
      <c r="Y4" s="12">
        <v>81</v>
      </c>
      <c r="Z4" s="12">
        <v>81</v>
      </c>
      <c r="AA4" s="12">
        <v>81</v>
      </c>
    </row>
    <row r="5" spans="1:27" hidden="1" x14ac:dyDescent="0.35">
      <c r="A5" t="s">
        <v>12</v>
      </c>
      <c r="B5" t="s">
        <v>60</v>
      </c>
      <c r="C5" t="s">
        <v>73</v>
      </c>
      <c r="D5" t="s">
        <v>72</v>
      </c>
      <c r="E5" t="s">
        <v>15</v>
      </c>
      <c r="F5" t="s">
        <v>32</v>
      </c>
      <c r="G5" s="38">
        <v>40</v>
      </c>
      <c r="H5" s="38">
        <v>39</v>
      </c>
      <c r="I5" s="38">
        <v>38</v>
      </c>
      <c r="J5" s="38">
        <v>36</v>
      </c>
      <c r="K5" s="38">
        <v>35</v>
      </c>
      <c r="L5" s="38">
        <v>34</v>
      </c>
      <c r="M5" s="38">
        <v>33</v>
      </c>
      <c r="N5" s="38">
        <v>32</v>
      </c>
      <c r="O5" s="38">
        <v>31</v>
      </c>
      <c r="P5" s="38">
        <v>29</v>
      </c>
      <c r="Q5" s="38">
        <v>28</v>
      </c>
      <c r="R5" s="38">
        <v>27</v>
      </c>
      <c r="S5" s="38">
        <v>26</v>
      </c>
      <c r="T5" s="38">
        <v>25</v>
      </c>
      <c r="U5" s="38">
        <v>24</v>
      </c>
      <c r="V5" s="38">
        <v>22</v>
      </c>
      <c r="W5" s="38">
        <v>21</v>
      </c>
      <c r="X5" s="38">
        <v>20</v>
      </c>
      <c r="Y5" s="38">
        <v>19</v>
      </c>
      <c r="Z5" s="38">
        <v>18</v>
      </c>
      <c r="AA5" s="38">
        <v>17</v>
      </c>
    </row>
    <row r="6" spans="1:27" hidden="1" x14ac:dyDescent="0.35">
      <c r="A6" t="s">
        <v>12</v>
      </c>
      <c r="B6" t="s">
        <v>60</v>
      </c>
      <c r="C6" t="s">
        <v>73</v>
      </c>
      <c r="D6" t="s">
        <v>72</v>
      </c>
      <c r="E6" t="s">
        <v>26</v>
      </c>
      <c r="F6" t="s">
        <v>32</v>
      </c>
      <c r="G6">
        <v>43</v>
      </c>
      <c r="H6">
        <v>42</v>
      </c>
      <c r="I6">
        <v>42</v>
      </c>
      <c r="J6">
        <v>41</v>
      </c>
      <c r="K6">
        <v>40</v>
      </c>
      <c r="L6">
        <v>39</v>
      </c>
      <c r="M6">
        <v>38</v>
      </c>
      <c r="N6">
        <v>37</v>
      </c>
      <c r="O6">
        <v>36</v>
      </c>
      <c r="P6">
        <v>35</v>
      </c>
      <c r="Q6">
        <v>34</v>
      </c>
      <c r="R6">
        <v>33</v>
      </c>
      <c r="S6">
        <v>32</v>
      </c>
      <c r="T6">
        <v>31</v>
      </c>
      <c r="U6">
        <v>31</v>
      </c>
      <c r="V6">
        <v>30</v>
      </c>
      <c r="W6">
        <v>29</v>
      </c>
      <c r="X6">
        <v>28</v>
      </c>
      <c r="Y6">
        <v>27</v>
      </c>
      <c r="Z6">
        <v>26</v>
      </c>
      <c r="AA6">
        <v>25</v>
      </c>
    </row>
    <row r="7" spans="1:27" hidden="1" x14ac:dyDescent="0.35">
      <c r="A7" t="s">
        <v>12</v>
      </c>
      <c r="B7" t="s">
        <v>60</v>
      </c>
      <c r="C7" t="s">
        <v>73</v>
      </c>
      <c r="D7" t="s">
        <v>72</v>
      </c>
      <c r="E7" t="s">
        <v>24</v>
      </c>
      <c r="F7" t="s">
        <v>32</v>
      </c>
      <c r="G7">
        <v>37</v>
      </c>
      <c r="H7">
        <v>35</v>
      </c>
      <c r="I7">
        <v>34</v>
      </c>
      <c r="J7">
        <v>32</v>
      </c>
      <c r="K7">
        <v>31</v>
      </c>
      <c r="L7">
        <v>30</v>
      </c>
      <c r="M7">
        <v>28</v>
      </c>
      <c r="N7">
        <v>27</v>
      </c>
      <c r="O7">
        <v>25</v>
      </c>
      <c r="P7">
        <v>24</v>
      </c>
      <c r="Q7">
        <v>22</v>
      </c>
      <c r="R7">
        <v>21</v>
      </c>
      <c r="S7">
        <v>19</v>
      </c>
      <c r="T7">
        <v>18</v>
      </c>
      <c r="U7">
        <v>17</v>
      </c>
      <c r="V7">
        <v>15</v>
      </c>
      <c r="W7">
        <v>14</v>
      </c>
      <c r="X7">
        <v>12</v>
      </c>
      <c r="Y7">
        <v>11</v>
      </c>
      <c r="Z7">
        <v>9.5</v>
      </c>
      <c r="AA7">
        <v>8</v>
      </c>
    </row>
    <row r="8" spans="1:27" x14ac:dyDescent="0.35">
      <c r="A8" t="s">
        <v>19</v>
      </c>
      <c r="B8" s="13" t="s">
        <v>160</v>
      </c>
      <c r="C8" t="s">
        <v>74</v>
      </c>
      <c r="D8" t="s">
        <v>72</v>
      </c>
      <c r="E8" t="s">
        <v>15</v>
      </c>
      <c r="F8" t="s">
        <v>32</v>
      </c>
      <c r="G8">
        <v>86.638125000000002</v>
      </c>
      <c r="H8">
        <v>85.382499999999993</v>
      </c>
      <c r="I8">
        <v>84.126874999999998</v>
      </c>
      <c r="J8">
        <v>82.871250000000003</v>
      </c>
      <c r="K8">
        <v>81.615625000000009</v>
      </c>
      <c r="L8">
        <v>80.360000000000014</v>
      </c>
      <c r="M8">
        <v>80.360000000000014</v>
      </c>
      <c r="N8">
        <v>80.360000000000014</v>
      </c>
      <c r="O8">
        <v>80.360000000000014</v>
      </c>
      <c r="P8">
        <v>80.360000000000014</v>
      </c>
      <c r="Q8">
        <v>80.360000000000014</v>
      </c>
      <c r="R8">
        <v>80.360000000000014</v>
      </c>
      <c r="S8">
        <v>80.360000000000014</v>
      </c>
      <c r="T8">
        <v>80.360000000000014</v>
      </c>
      <c r="U8">
        <v>80.360000000000014</v>
      </c>
      <c r="V8">
        <v>80.360000000000014</v>
      </c>
      <c r="W8">
        <v>80.360000000000014</v>
      </c>
      <c r="X8">
        <v>80.360000000000014</v>
      </c>
      <c r="Y8">
        <v>80.360000000000014</v>
      </c>
      <c r="Z8">
        <v>80.360000000000014</v>
      </c>
      <c r="AA8">
        <v>80.360000000000014</v>
      </c>
    </row>
    <row r="9" spans="1:27" x14ac:dyDescent="0.35">
      <c r="A9" t="s">
        <v>19</v>
      </c>
      <c r="B9" s="13" t="s">
        <v>160</v>
      </c>
      <c r="C9" t="s">
        <v>74</v>
      </c>
      <c r="D9" t="s">
        <v>72</v>
      </c>
      <c r="E9" t="s">
        <v>26</v>
      </c>
      <c r="F9" t="s">
        <v>32</v>
      </c>
      <c r="G9" s="12">
        <f>G8</f>
        <v>86.638125000000002</v>
      </c>
      <c r="H9" s="12">
        <f t="shared" ref="H9:AA9" si="0">H8</f>
        <v>85.382499999999993</v>
      </c>
      <c r="I9" s="12">
        <f t="shared" si="0"/>
        <v>84.126874999999998</v>
      </c>
      <c r="J9" s="12">
        <f t="shared" si="0"/>
        <v>82.871250000000003</v>
      </c>
      <c r="K9" s="12">
        <f t="shared" si="0"/>
        <v>81.615625000000009</v>
      </c>
      <c r="L9" s="12">
        <f t="shared" si="0"/>
        <v>80.360000000000014</v>
      </c>
      <c r="M9" s="12">
        <f t="shared" si="0"/>
        <v>80.360000000000014</v>
      </c>
      <c r="N9" s="12">
        <f t="shared" si="0"/>
        <v>80.360000000000014</v>
      </c>
      <c r="O9" s="12">
        <f t="shared" si="0"/>
        <v>80.360000000000014</v>
      </c>
      <c r="P9" s="12">
        <f t="shared" si="0"/>
        <v>80.360000000000014</v>
      </c>
      <c r="Q9" s="12">
        <f t="shared" si="0"/>
        <v>80.360000000000014</v>
      </c>
      <c r="R9" s="12">
        <f t="shared" si="0"/>
        <v>80.360000000000014</v>
      </c>
      <c r="S9" s="12">
        <f t="shared" si="0"/>
        <v>80.360000000000014</v>
      </c>
      <c r="T9" s="12">
        <f t="shared" si="0"/>
        <v>80.360000000000014</v>
      </c>
      <c r="U9" s="12">
        <f t="shared" si="0"/>
        <v>80.360000000000014</v>
      </c>
      <c r="V9" s="12">
        <f t="shared" si="0"/>
        <v>80.360000000000014</v>
      </c>
      <c r="W9" s="12">
        <f t="shared" si="0"/>
        <v>80.360000000000014</v>
      </c>
      <c r="X9" s="12">
        <f t="shared" si="0"/>
        <v>80.360000000000014</v>
      </c>
      <c r="Y9" s="12">
        <f t="shared" si="0"/>
        <v>80.360000000000014</v>
      </c>
      <c r="Z9" s="12">
        <f t="shared" si="0"/>
        <v>80.360000000000014</v>
      </c>
      <c r="AA9" s="12">
        <f t="shared" si="0"/>
        <v>80.360000000000014</v>
      </c>
    </row>
    <row r="10" spans="1:27" x14ac:dyDescent="0.35">
      <c r="A10" t="s">
        <v>19</v>
      </c>
      <c r="B10" s="13" t="s">
        <v>160</v>
      </c>
      <c r="C10" t="s">
        <v>74</v>
      </c>
      <c r="D10" t="s">
        <v>72</v>
      </c>
      <c r="E10" t="s">
        <v>24</v>
      </c>
      <c r="F10" t="s">
        <v>32</v>
      </c>
      <c r="G10" s="12">
        <f>G9</f>
        <v>86.638125000000002</v>
      </c>
      <c r="H10" s="12">
        <f t="shared" ref="H10" si="1">H9</f>
        <v>85.382499999999993</v>
      </c>
      <c r="I10" s="12">
        <f t="shared" ref="I10" si="2">I9</f>
        <v>84.126874999999998</v>
      </c>
      <c r="J10" s="12">
        <f t="shared" ref="J10" si="3">J9</f>
        <v>82.871250000000003</v>
      </c>
      <c r="K10" s="12">
        <f t="shared" ref="K10" si="4">K9</f>
        <v>81.615625000000009</v>
      </c>
      <c r="L10" s="12">
        <f t="shared" ref="L10" si="5">L9</f>
        <v>80.360000000000014</v>
      </c>
      <c r="M10" s="12">
        <f t="shared" ref="M10" si="6">M9</f>
        <v>80.360000000000014</v>
      </c>
      <c r="N10" s="12">
        <f t="shared" ref="N10" si="7">N9</f>
        <v>80.360000000000014</v>
      </c>
      <c r="O10" s="12">
        <f t="shared" ref="O10" si="8">O9</f>
        <v>80.360000000000014</v>
      </c>
      <c r="P10" s="12">
        <f t="shared" ref="P10" si="9">P9</f>
        <v>80.360000000000014</v>
      </c>
      <c r="Q10" s="12">
        <f t="shared" ref="Q10" si="10">Q9</f>
        <v>80.360000000000014</v>
      </c>
      <c r="R10" s="12">
        <f t="shared" ref="R10" si="11">R9</f>
        <v>80.360000000000014</v>
      </c>
      <c r="S10" s="12">
        <f t="shared" ref="S10" si="12">S9</f>
        <v>80.360000000000014</v>
      </c>
      <c r="T10" s="12">
        <f t="shared" ref="T10" si="13">T9</f>
        <v>80.360000000000014</v>
      </c>
      <c r="U10" s="12">
        <f t="shared" ref="U10" si="14">U9</f>
        <v>80.360000000000014</v>
      </c>
      <c r="V10" s="12">
        <f t="shared" ref="V10" si="15">V9</f>
        <v>80.360000000000014</v>
      </c>
      <c r="W10" s="12">
        <f t="shared" ref="W10" si="16">W9</f>
        <v>80.360000000000014</v>
      </c>
      <c r="X10" s="12">
        <f t="shared" ref="X10" si="17">X9</f>
        <v>80.360000000000014</v>
      </c>
      <c r="Y10" s="12">
        <f t="shared" ref="Y10" si="18">Y9</f>
        <v>80.360000000000014</v>
      </c>
      <c r="Z10" s="12">
        <f t="shared" ref="Z10" si="19">Z9</f>
        <v>80.360000000000014</v>
      </c>
      <c r="AA10" s="12">
        <f t="shared" ref="AA10" si="20">AA9</f>
        <v>80.360000000000014</v>
      </c>
    </row>
    <row r="11" spans="1:27" hidden="1" x14ac:dyDescent="0.35">
      <c r="A11" t="s">
        <v>19</v>
      </c>
      <c r="B11" s="13" t="s">
        <v>257</v>
      </c>
      <c r="C11" t="s">
        <v>75</v>
      </c>
      <c r="D11" t="s">
        <v>72</v>
      </c>
      <c r="E11" t="s">
        <v>15</v>
      </c>
      <c r="F11" t="s">
        <v>32</v>
      </c>
      <c r="G11">
        <v>117.7</v>
      </c>
      <c r="H11">
        <v>117.7</v>
      </c>
      <c r="I11">
        <v>117.7</v>
      </c>
      <c r="J11">
        <v>117.7</v>
      </c>
      <c r="K11">
        <v>117.7</v>
      </c>
      <c r="L11">
        <v>117.7</v>
      </c>
      <c r="M11">
        <v>117.7</v>
      </c>
      <c r="N11">
        <v>117.7</v>
      </c>
      <c r="O11">
        <v>117.7</v>
      </c>
      <c r="P11">
        <v>117.7</v>
      </c>
      <c r="Q11">
        <v>117.7</v>
      </c>
      <c r="R11">
        <v>117.7</v>
      </c>
      <c r="S11">
        <v>117.7</v>
      </c>
      <c r="T11">
        <v>117.7</v>
      </c>
      <c r="U11">
        <v>117.7</v>
      </c>
      <c r="V11">
        <v>117.7</v>
      </c>
      <c r="W11">
        <v>117.7</v>
      </c>
      <c r="X11">
        <v>117.7</v>
      </c>
      <c r="Y11">
        <v>117.7</v>
      </c>
      <c r="Z11">
        <v>117.7</v>
      </c>
      <c r="AA11">
        <v>117.7</v>
      </c>
    </row>
    <row r="12" spans="1:27" hidden="1" x14ac:dyDescent="0.35">
      <c r="A12" t="s">
        <v>19</v>
      </c>
      <c r="B12" s="13" t="s">
        <v>257</v>
      </c>
      <c r="C12" t="s">
        <v>75</v>
      </c>
      <c r="D12" t="s">
        <v>72</v>
      </c>
      <c r="E12" t="s">
        <v>26</v>
      </c>
      <c r="F12" t="s">
        <v>32</v>
      </c>
      <c r="G12" s="12">
        <f>G11</f>
        <v>117.7</v>
      </c>
      <c r="H12" s="12">
        <f t="shared" ref="H12:AA13" si="21">H11</f>
        <v>117.7</v>
      </c>
      <c r="I12" s="12">
        <f t="shared" si="21"/>
        <v>117.7</v>
      </c>
      <c r="J12" s="12">
        <f t="shared" si="21"/>
        <v>117.7</v>
      </c>
      <c r="K12" s="12">
        <f t="shared" si="21"/>
        <v>117.7</v>
      </c>
      <c r="L12" s="12">
        <f t="shared" si="21"/>
        <v>117.7</v>
      </c>
      <c r="M12" s="12">
        <f t="shared" si="21"/>
        <v>117.7</v>
      </c>
      <c r="N12" s="12">
        <f t="shared" si="21"/>
        <v>117.7</v>
      </c>
      <c r="O12" s="12">
        <f t="shared" si="21"/>
        <v>117.7</v>
      </c>
      <c r="P12" s="12">
        <f t="shared" si="21"/>
        <v>117.7</v>
      </c>
      <c r="Q12" s="12">
        <f t="shared" si="21"/>
        <v>117.7</v>
      </c>
      <c r="R12" s="12">
        <f t="shared" si="21"/>
        <v>117.7</v>
      </c>
      <c r="S12" s="12">
        <f t="shared" si="21"/>
        <v>117.7</v>
      </c>
      <c r="T12" s="12">
        <f t="shared" si="21"/>
        <v>117.7</v>
      </c>
      <c r="U12" s="12">
        <f t="shared" si="21"/>
        <v>117.7</v>
      </c>
      <c r="V12" s="12">
        <f t="shared" si="21"/>
        <v>117.7</v>
      </c>
      <c r="W12" s="12">
        <f t="shared" si="21"/>
        <v>117.7</v>
      </c>
      <c r="X12" s="12">
        <f t="shared" si="21"/>
        <v>117.7</v>
      </c>
      <c r="Y12" s="12">
        <f t="shared" si="21"/>
        <v>117.7</v>
      </c>
      <c r="Z12" s="12">
        <f t="shared" si="21"/>
        <v>117.7</v>
      </c>
      <c r="AA12" s="12">
        <f t="shared" si="21"/>
        <v>117.7</v>
      </c>
    </row>
    <row r="13" spans="1:27" hidden="1" x14ac:dyDescent="0.35">
      <c r="A13" t="s">
        <v>19</v>
      </c>
      <c r="B13" s="13" t="s">
        <v>257</v>
      </c>
      <c r="C13" t="s">
        <v>75</v>
      </c>
      <c r="D13" t="s">
        <v>72</v>
      </c>
      <c r="E13" t="s">
        <v>24</v>
      </c>
      <c r="F13" t="s">
        <v>32</v>
      </c>
      <c r="G13" s="12">
        <f>G12</f>
        <v>117.7</v>
      </c>
      <c r="H13" s="12">
        <f t="shared" si="21"/>
        <v>117.7</v>
      </c>
      <c r="I13" s="12">
        <f t="shared" si="21"/>
        <v>117.7</v>
      </c>
      <c r="J13" s="12">
        <f t="shared" si="21"/>
        <v>117.7</v>
      </c>
      <c r="K13" s="12">
        <f t="shared" si="21"/>
        <v>117.7</v>
      </c>
      <c r="L13" s="12">
        <f t="shared" si="21"/>
        <v>117.7</v>
      </c>
      <c r="M13" s="12">
        <f t="shared" si="21"/>
        <v>117.7</v>
      </c>
      <c r="N13" s="12">
        <f t="shared" si="21"/>
        <v>117.7</v>
      </c>
      <c r="O13" s="12">
        <f t="shared" si="21"/>
        <v>117.7</v>
      </c>
      <c r="P13" s="12">
        <f t="shared" si="21"/>
        <v>117.7</v>
      </c>
      <c r="Q13" s="12">
        <f t="shared" si="21"/>
        <v>117.7</v>
      </c>
      <c r="R13" s="12">
        <f t="shared" si="21"/>
        <v>117.7</v>
      </c>
      <c r="S13" s="12">
        <f t="shared" si="21"/>
        <v>117.7</v>
      </c>
      <c r="T13" s="12">
        <f t="shared" si="21"/>
        <v>117.7</v>
      </c>
      <c r="U13" s="12">
        <f t="shared" si="21"/>
        <v>117.7</v>
      </c>
      <c r="V13" s="12">
        <f t="shared" si="21"/>
        <v>117.7</v>
      </c>
      <c r="W13" s="12">
        <f t="shared" si="21"/>
        <v>117.7</v>
      </c>
      <c r="X13" s="12">
        <f t="shared" si="21"/>
        <v>117.7</v>
      </c>
      <c r="Y13" s="12">
        <f t="shared" si="21"/>
        <v>117.7</v>
      </c>
      <c r="Z13" s="12">
        <f t="shared" si="21"/>
        <v>117.7</v>
      </c>
      <c r="AA13" s="12">
        <f t="shared" si="21"/>
        <v>117.7</v>
      </c>
    </row>
    <row r="14" spans="1:27" hidden="1" x14ac:dyDescent="0.35">
      <c r="A14" s="1" t="s">
        <v>46</v>
      </c>
      <c r="B14" t="s">
        <v>67</v>
      </c>
      <c r="C14" t="s">
        <v>76</v>
      </c>
      <c r="D14" t="s">
        <v>72</v>
      </c>
      <c r="E14" t="s">
        <v>15</v>
      </c>
      <c r="F14" t="s">
        <v>32</v>
      </c>
      <c r="G14">
        <v>86.64</v>
      </c>
      <c r="H14">
        <v>85.38</v>
      </c>
      <c r="I14">
        <v>84.13</v>
      </c>
      <c r="J14">
        <v>82.87</v>
      </c>
      <c r="K14">
        <v>81.62</v>
      </c>
      <c r="L14">
        <v>80.36</v>
      </c>
      <c r="M14">
        <v>80.36</v>
      </c>
      <c r="N14">
        <v>80.36</v>
      </c>
      <c r="O14">
        <v>80.36</v>
      </c>
      <c r="P14">
        <v>80.36</v>
      </c>
      <c r="Q14">
        <v>80.36</v>
      </c>
      <c r="R14">
        <v>80.36</v>
      </c>
      <c r="S14">
        <v>80.36</v>
      </c>
      <c r="T14">
        <v>80.36</v>
      </c>
      <c r="U14">
        <v>80.36</v>
      </c>
      <c r="V14">
        <v>80.36</v>
      </c>
      <c r="W14">
        <v>80.36</v>
      </c>
      <c r="X14">
        <v>80.36</v>
      </c>
      <c r="Y14">
        <v>80.36</v>
      </c>
      <c r="Z14">
        <v>80.36</v>
      </c>
      <c r="AA14">
        <v>80.36</v>
      </c>
    </row>
    <row r="15" spans="1:27" hidden="1" x14ac:dyDescent="0.35">
      <c r="A15" s="1" t="s">
        <v>46</v>
      </c>
      <c r="B15" t="s">
        <v>67</v>
      </c>
      <c r="C15" t="s">
        <v>76</v>
      </c>
      <c r="D15" t="s">
        <v>72</v>
      </c>
      <c r="E15" t="s">
        <v>26</v>
      </c>
      <c r="F15" t="s">
        <v>32</v>
      </c>
      <c r="G15" s="12">
        <f>G14</f>
        <v>86.64</v>
      </c>
      <c r="H15" s="12">
        <f t="shared" ref="H15:AA16" si="22">H14</f>
        <v>85.38</v>
      </c>
      <c r="I15" s="12">
        <f t="shared" si="22"/>
        <v>84.13</v>
      </c>
      <c r="J15" s="12">
        <f t="shared" si="22"/>
        <v>82.87</v>
      </c>
      <c r="K15" s="12">
        <f t="shared" si="22"/>
        <v>81.62</v>
      </c>
      <c r="L15" s="12">
        <f t="shared" si="22"/>
        <v>80.36</v>
      </c>
      <c r="M15" s="12">
        <f t="shared" si="22"/>
        <v>80.36</v>
      </c>
      <c r="N15" s="12">
        <f t="shared" si="22"/>
        <v>80.36</v>
      </c>
      <c r="O15" s="12">
        <f t="shared" si="22"/>
        <v>80.36</v>
      </c>
      <c r="P15" s="12">
        <f t="shared" si="22"/>
        <v>80.36</v>
      </c>
      <c r="Q15" s="12">
        <f t="shared" si="22"/>
        <v>80.36</v>
      </c>
      <c r="R15" s="12">
        <f t="shared" si="22"/>
        <v>80.36</v>
      </c>
      <c r="S15" s="12">
        <f t="shared" si="22"/>
        <v>80.36</v>
      </c>
      <c r="T15" s="12">
        <f t="shared" si="22"/>
        <v>80.36</v>
      </c>
      <c r="U15" s="12">
        <f t="shared" si="22"/>
        <v>80.36</v>
      </c>
      <c r="V15" s="12">
        <f t="shared" si="22"/>
        <v>80.36</v>
      </c>
      <c r="W15" s="12">
        <f t="shared" si="22"/>
        <v>80.36</v>
      </c>
      <c r="X15" s="12">
        <f t="shared" si="22"/>
        <v>80.36</v>
      </c>
      <c r="Y15" s="12">
        <f t="shared" si="22"/>
        <v>80.36</v>
      </c>
      <c r="Z15" s="12">
        <f t="shared" si="22"/>
        <v>80.36</v>
      </c>
      <c r="AA15" s="12">
        <f t="shared" si="22"/>
        <v>80.36</v>
      </c>
    </row>
    <row r="16" spans="1:27" hidden="1" x14ac:dyDescent="0.35">
      <c r="A16" s="1" t="s">
        <v>46</v>
      </c>
      <c r="B16" t="s">
        <v>67</v>
      </c>
      <c r="C16" t="s">
        <v>76</v>
      </c>
      <c r="D16" t="s">
        <v>72</v>
      </c>
      <c r="E16" t="s">
        <v>24</v>
      </c>
      <c r="F16" t="s">
        <v>32</v>
      </c>
      <c r="G16" s="12">
        <f>G15</f>
        <v>86.64</v>
      </c>
      <c r="H16" s="12">
        <f t="shared" si="22"/>
        <v>85.38</v>
      </c>
      <c r="I16" s="12">
        <f t="shared" si="22"/>
        <v>84.13</v>
      </c>
      <c r="J16" s="12">
        <f t="shared" si="22"/>
        <v>82.87</v>
      </c>
      <c r="K16" s="12">
        <f t="shared" si="22"/>
        <v>81.62</v>
      </c>
      <c r="L16" s="12">
        <f t="shared" si="22"/>
        <v>80.36</v>
      </c>
      <c r="M16" s="12">
        <f t="shared" si="22"/>
        <v>80.36</v>
      </c>
      <c r="N16" s="12">
        <f t="shared" si="22"/>
        <v>80.36</v>
      </c>
      <c r="O16" s="12">
        <f t="shared" si="22"/>
        <v>80.36</v>
      </c>
      <c r="P16" s="12">
        <f t="shared" si="22"/>
        <v>80.36</v>
      </c>
      <c r="Q16" s="12">
        <f t="shared" si="22"/>
        <v>80.36</v>
      </c>
      <c r="R16" s="12">
        <f t="shared" si="22"/>
        <v>80.36</v>
      </c>
      <c r="S16" s="12">
        <f t="shared" si="22"/>
        <v>80.36</v>
      </c>
      <c r="T16" s="12">
        <f t="shared" si="22"/>
        <v>80.36</v>
      </c>
      <c r="U16" s="12">
        <f t="shared" si="22"/>
        <v>80.36</v>
      </c>
      <c r="V16" s="12">
        <f t="shared" si="22"/>
        <v>80.36</v>
      </c>
      <c r="W16" s="12">
        <f t="shared" si="22"/>
        <v>80.36</v>
      </c>
      <c r="X16" s="12">
        <f t="shared" si="22"/>
        <v>80.36</v>
      </c>
      <c r="Y16" s="12">
        <f t="shared" si="22"/>
        <v>80.36</v>
      </c>
      <c r="Z16" s="12">
        <f t="shared" si="22"/>
        <v>80.36</v>
      </c>
      <c r="AA16" s="12">
        <f t="shared" si="22"/>
        <v>80.36</v>
      </c>
    </row>
  </sheetData>
  <autoFilter ref="A1:AA16" xr:uid="{68FEFDD9-D46C-E64E-8B04-7DDDC1C1B0F3}">
    <filterColumn colId="1">
      <filters>
        <filter val="Surface Transport Fuel"/>
      </filters>
    </filterColumn>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C4D02-922E-2849-99A2-B5A24807FA42}">
  <dimension ref="A1:L52"/>
  <sheetViews>
    <sheetView workbookViewId="0">
      <selection activeCell="C28" sqref="C28"/>
    </sheetView>
  </sheetViews>
  <sheetFormatPr defaultColWidth="11" defaultRowHeight="15.5" x14ac:dyDescent="0.35"/>
  <cols>
    <col min="1" max="1" width="21.83203125" customWidth="1"/>
    <col min="2" max="2" width="24.33203125" customWidth="1"/>
    <col min="3" max="3" width="21" customWidth="1"/>
    <col min="4" max="4" width="26" customWidth="1"/>
    <col min="5" max="5" width="22.83203125" customWidth="1"/>
    <col min="6" max="6" width="25" customWidth="1"/>
    <col min="7" max="8" width="24.08203125" customWidth="1"/>
  </cols>
  <sheetData>
    <row r="1" spans="1:12" x14ac:dyDescent="0.35">
      <c r="A1" s="1" t="s">
        <v>0</v>
      </c>
      <c r="B1" s="1" t="s">
        <v>1</v>
      </c>
      <c r="C1" t="s">
        <v>2</v>
      </c>
      <c r="D1" t="s">
        <v>3</v>
      </c>
      <c r="E1" t="s">
        <v>5</v>
      </c>
      <c r="F1" t="s">
        <v>6</v>
      </c>
      <c r="G1" t="s">
        <v>7</v>
      </c>
      <c r="H1" t="s">
        <v>8</v>
      </c>
      <c r="I1" t="s">
        <v>9</v>
      </c>
      <c r="J1" t="s">
        <v>10</v>
      </c>
      <c r="K1" t="s">
        <v>77</v>
      </c>
      <c r="L1" t="s">
        <v>78</v>
      </c>
    </row>
    <row r="2" spans="1:12" ht="14.25" customHeight="1" x14ac:dyDescent="0.35">
      <c r="A2" s="1" t="s">
        <v>11</v>
      </c>
      <c r="B2" s="1" t="s">
        <v>12</v>
      </c>
      <c r="C2" t="s">
        <v>79</v>
      </c>
      <c r="D2" t="s">
        <v>80</v>
      </c>
      <c r="E2" t="s">
        <v>81</v>
      </c>
    </row>
    <row r="3" spans="1:12" x14ac:dyDescent="0.35">
      <c r="A3" s="1" t="s">
        <v>11</v>
      </c>
      <c r="B3" s="1" t="s">
        <v>19</v>
      </c>
      <c r="C3" t="s">
        <v>79</v>
      </c>
      <c r="D3" t="s">
        <v>80</v>
      </c>
      <c r="E3" t="s">
        <v>81</v>
      </c>
      <c r="F3" s="8">
        <f>H3*1000/325851</f>
        <v>1.2582437985459612E-2</v>
      </c>
      <c r="G3" t="s">
        <v>82</v>
      </c>
      <c r="H3">
        <v>4.0999999999999996</v>
      </c>
      <c r="I3" t="s">
        <v>83</v>
      </c>
    </row>
    <row r="4" spans="1:12" x14ac:dyDescent="0.35">
      <c r="A4" s="1" t="s">
        <v>22</v>
      </c>
      <c r="B4" s="1" t="s">
        <v>12</v>
      </c>
      <c r="C4" t="s">
        <v>79</v>
      </c>
      <c r="D4" t="s">
        <v>80</v>
      </c>
      <c r="E4" t="s">
        <v>81</v>
      </c>
      <c r="F4" s="8"/>
    </row>
    <row r="5" spans="1:12" x14ac:dyDescent="0.35">
      <c r="A5" s="1" t="s">
        <v>34</v>
      </c>
      <c r="B5" s="1" t="s">
        <v>12</v>
      </c>
      <c r="C5" t="s">
        <v>79</v>
      </c>
      <c r="D5" t="s">
        <v>80</v>
      </c>
      <c r="E5" t="s">
        <v>81</v>
      </c>
      <c r="F5" s="8"/>
    </row>
    <row r="6" spans="1:12" x14ac:dyDescent="0.35">
      <c r="A6" s="1" t="s">
        <v>35</v>
      </c>
      <c r="B6" s="1" t="s">
        <v>12</v>
      </c>
      <c r="C6" t="s">
        <v>79</v>
      </c>
      <c r="D6" t="s">
        <v>80</v>
      </c>
      <c r="E6" t="s">
        <v>81</v>
      </c>
      <c r="F6" s="8"/>
    </row>
    <row r="7" spans="1:12" x14ac:dyDescent="0.35">
      <c r="A7" s="13" t="s">
        <v>36</v>
      </c>
      <c r="B7" s="1" t="s">
        <v>12</v>
      </c>
      <c r="C7" t="s">
        <v>79</v>
      </c>
      <c r="D7" t="s">
        <v>80</v>
      </c>
      <c r="E7" t="s">
        <v>81</v>
      </c>
      <c r="F7" s="8"/>
    </row>
    <row r="8" spans="1:12" x14ac:dyDescent="0.35">
      <c r="A8" s="13" t="s">
        <v>37</v>
      </c>
      <c r="B8" s="13" t="s">
        <v>12</v>
      </c>
      <c r="C8" t="s">
        <v>79</v>
      </c>
      <c r="D8" t="s">
        <v>80</v>
      </c>
      <c r="E8" t="s">
        <v>81</v>
      </c>
      <c r="F8" s="8"/>
    </row>
    <row r="9" spans="1:12" x14ac:dyDescent="0.35">
      <c r="A9" t="s">
        <v>43</v>
      </c>
      <c r="B9" s="13" t="s">
        <v>12</v>
      </c>
      <c r="C9" t="s">
        <v>79</v>
      </c>
      <c r="D9" t="s">
        <v>80</v>
      </c>
      <c r="E9" t="s">
        <v>81</v>
      </c>
      <c r="F9" s="8"/>
    </row>
    <row r="10" spans="1:12" x14ac:dyDescent="0.35">
      <c r="A10" t="s">
        <v>42</v>
      </c>
      <c r="B10" s="13" t="s">
        <v>12</v>
      </c>
      <c r="C10" t="s">
        <v>79</v>
      </c>
      <c r="D10" t="s">
        <v>80</v>
      </c>
      <c r="E10" t="s">
        <v>81</v>
      </c>
      <c r="F10" s="8"/>
    </row>
    <row r="11" spans="1:12" x14ac:dyDescent="0.35">
      <c r="A11" s="1" t="s">
        <v>40</v>
      </c>
      <c r="B11" s="1" t="s">
        <v>19</v>
      </c>
      <c r="C11" t="s">
        <v>79</v>
      </c>
      <c r="D11" t="s">
        <v>80</v>
      </c>
      <c r="E11" t="s">
        <v>81</v>
      </c>
      <c r="F11" s="8">
        <f>H11*1000/325851</f>
        <v>8.5928844778748563E-3</v>
      </c>
      <c r="G11" t="s">
        <v>82</v>
      </c>
      <c r="H11">
        <v>2.8</v>
      </c>
      <c r="I11" t="s">
        <v>83</v>
      </c>
    </row>
    <row r="12" spans="1:12" x14ac:dyDescent="0.35">
      <c r="A12" t="s">
        <v>37</v>
      </c>
      <c r="B12" t="s">
        <v>19</v>
      </c>
      <c r="C12" t="s">
        <v>79</v>
      </c>
      <c r="D12" t="s">
        <v>80</v>
      </c>
      <c r="E12" t="s">
        <v>81</v>
      </c>
      <c r="F12" s="8">
        <f>H12*1000/325851</f>
        <v>1.2459682492918541E-2</v>
      </c>
      <c r="G12" t="s">
        <v>82</v>
      </c>
      <c r="H12">
        <v>4.0599999999999996</v>
      </c>
      <c r="I12" t="s">
        <v>83</v>
      </c>
    </row>
    <row r="13" spans="1:12" x14ac:dyDescent="0.35">
      <c r="A13" t="s">
        <v>36</v>
      </c>
      <c r="B13" t="s">
        <v>19</v>
      </c>
      <c r="C13" t="s">
        <v>79</v>
      </c>
      <c r="D13" t="s">
        <v>80</v>
      </c>
      <c r="E13" t="s">
        <v>81</v>
      </c>
      <c r="F13" s="8">
        <f>F12</f>
        <v>1.2459682492918541E-2</v>
      </c>
      <c r="G13" t="s">
        <v>82</v>
      </c>
      <c r="H13">
        <f>H12</f>
        <v>4.0599999999999996</v>
      </c>
      <c r="I13" t="s">
        <v>83</v>
      </c>
    </row>
    <row r="14" spans="1:12" x14ac:dyDescent="0.35">
      <c r="A14" t="s">
        <v>43</v>
      </c>
      <c r="B14" s="13" t="s">
        <v>19</v>
      </c>
      <c r="C14" t="s">
        <v>79</v>
      </c>
      <c r="D14" t="s">
        <v>80</v>
      </c>
      <c r="E14" t="s">
        <v>81</v>
      </c>
      <c r="F14" s="8">
        <f t="shared" ref="F14:F15" si="0">H14*1000/325851</f>
        <v>8.5928844778748563E-3</v>
      </c>
      <c r="G14" t="s">
        <v>82</v>
      </c>
      <c r="H14">
        <v>2.8</v>
      </c>
    </row>
    <row r="15" spans="1:12" x14ac:dyDescent="0.35">
      <c r="A15" t="s">
        <v>42</v>
      </c>
      <c r="B15" s="13" t="s">
        <v>19</v>
      </c>
      <c r="C15" t="s">
        <v>79</v>
      </c>
      <c r="D15" t="s">
        <v>80</v>
      </c>
      <c r="E15" t="s">
        <v>81</v>
      </c>
      <c r="F15" s="8">
        <f t="shared" si="0"/>
        <v>8.5928844778748563E-3</v>
      </c>
      <c r="G15" t="s">
        <v>82</v>
      </c>
      <c r="H15">
        <v>2.8</v>
      </c>
    </row>
    <row r="16" spans="1:12" x14ac:dyDescent="0.35">
      <c r="A16" t="s">
        <v>43</v>
      </c>
      <c r="B16" t="s">
        <v>40</v>
      </c>
      <c r="C16" t="s">
        <v>79</v>
      </c>
      <c r="D16" t="s">
        <v>80</v>
      </c>
      <c r="E16" t="s">
        <v>81</v>
      </c>
    </row>
    <row r="17" spans="1:12" x14ac:dyDescent="0.35">
      <c r="A17" t="s">
        <v>42</v>
      </c>
      <c r="B17" t="s">
        <v>40</v>
      </c>
      <c r="C17" t="s">
        <v>79</v>
      </c>
      <c r="D17" t="s">
        <v>80</v>
      </c>
      <c r="E17" t="s">
        <v>81</v>
      </c>
    </row>
    <row r="18" spans="1:12" x14ac:dyDescent="0.35">
      <c r="A18" s="1" t="s">
        <v>45</v>
      </c>
      <c r="B18" s="1" t="s">
        <v>46</v>
      </c>
      <c r="C18" t="s">
        <v>79</v>
      </c>
      <c r="D18" t="s">
        <v>80</v>
      </c>
      <c r="E18" t="s">
        <v>81</v>
      </c>
    </row>
    <row r="19" spans="1:12" x14ac:dyDescent="0.35">
      <c r="A19" s="1" t="s">
        <v>48</v>
      </c>
      <c r="B19" s="1" t="s">
        <v>46</v>
      </c>
      <c r="C19" t="s">
        <v>79</v>
      </c>
      <c r="D19" t="s">
        <v>80</v>
      </c>
      <c r="E19" t="s">
        <v>81</v>
      </c>
    </row>
    <row r="20" spans="1:12" x14ac:dyDescent="0.35">
      <c r="A20" t="s">
        <v>37</v>
      </c>
      <c r="B20" s="1" t="s">
        <v>46</v>
      </c>
      <c r="C20" t="s">
        <v>79</v>
      </c>
      <c r="D20" t="s">
        <v>80</v>
      </c>
      <c r="E20" t="s">
        <v>81</v>
      </c>
    </row>
    <row r="21" spans="1:12" x14ac:dyDescent="0.35">
      <c r="A21" t="s">
        <v>36</v>
      </c>
      <c r="B21" s="1" t="s">
        <v>46</v>
      </c>
      <c r="C21" t="s">
        <v>79</v>
      </c>
      <c r="D21" t="s">
        <v>80</v>
      </c>
      <c r="E21" t="s">
        <v>81</v>
      </c>
    </row>
    <row r="22" spans="1:12" x14ac:dyDescent="0.35">
      <c r="A22" s="1" t="s">
        <v>11</v>
      </c>
      <c r="B22" s="1" t="s">
        <v>12</v>
      </c>
      <c r="C22" t="s">
        <v>79</v>
      </c>
      <c r="D22" t="s">
        <v>84</v>
      </c>
      <c r="E22" t="s">
        <v>81</v>
      </c>
      <c r="G22" t="s">
        <v>85</v>
      </c>
    </row>
    <row r="23" spans="1:12" x14ac:dyDescent="0.35">
      <c r="A23" s="1" t="s">
        <v>11</v>
      </c>
      <c r="B23" s="1" t="s">
        <v>19</v>
      </c>
      <c r="C23" t="s">
        <v>79</v>
      </c>
      <c r="D23" t="s">
        <v>84</v>
      </c>
      <c r="E23" t="s">
        <v>81</v>
      </c>
      <c r="F23" s="8">
        <f>H23*1000/325851</f>
        <v>1.8496183838625627E-2</v>
      </c>
      <c r="G23" t="s">
        <v>82</v>
      </c>
      <c r="H23">
        <f>H3*1.47</f>
        <v>6.0269999999999992</v>
      </c>
      <c r="I23" t="s">
        <v>83</v>
      </c>
      <c r="K23">
        <v>1.47</v>
      </c>
      <c r="L23" t="s">
        <v>86</v>
      </c>
    </row>
    <row r="24" spans="1:12" x14ac:dyDescent="0.35">
      <c r="A24" s="1" t="s">
        <v>22</v>
      </c>
      <c r="B24" s="1" t="s">
        <v>12</v>
      </c>
      <c r="C24" t="s">
        <v>79</v>
      </c>
      <c r="D24" t="s">
        <v>84</v>
      </c>
      <c r="E24" t="s">
        <v>81</v>
      </c>
      <c r="F24" s="8"/>
      <c r="G24" t="s">
        <v>85</v>
      </c>
    </row>
    <row r="25" spans="1:12" x14ac:dyDescent="0.35">
      <c r="A25" s="1" t="s">
        <v>34</v>
      </c>
      <c r="B25" s="1" t="s">
        <v>12</v>
      </c>
      <c r="C25" t="s">
        <v>79</v>
      </c>
      <c r="D25" t="s">
        <v>84</v>
      </c>
      <c r="E25" t="s">
        <v>81</v>
      </c>
      <c r="F25" s="8"/>
    </row>
    <row r="26" spans="1:12" x14ac:dyDescent="0.35">
      <c r="A26" s="1" t="s">
        <v>35</v>
      </c>
      <c r="B26" s="1" t="s">
        <v>12</v>
      </c>
      <c r="C26" t="s">
        <v>79</v>
      </c>
      <c r="D26" t="s">
        <v>84</v>
      </c>
      <c r="E26" t="s">
        <v>81</v>
      </c>
      <c r="F26" s="8"/>
    </row>
    <row r="27" spans="1:12" x14ac:dyDescent="0.35">
      <c r="A27" s="13" t="s">
        <v>36</v>
      </c>
      <c r="B27" s="1" t="s">
        <v>12</v>
      </c>
      <c r="C27" t="s">
        <v>79</v>
      </c>
      <c r="D27" t="s">
        <v>84</v>
      </c>
      <c r="E27" t="s">
        <v>81</v>
      </c>
      <c r="F27" s="8"/>
    </row>
    <row r="28" spans="1:12" x14ac:dyDescent="0.35">
      <c r="A28" s="13" t="s">
        <v>37</v>
      </c>
      <c r="B28" s="13" t="s">
        <v>12</v>
      </c>
      <c r="C28" t="s">
        <v>79</v>
      </c>
      <c r="D28" t="s">
        <v>84</v>
      </c>
      <c r="E28" t="s">
        <v>81</v>
      </c>
      <c r="F28" s="8"/>
    </row>
    <row r="29" spans="1:12" x14ac:dyDescent="0.35">
      <c r="A29" t="s">
        <v>43</v>
      </c>
      <c r="B29" s="13" t="s">
        <v>12</v>
      </c>
      <c r="C29" t="s">
        <v>79</v>
      </c>
      <c r="D29" t="s">
        <v>84</v>
      </c>
      <c r="E29" t="s">
        <v>81</v>
      </c>
      <c r="F29" s="8"/>
    </row>
    <row r="30" spans="1:12" x14ac:dyDescent="0.35">
      <c r="A30" t="s">
        <v>42</v>
      </c>
      <c r="B30" s="13" t="s">
        <v>12</v>
      </c>
      <c r="C30" t="s">
        <v>79</v>
      </c>
      <c r="D30" t="s">
        <v>84</v>
      </c>
      <c r="E30" t="s">
        <v>81</v>
      </c>
      <c r="F30" s="8"/>
    </row>
    <row r="31" spans="1:12" x14ac:dyDescent="0.35">
      <c r="A31" s="1" t="s">
        <v>40</v>
      </c>
      <c r="B31" s="1" t="s">
        <v>19</v>
      </c>
      <c r="C31" t="s">
        <v>79</v>
      </c>
      <c r="D31" t="s">
        <v>84</v>
      </c>
      <c r="E31" t="s">
        <v>81</v>
      </c>
      <c r="F31" s="8">
        <f>H31*1000/325851</f>
        <v>9.7958883047773362E-3</v>
      </c>
      <c r="G31" t="s">
        <v>82</v>
      </c>
      <c r="H31">
        <f>H11*1.14</f>
        <v>3.1919999999999997</v>
      </c>
      <c r="I31" t="s">
        <v>83</v>
      </c>
      <c r="K31">
        <v>1.1399999999999999</v>
      </c>
      <c r="L31" t="s">
        <v>87</v>
      </c>
    </row>
    <row r="32" spans="1:12" x14ac:dyDescent="0.35">
      <c r="A32" t="s">
        <v>37</v>
      </c>
      <c r="B32" t="s">
        <v>19</v>
      </c>
      <c r="C32" t="s">
        <v>79</v>
      </c>
      <c r="D32" t="s">
        <v>84</v>
      </c>
      <c r="E32" t="s">
        <v>81</v>
      </c>
      <c r="F32" s="8">
        <f>H32*1000/325851</f>
        <v>1.9935491988669667E-2</v>
      </c>
      <c r="G32" t="s">
        <v>82</v>
      </c>
      <c r="H32">
        <f>H12*1.6</f>
        <v>6.4959999999999996</v>
      </c>
      <c r="I32" t="s">
        <v>83</v>
      </c>
      <c r="K32">
        <v>1.6</v>
      </c>
      <c r="L32" t="s">
        <v>88</v>
      </c>
    </row>
    <row r="33" spans="1:9" x14ac:dyDescent="0.35">
      <c r="A33" t="s">
        <v>36</v>
      </c>
      <c r="B33" t="s">
        <v>19</v>
      </c>
      <c r="C33" t="s">
        <v>79</v>
      </c>
      <c r="D33" t="s">
        <v>84</v>
      </c>
      <c r="E33" t="s">
        <v>81</v>
      </c>
      <c r="F33" s="8">
        <f>F32</f>
        <v>1.9935491988669667E-2</v>
      </c>
      <c r="G33" t="s">
        <v>82</v>
      </c>
      <c r="H33">
        <f>H32</f>
        <v>6.4959999999999996</v>
      </c>
      <c r="I33" t="s">
        <v>83</v>
      </c>
    </row>
    <row r="34" spans="1:9" x14ac:dyDescent="0.35">
      <c r="A34" t="s">
        <v>43</v>
      </c>
      <c r="B34" s="13" t="s">
        <v>19</v>
      </c>
      <c r="C34" t="s">
        <v>79</v>
      </c>
      <c r="D34" t="s">
        <v>84</v>
      </c>
      <c r="E34" t="s">
        <v>81</v>
      </c>
      <c r="F34" s="8"/>
    </row>
    <row r="35" spans="1:9" x14ac:dyDescent="0.35">
      <c r="A35" t="s">
        <v>42</v>
      </c>
      <c r="B35" s="13" t="s">
        <v>19</v>
      </c>
      <c r="C35" t="s">
        <v>79</v>
      </c>
      <c r="D35" t="s">
        <v>84</v>
      </c>
      <c r="E35" t="s">
        <v>81</v>
      </c>
      <c r="F35" s="8"/>
    </row>
    <row r="36" spans="1:9" x14ac:dyDescent="0.35">
      <c r="A36" t="s">
        <v>43</v>
      </c>
      <c r="B36" t="s">
        <v>38</v>
      </c>
      <c r="C36" t="s">
        <v>79</v>
      </c>
      <c r="D36" t="s">
        <v>84</v>
      </c>
      <c r="E36" t="s">
        <v>81</v>
      </c>
      <c r="G36" t="s">
        <v>85</v>
      </c>
    </row>
    <row r="37" spans="1:9" x14ac:dyDescent="0.35">
      <c r="A37" t="s">
        <v>42</v>
      </c>
      <c r="B37" t="s">
        <v>38</v>
      </c>
      <c r="C37" t="s">
        <v>79</v>
      </c>
      <c r="D37" t="s">
        <v>84</v>
      </c>
      <c r="E37" t="s">
        <v>81</v>
      </c>
      <c r="G37" t="s">
        <v>85</v>
      </c>
    </row>
    <row r="38" spans="1:9" x14ac:dyDescent="0.35">
      <c r="A38" s="1" t="s">
        <v>45</v>
      </c>
      <c r="B38" s="1" t="s">
        <v>46</v>
      </c>
      <c r="C38" t="s">
        <v>79</v>
      </c>
      <c r="D38" t="s">
        <v>84</v>
      </c>
      <c r="E38" t="s">
        <v>81</v>
      </c>
      <c r="G38" t="s">
        <v>85</v>
      </c>
    </row>
    <row r="39" spans="1:9" x14ac:dyDescent="0.35">
      <c r="A39" s="1" t="s">
        <v>48</v>
      </c>
      <c r="B39" s="1" t="s">
        <v>46</v>
      </c>
      <c r="C39" t="s">
        <v>79</v>
      </c>
      <c r="D39" t="s">
        <v>84</v>
      </c>
      <c r="E39" t="s">
        <v>81</v>
      </c>
      <c r="G39" t="s">
        <v>85</v>
      </c>
    </row>
    <row r="40" spans="1:9" x14ac:dyDescent="0.35">
      <c r="A40" t="s">
        <v>37</v>
      </c>
      <c r="B40" s="1" t="s">
        <v>46</v>
      </c>
      <c r="C40" t="s">
        <v>79</v>
      </c>
      <c r="D40" t="s">
        <v>84</v>
      </c>
      <c r="E40" t="s">
        <v>81</v>
      </c>
    </row>
    <row r="41" spans="1:9" x14ac:dyDescent="0.35">
      <c r="A41" t="s">
        <v>36</v>
      </c>
      <c r="B41" s="1" t="s">
        <v>46</v>
      </c>
      <c r="C41" t="s">
        <v>79</v>
      </c>
      <c r="D41" t="s">
        <v>84</v>
      </c>
      <c r="E41" t="s">
        <v>81</v>
      </c>
    </row>
    <row r="45" spans="1:9" x14ac:dyDescent="0.35">
      <c r="A45" s="1"/>
      <c r="B45" s="1"/>
    </row>
    <row r="46" spans="1:9" x14ac:dyDescent="0.35">
      <c r="A46" s="1"/>
      <c r="B46" s="1"/>
    </row>
    <row r="47" spans="1:9" x14ac:dyDescent="0.35">
      <c r="A47" s="1"/>
      <c r="B47" s="1"/>
    </row>
    <row r="48" spans="1:9" x14ac:dyDescent="0.35">
      <c r="A48" s="1"/>
      <c r="B48" s="1"/>
    </row>
    <row r="49" spans="1:2" x14ac:dyDescent="0.35">
      <c r="A49" s="1"/>
      <c r="B49" s="1"/>
    </row>
    <row r="50" spans="1:2" x14ac:dyDescent="0.35">
      <c r="A50" s="1"/>
      <c r="B50" s="1"/>
    </row>
    <row r="51" spans="1:2" x14ac:dyDescent="0.35">
      <c r="A51" s="1"/>
      <c r="B51" s="1"/>
    </row>
    <row r="52" spans="1:2" x14ac:dyDescent="0.35">
      <c r="A52" s="1"/>
      <c r="B52" s="1"/>
    </row>
  </sheetData>
  <autoFilter ref="A1:L41" xr:uid="{C58C4D02-922E-2849-99A2-B5A24807FA4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BE7FC-A8FD-4D95-933D-26AA617CB019}">
  <dimension ref="A1:O58"/>
  <sheetViews>
    <sheetView zoomScale="70" zoomScaleNormal="70" workbookViewId="0">
      <selection activeCell="K2" sqref="K2:K35"/>
    </sheetView>
  </sheetViews>
  <sheetFormatPr defaultRowHeight="15.5" x14ac:dyDescent="0.35"/>
  <cols>
    <col min="1" max="1" width="20.33203125" bestFit="1" customWidth="1"/>
    <col min="2" max="2" width="13.33203125" customWidth="1"/>
    <col min="3" max="3" width="12.83203125" customWidth="1"/>
    <col min="4" max="4" width="34.58203125" bestFit="1" customWidth="1"/>
    <col min="5" max="5" width="15.5" customWidth="1"/>
    <col min="6" max="6" width="18.33203125" customWidth="1"/>
    <col min="7" max="7" width="10.25" style="13" customWidth="1"/>
    <col min="8" max="8" width="12" customWidth="1"/>
    <col min="9" max="9" width="11.75" customWidth="1"/>
    <col min="10" max="10" width="10.58203125" customWidth="1"/>
    <col min="11" max="12" width="11.75" customWidth="1"/>
    <col min="13" max="13" width="11.75" bestFit="1" customWidth="1"/>
    <col min="14" max="14" width="11.58203125" bestFit="1" customWidth="1"/>
    <col min="15" max="15" width="61.33203125" bestFit="1" customWidth="1"/>
  </cols>
  <sheetData>
    <row r="1" spans="1:15" x14ac:dyDescent="0.35">
      <c r="A1" t="s">
        <v>0</v>
      </c>
      <c r="B1" t="s">
        <v>1</v>
      </c>
      <c r="C1" t="s">
        <v>309</v>
      </c>
      <c r="D1" t="s">
        <v>314</v>
      </c>
      <c r="E1" t="s">
        <v>2</v>
      </c>
      <c r="F1" t="s">
        <v>3</v>
      </c>
      <c r="G1" s="13" t="s">
        <v>312</v>
      </c>
      <c r="H1" t="s">
        <v>5</v>
      </c>
      <c r="I1" t="s">
        <v>6</v>
      </c>
      <c r="J1" s="2" t="s">
        <v>378</v>
      </c>
      <c r="K1" t="s">
        <v>336</v>
      </c>
      <c r="L1" t="s">
        <v>313</v>
      </c>
      <c r="M1" t="s">
        <v>323</v>
      </c>
      <c r="N1" t="s">
        <v>324</v>
      </c>
      <c r="O1" t="s">
        <v>325</v>
      </c>
    </row>
    <row r="2" spans="1:15" x14ac:dyDescent="0.35">
      <c r="A2" t="s">
        <v>11</v>
      </c>
      <c r="B2" t="s">
        <v>12</v>
      </c>
      <c r="C2" t="s">
        <v>310</v>
      </c>
      <c r="D2" t="s">
        <v>315</v>
      </c>
      <c r="E2" t="s">
        <v>89</v>
      </c>
      <c r="F2" t="s">
        <v>316</v>
      </c>
      <c r="G2" s="13" t="s">
        <v>112</v>
      </c>
      <c r="H2" t="s">
        <v>91</v>
      </c>
      <c r="I2">
        <v>5.0999999999999997E-2</v>
      </c>
      <c r="J2">
        <v>24.63</v>
      </c>
      <c r="K2">
        <v>4.5152412959181799E-2</v>
      </c>
      <c r="L2" s="8">
        <v>5.2999999999999999E-2</v>
      </c>
      <c r="M2" s="8">
        <f>L2</f>
        <v>5.2999999999999999E-2</v>
      </c>
      <c r="N2" t="s">
        <v>326</v>
      </c>
    </row>
    <row r="3" spans="1:15" x14ac:dyDescent="0.35">
      <c r="A3" t="s">
        <v>11</v>
      </c>
      <c r="B3" t="s">
        <v>12</v>
      </c>
      <c r="C3" t="s">
        <v>310</v>
      </c>
      <c r="D3" t="s">
        <v>315</v>
      </c>
      <c r="E3" t="s">
        <v>89</v>
      </c>
      <c r="F3" t="s">
        <v>317</v>
      </c>
      <c r="G3" s="13" t="s">
        <v>112</v>
      </c>
      <c r="H3" t="s">
        <v>91</v>
      </c>
      <c r="I3">
        <v>5.0999999999999997E-2</v>
      </c>
      <c r="J3">
        <v>0</v>
      </c>
      <c r="K3">
        <v>4.5152412959181799E-2</v>
      </c>
      <c r="L3" s="8">
        <v>1.9E-2</v>
      </c>
      <c r="M3" s="8">
        <f t="shared" ref="M3:M10" si="0">L3</f>
        <v>1.9E-2</v>
      </c>
      <c r="N3" t="s">
        <v>326</v>
      </c>
    </row>
    <row r="4" spans="1:15" x14ac:dyDescent="0.35">
      <c r="A4" t="s">
        <v>11</v>
      </c>
      <c r="B4" t="s">
        <v>12</v>
      </c>
      <c r="C4" t="s">
        <v>310</v>
      </c>
      <c r="D4" t="s">
        <v>315</v>
      </c>
      <c r="E4" t="s">
        <v>89</v>
      </c>
      <c r="F4" t="s">
        <v>318</v>
      </c>
      <c r="G4" s="13" t="s">
        <v>112</v>
      </c>
      <c r="H4" t="s">
        <v>91</v>
      </c>
      <c r="I4">
        <v>5.0999999999999997E-2</v>
      </c>
      <c r="J4">
        <v>0</v>
      </c>
      <c r="K4">
        <v>4.5152412959181799E-2</v>
      </c>
      <c r="L4" s="8">
        <v>2.1000000000000001E-2</v>
      </c>
      <c r="M4" s="8">
        <f t="shared" si="0"/>
        <v>2.1000000000000001E-2</v>
      </c>
      <c r="N4" t="s">
        <v>326</v>
      </c>
    </row>
    <row r="5" spans="1:15" x14ac:dyDescent="0.35">
      <c r="A5" t="s">
        <v>22</v>
      </c>
      <c r="B5" t="s">
        <v>12</v>
      </c>
      <c r="C5" t="s">
        <v>310</v>
      </c>
      <c r="D5" t="s">
        <v>22</v>
      </c>
      <c r="E5" t="s">
        <v>89</v>
      </c>
      <c r="F5" t="s">
        <v>316</v>
      </c>
      <c r="G5" s="13" t="s">
        <v>112</v>
      </c>
      <c r="H5" t="s">
        <v>91</v>
      </c>
      <c r="I5">
        <v>2.2229999999999999</v>
      </c>
      <c r="J5">
        <v>26.02</v>
      </c>
      <c r="K5">
        <v>8.3034948476273795E-3</v>
      </c>
      <c r="L5" s="71">
        <v>2.242</v>
      </c>
      <c r="M5" s="8">
        <f t="shared" si="0"/>
        <v>2.242</v>
      </c>
      <c r="N5" t="s">
        <v>326</v>
      </c>
    </row>
    <row r="6" spans="1:15" x14ac:dyDescent="0.35">
      <c r="A6" t="s">
        <v>22</v>
      </c>
      <c r="B6" t="s">
        <v>12</v>
      </c>
      <c r="C6" t="s">
        <v>310</v>
      </c>
      <c r="D6" t="s">
        <v>22</v>
      </c>
      <c r="E6" t="s">
        <v>89</v>
      </c>
      <c r="F6" t="s">
        <v>317</v>
      </c>
      <c r="G6" s="13" t="s">
        <v>112</v>
      </c>
      <c r="H6" t="s">
        <v>91</v>
      </c>
      <c r="I6">
        <v>2.2229999999999999</v>
      </c>
      <c r="J6">
        <v>0</v>
      </c>
      <c r="K6">
        <v>8.3034948476273795E-3</v>
      </c>
      <c r="L6" s="71">
        <v>1.044</v>
      </c>
      <c r="M6" s="8">
        <f t="shared" si="0"/>
        <v>1.044</v>
      </c>
      <c r="N6" t="s">
        <v>326</v>
      </c>
    </row>
    <row r="7" spans="1:15" x14ac:dyDescent="0.35">
      <c r="A7" t="s">
        <v>22</v>
      </c>
      <c r="B7" t="s">
        <v>12</v>
      </c>
      <c r="C7" t="s">
        <v>310</v>
      </c>
      <c r="D7" t="s">
        <v>22</v>
      </c>
      <c r="E7" t="s">
        <v>89</v>
      </c>
      <c r="F7" t="s">
        <v>318</v>
      </c>
      <c r="G7" s="13" t="s">
        <v>112</v>
      </c>
      <c r="H7" t="s">
        <v>91</v>
      </c>
      <c r="I7">
        <v>2.2229999999999999</v>
      </c>
      <c r="J7">
        <v>0</v>
      </c>
      <c r="K7">
        <v>8.3034948476273795E-3</v>
      </c>
      <c r="L7" s="8">
        <v>1.01</v>
      </c>
      <c r="M7" s="8">
        <f t="shared" si="0"/>
        <v>1.01</v>
      </c>
      <c r="N7" t="s">
        <v>326</v>
      </c>
    </row>
    <row r="8" spans="1:15" x14ac:dyDescent="0.35">
      <c r="A8" t="s">
        <v>34</v>
      </c>
      <c r="B8" t="s">
        <v>12</v>
      </c>
      <c r="C8" t="s">
        <v>310</v>
      </c>
      <c r="D8" t="s">
        <v>143</v>
      </c>
      <c r="E8" t="s">
        <v>89</v>
      </c>
      <c r="F8" t="s">
        <v>316</v>
      </c>
      <c r="G8" s="13" t="s">
        <v>112</v>
      </c>
      <c r="H8" t="s">
        <v>91</v>
      </c>
      <c r="I8">
        <v>0.78800000000000003</v>
      </c>
      <c r="J8">
        <v>24.71</v>
      </c>
      <c r="K8">
        <v>3.7832039152811102E-2</v>
      </c>
      <c r="L8">
        <v>0.81899999999999995</v>
      </c>
      <c r="M8">
        <f t="shared" si="0"/>
        <v>0.81899999999999995</v>
      </c>
      <c r="N8" t="s">
        <v>326</v>
      </c>
    </row>
    <row r="9" spans="1:15" x14ac:dyDescent="0.35">
      <c r="A9" t="s">
        <v>34</v>
      </c>
      <c r="B9" t="s">
        <v>12</v>
      </c>
      <c r="C9" t="s">
        <v>310</v>
      </c>
      <c r="D9" t="s">
        <v>143</v>
      </c>
      <c r="E9" t="s">
        <v>89</v>
      </c>
      <c r="F9" t="s">
        <v>317</v>
      </c>
      <c r="G9" s="13" t="s">
        <v>112</v>
      </c>
      <c r="H9" t="s">
        <v>91</v>
      </c>
      <c r="I9">
        <v>0.78800000000000003</v>
      </c>
      <c r="J9">
        <v>0</v>
      </c>
      <c r="K9">
        <v>3.7832039152811102E-2</v>
      </c>
      <c r="L9">
        <v>0.34599999999999997</v>
      </c>
      <c r="M9">
        <f t="shared" si="0"/>
        <v>0.34599999999999997</v>
      </c>
      <c r="N9" t="s">
        <v>326</v>
      </c>
    </row>
    <row r="10" spans="1:15" x14ac:dyDescent="0.35">
      <c r="A10" t="s">
        <v>34</v>
      </c>
      <c r="B10" t="s">
        <v>12</v>
      </c>
      <c r="C10" t="s">
        <v>310</v>
      </c>
      <c r="D10" t="s">
        <v>143</v>
      </c>
      <c r="E10" t="s">
        <v>89</v>
      </c>
      <c r="F10" t="s">
        <v>318</v>
      </c>
      <c r="G10" s="13" t="s">
        <v>112</v>
      </c>
      <c r="H10" t="s">
        <v>91</v>
      </c>
      <c r="I10">
        <v>0.78800000000000003</v>
      </c>
      <c r="J10">
        <v>0</v>
      </c>
      <c r="K10">
        <v>3.7832039152811102E-2</v>
      </c>
      <c r="L10">
        <v>0.33200000000000002</v>
      </c>
      <c r="M10">
        <f t="shared" si="0"/>
        <v>0.33200000000000002</v>
      </c>
      <c r="N10" t="s">
        <v>326</v>
      </c>
    </row>
    <row r="11" spans="1:15" x14ac:dyDescent="0.35">
      <c r="A11" t="s">
        <v>35</v>
      </c>
      <c r="B11" t="s">
        <v>12</v>
      </c>
      <c r="C11" t="s">
        <v>310</v>
      </c>
      <c r="E11" t="s">
        <v>89</v>
      </c>
      <c r="H11" t="s">
        <v>91</v>
      </c>
      <c r="I11" t="s">
        <v>335</v>
      </c>
      <c r="K11" t="s">
        <v>335</v>
      </c>
      <c r="L11" t="s">
        <v>335</v>
      </c>
      <c r="M11" t="s">
        <v>335</v>
      </c>
      <c r="N11" t="s">
        <v>326</v>
      </c>
    </row>
    <row r="12" spans="1:15" x14ac:dyDescent="0.35">
      <c r="A12" t="s">
        <v>35</v>
      </c>
      <c r="B12" t="s">
        <v>12</v>
      </c>
      <c r="C12" t="s">
        <v>310</v>
      </c>
      <c r="E12" t="s">
        <v>89</v>
      </c>
      <c r="H12" t="s">
        <v>91</v>
      </c>
      <c r="I12" t="s">
        <v>335</v>
      </c>
      <c r="K12" t="s">
        <v>335</v>
      </c>
      <c r="L12" t="s">
        <v>335</v>
      </c>
      <c r="M12" t="s">
        <v>335</v>
      </c>
      <c r="N12" t="s">
        <v>326</v>
      </c>
    </row>
    <row r="13" spans="1:15" x14ac:dyDescent="0.35">
      <c r="A13" t="s">
        <v>35</v>
      </c>
      <c r="B13" t="s">
        <v>12</v>
      </c>
      <c r="C13" t="s">
        <v>310</v>
      </c>
      <c r="E13" t="s">
        <v>89</v>
      </c>
      <c r="H13" t="s">
        <v>91</v>
      </c>
      <c r="I13" t="s">
        <v>335</v>
      </c>
      <c r="K13" t="s">
        <v>335</v>
      </c>
      <c r="L13" t="s">
        <v>335</v>
      </c>
      <c r="M13" t="s">
        <v>335</v>
      </c>
      <c r="N13" t="s">
        <v>326</v>
      </c>
    </row>
    <row r="14" spans="1:15" x14ac:dyDescent="0.35">
      <c r="A14" t="s">
        <v>36</v>
      </c>
      <c r="B14" t="s">
        <v>12</v>
      </c>
      <c r="C14" t="s">
        <v>310</v>
      </c>
      <c r="D14" t="s">
        <v>319</v>
      </c>
      <c r="E14" t="s">
        <v>89</v>
      </c>
      <c r="F14" t="s">
        <v>316</v>
      </c>
      <c r="G14" s="13" t="s">
        <v>112</v>
      </c>
      <c r="H14" t="s">
        <v>91</v>
      </c>
      <c r="I14">
        <v>4.958333333333333</v>
      </c>
      <c r="J14">
        <v>26.59</v>
      </c>
      <c r="K14" s="67">
        <v>1.1585743964712399E-2</v>
      </c>
      <c r="L14" s="67">
        <v>5.016</v>
      </c>
      <c r="M14">
        <f>L14</f>
        <v>5.016</v>
      </c>
      <c r="N14" t="s">
        <v>326</v>
      </c>
    </row>
    <row r="15" spans="1:15" x14ac:dyDescent="0.35">
      <c r="A15" t="s">
        <v>36</v>
      </c>
      <c r="B15" t="s">
        <v>12</v>
      </c>
      <c r="C15" t="s">
        <v>310</v>
      </c>
      <c r="D15" t="s">
        <v>319</v>
      </c>
      <c r="E15" t="s">
        <v>89</v>
      </c>
      <c r="F15" t="s">
        <v>317</v>
      </c>
      <c r="G15" s="13" t="s">
        <v>112</v>
      </c>
      <c r="H15" t="s">
        <v>91</v>
      </c>
      <c r="I15">
        <v>4.958333333333333</v>
      </c>
      <c r="J15">
        <v>0</v>
      </c>
      <c r="K15" s="67">
        <v>1.1585743964712399E-2</v>
      </c>
      <c r="L15" s="67">
        <v>4.2050000000000001</v>
      </c>
      <c r="M15">
        <f t="shared" ref="M15:M25" si="1">L15</f>
        <v>4.2050000000000001</v>
      </c>
      <c r="N15" t="s">
        <v>326</v>
      </c>
    </row>
    <row r="16" spans="1:15" x14ac:dyDescent="0.35">
      <c r="A16" t="s">
        <v>36</v>
      </c>
      <c r="B16" t="s">
        <v>12</v>
      </c>
      <c r="C16" t="s">
        <v>310</v>
      </c>
      <c r="D16" t="s">
        <v>319</v>
      </c>
      <c r="E16" t="s">
        <v>89</v>
      </c>
      <c r="F16" t="s">
        <v>318</v>
      </c>
      <c r="G16" s="13" t="s">
        <v>112</v>
      </c>
      <c r="H16" t="s">
        <v>91</v>
      </c>
      <c r="I16">
        <v>4.958333333333333</v>
      </c>
      <c r="J16">
        <v>0</v>
      </c>
      <c r="K16" s="67">
        <v>1.1585743964712399E-2</v>
      </c>
      <c r="L16" s="67">
        <v>4.8159999999999998</v>
      </c>
      <c r="M16">
        <f t="shared" si="1"/>
        <v>4.8159999999999998</v>
      </c>
      <c r="N16" t="s">
        <v>326</v>
      </c>
    </row>
    <row r="17" spans="1:15" x14ac:dyDescent="0.35">
      <c r="A17" t="s">
        <v>37</v>
      </c>
      <c r="B17" t="s">
        <v>12</v>
      </c>
      <c r="C17" t="s">
        <v>310</v>
      </c>
      <c r="D17" t="s">
        <v>319</v>
      </c>
      <c r="E17" t="s">
        <v>89</v>
      </c>
      <c r="F17" t="s">
        <v>316</v>
      </c>
      <c r="G17" s="13" t="s">
        <v>112</v>
      </c>
      <c r="H17" t="s">
        <v>91</v>
      </c>
      <c r="I17">
        <v>4.958333333333333</v>
      </c>
      <c r="J17">
        <v>26.59</v>
      </c>
      <c r="K17" s="67">
        <v>1.1585743964712399E-2</v>
      </c>
      <c r="L17" s="67">
        <v>5.016</v>
      </c>
      <c r="M17">
        <f t="shared" si="1"/>
        <v>5.016</v>
      </c>
      <c r="N17" t="s">
        <v>326</v>
      </c>
    </row>
    <row r="18" spans="1:15" x14ac:dyDescent="0.35">
      <c r="A18" t="s">
        <v>37</v>
      </c>
      <c r="B18" t="s">
        <v>12</v>
      </c>
      <c r="C18" t="s">
        <v>310</v>
      </c>
      <c r="D18" t="s">
        <v>319</v>
      </c>
      <c r="E18" t="s">
        <v>89</v>
      </c>
      <c r="F18" t="s">
        <v>317</v>
      </c>
      <c r="G18" s="13" t="s">
        <v>112</v>
      </c>
      <c r="H18" t="s">
        <v>91</v>
      </c>
      <c r="I18">
        <v>4.958333333333333</v>
      </c>
      <c r="J18">
        <v>0</v>
      </c>
      <c r="K18" s="67">
        <v>1.1585743964712399E-2</v>
      </c>
      <c r="L18" s="67">
        <v>4.2050000000000001</v>
      </c>
      <c r="M18">
        <f t="shared" si="1"/>
        <v>4.2050000000000001</v>
      </c>
      <c r="N18" t="s">
        <v>326</v>
      </c>
    </row>
    <row r="19" spans="1:15" x14ac:dyDescent="0.35">
      <c r="A19" t="s">
        <v>37</v>
      </c>
      <c r="B19" t="s">
        <v>12</v>
      </c>
      <c r="C19" t="s">
        <v>310</v>
      </c>
      <c r="D19" t="s">
        <v>319</v>
      </c>
      <c r="E19" t="s">
        <v>89</v>
      </c>
      <c r="F19" t="s">
        <v>318</v>
      </c>
      <c r="G19" s="13" t="s">
        <v>112</v>
      </c>
      <c r="H19" t="s">
        <v>91</v>
      </c>
      <c r="I19">
        <v>4.958333333333333</v>
      </c>
      <c r="J19">
        <v>0</v>
      </c>
      <c r="K19" s="67">
        <v>1.1585743964712399E-2</v>
      </c>
      <c r="L19" s="67">
        <v>4.8159999999999998</v>
      </c>
      <c r="M19">
        <f t="shared" si="1"/>
        <v>4.8159999999999998</v>
      </c>
      <c r="N19" t="s">
        <v>326</v>
      </c>
    </row>
    <row r="20" spans="1:15" x14ac:dyDescent="0.35">
      <c r="A20" t="s">
        <v>43</v>
      </c>
      <c r="B20" t="s">
        <v>12</v>
      </c>
      <c r="C20" t="s">
        <v>310</v>
      </c>
      <c r="D20" t="s">
        <v>319</v>
      </c>
      <c r="E20" t="s">
        <v>89</v>
      </c>
      <c r="F20" t="s">
        <v>316</v>
      </c>
      <c r="G20" s="13" t="s">
        <v>112</v>
      </c>
      <c r="H20" t="s">
        <v>91</v>
      </c>
      <c r="I20">
        <v>4.958333333333333</v>
      </c>
      <c r="J20">
        <v>26.59</v>
      </c>
      <c r="K20" s="67">
        <v>1.1585743964712399E-2</v>
      </c>
      <c r="L20" s="67">
        <v>5.016</v>
      </c>
      <c r="M20">
        <f t="shared" si="1"/>
        <v>5.016</v>
      </c>
      <c r="N20" t="s">
        <v>326</v>
      </c>
    </row>
    <row r="21" spans="1:15" x14ac:dyDescent="0.35">
      <c r="A21" t="s">
        <v>43</v>
      </c>
      <c r="B21" t="s">
        <v>12</v>
      </c>
      <c r="C21" t="s">
        <v>310</v>
      </c>
      <c r="D21" t="s">
        <v>319</v>
      </c>
      <c r="E21" t="s">
        <v>89</v>
      </c>
      <c r="F21" t="s">
        <v>317</v>
      </c>
      <c r="G21" s="13" t="s">
        <v>112</v>
      </c>
      <c r="H21" t="s">
        <v>91</v>
      </c>
      <c r="I21">
        <v>4.958333333333333</v>
      </c>
      <c r="J21">
        <v>0</v>
      </c>
      <c r="K21" s="67">
        <v>1.1585743964712399E-2</v>
      </c>
      <c r="L21" s="67">
        <v>4.2050000000000001</v>
      </c>
      <c r="M21">
        <f t="shared" si="1"/>
        <v>4.2050000000000001</v>
      </c>
      <c r="N21" t="s">
        <v>326</v>
      </c>
    </row>
    <row r="22" spans="1:15" x14ac:dyDescent="0.35">
      <c r="A22" t="s">
        <v>43</v>
      </c>
      <c r="B22" t="s">
        <v>12</v>
      </c>
      <c r="C22" t="s">
        <v>310</v>
      </c>
      <c r="D22" t="s">
        <v>319</v>
      </c>
      <c r="E22" t="s">
        <v>89</v>
      </c>
      <c r="F22" t="s">
        <v>318</v>
      </c>
      <c r="G22" s="13" t="s">
        <v>112</v>
      </c>
      <c r="H22" t="s">
        <v>91</v>
      </c>
      <c r="I22">
        <v>4.958333333333333</v>
      </c>
      <c r="J22">
        <v>0</v>
      </c>
      <c r="K22" s="67">
        <v>1.1585743964712399E-2</v>
      </c>
      <c r="L22" s="67">
        <v>4.8159999999999998</v>
      </c>
      <c r="M22">
        <f t="shared" si="1"/>
        <v>4.8159999999999998</v>
      </c>
      <c r="N22" t="s">
        <v>326</v>
      </c>
    </row>
    <row r="23" spans="1:15" x14ac:dyDescent="0.35">
      <c r="A23" t="s">
        <v>42</v>
      </c>
      <c r="B23" t="s">
        <v>12</v>
      </c>
      <c r="C23" t="s">
        <v>310</v>
      </c>
      <c r="D23" t="s">
        <v>319</v>
      </c>
      <c r="E23" t="s">
        <v>89</v>
      </c>
      <c r="F23" t="s">
        <v>316</v>
      </c>
      <c r="G23" s="13" t="s">
        <v>112</v>
      </c>
      <c r="H23" t="s">
        <v>91</v>
      </c>
      <c r="I23">
        <v>4.958333333333333</v>
      </c>
      <c r="J23">
        <v>26.59</v>
      </c>
      <c r="K23" s="67">
        <v>1.1585743964712399E-2</v>
      </c>
      <c r="L23" s="67">
        <v>5.016</v>
      </c>
      <c r="M23">
        <f t="shared" si="1"/>
        <v>5.016</v>
      </c>
      <c r="N23" t="s">
        <v>326</v>
      </c>
    </row>
    <row r="24" spans="1:15" x14ac:dyDescent="0.35">
      <c r="A24" t="s">
        <v>42</v>
      </c>
      <c r="B24" t="s">
        <v>12</v>
      </c>
      <c r="C24" t="s">
        <v>310</v>
      </c>
      <c r="D24" t="s">
        <v>319</v>
      </c>
      <c r="E24" t="s">
        <v>89</v>
      </c>
      <c r="F24" t="s">
        <v>317</v>
      </c>
      <c r="G24" s="13" t="s">
        <v>112</v>
      </c>
      <c r="H24" t="s">
        <v>91</v>
      </c>
      <c r="I24">
        <v>4.958333333333333</v>
      </c>
      <c r="J24">
        <v>0</v>
      </c>
      <c r="K24" s="67">
        <v>1.1585743964712399E-2</v>
      </c>
      <c r="L24" s="67">
        <v>4.2050000000000001</v>
      </c>
      <c r="M24">
        <f t="shared" si="1"/>
        <v>4.2050000000000001</v>
      </c>
      <c r="N24" t="s">
        <v>326</v>
      </c>
    </row>
    <row r="25" spans="1:15" x14ac:dyDescent="0.35">
      <c r="A25" t="s">
        <v>42</v>
      </c>
      <c r="B25" t="s">
        <v>12</v>
      </c>
      <c r="C25" t="s">
        <v>310</v>
      </c>
      <c r="D25" t="s">
        <v>319</v>
      </c>
      <c r="E25" t="s">
        <v>89</v>
      </c>
      <c r="F25" t="s">
        <v>318</v>
      </c>
      <c r="G25" s="13" t="s">
        <v>112</v>
      </c>
      <c r="H25" t="s">
        <v>91</v>
      </c>
      <c r="I25">
        <v>4.958333333333333</v>
      </c>
      <c r="J25">
        <v>0</v>
      </c>
      <c r="K25" s="67">
        <v>1.1585743964712399E-2</v>
      </c>
      <c r="L25" s="67">
        <v>4.8159999999999998</v>
      </c>
      <c r="M25">
        <f t="shared" si="1"/>
        <v>4.8159999999999998</v>
      </c>
      <c r="N25" t="s">
        <v>326</v>
      </c>
    </row>
    <row r="26" spans="1:15" x14ac:dyDescent="0.35">
      <c r="A26" t="s">
        <v>11</v>
      </c>
      <c r="B26" t="s">
        <v>19</v>
      </c>
      <c r="C26" t="s">
        <v>311</v>
      </c>
      <c r="D26" t="s">
        <v>321</v>
      </c>
      <c r="E26" t="s">
        <v>89</v>
      </c>
      <c r="F26" t="s">
        <v>316</v>
      </c>
      <c r="H26" t="s">
        <v>91</v>
      </c>
      <c r="I26" t="s">
        <v>335</v>
      </c>
      <c r="K26" t="s">
        <v>335</v>
      </c>
      <c r="L26">
        <v>1.4E-2</v>
      </c>
      <c r="M26" s="8">
        <f>L26+M2/123</f>
        <v>1.443089430894309E-2</v>
      </c>
      <c r="N26" t="s">
        <v>327</v>
      </c>
      <c r="O26" t="s">
        <v>380</v>
      </c>
    </row>
    <row r="27" spans="1:15" x14ac:dyDescent="0.35">
      <c r="A27" t="s">
        <v>11</v>
      </c>
      <c r="B27" t="s">
        <v>19</v>
      </c>
      <c r="C27" t="s">
        <v>311</v>
      </c>
      <c r="D27" t="s">
        <v>321</v>
      </c>
      <c r="E27" t="s">
        <v>89</v>
      </c>
      <c r="F27" t="s">
        <v>317</v>
      </c>
      <c r="H27" t="s">
        <v>91</v>
      </c>
      <c r="I27" t="s">
        <v>335</v>
      </c>
      <c r="K27" t="s">
        <v>335</v>
      </c>
      <c r="L27">
        <v>0.249</v>
      </c>
      <c r="M27" s="8">
        <f>L27+M3/123</f>
        <v>0.24915447154471546</v>
      </c>
      <c r="N27" t="s">
        <v>327</v>
      </c>
      <c r="O27" t="s">
        <v>379</v>
      </c>
    </row>
    <row r="28" spans="1:15" x14ac:dyDescent="0.35">
      <c r="A28" t="s">
        <v>11</v>
      </c>
      <c r="B28" t="s">
        <v>19</v>
      </c>
      <c r="C28" t="s">
        <v>311</v>
      </c>
      <c r="D28" t="s">
        <v>321</v>
      </c>
      <c r="E28" t="s">
        <v>89</v>
      </c>
      <c r="F28" t="s">
        <v>318</v>
      </c>
      <c r="H28" t="s">
        <v>91</v>
      </c>
      <c r="I28" t="s">
        <v>335</v>
      </c>
      <c r="K28" t="s">
        <v>335</v>
      </c>
      <c r="L28">
        <v>0.187</v>
      </c>
      <c r="M28" s="8">
        <f>L28+M4/123</f>
        <v>0.18717073170731707</v>
      </c>
      <c r="N28" t="s">
        <v>327</v>
      </c>
      <c r="O28" t="s">
        <v>379</v>
      </c>
    </row>
    <row r="29" spans="1:15" x14ac:dyDescent="0.35">
      <c r="A29" t="s">
        <v>40</v>
      </c>
      <c r="B29" t="s">
        <v>19</v>
      </c>
      <c r="C29" t="s">
        <v>311</v>
      </c>
      <c r="D29" t="s">
        <v>321</v>
      </c>
      <c r="E29" t="s">
        <v>89</v>
      </c>
      <c r="F29" t="s">
        <v>316</v>
      </c>
      <c r="G29" s="13" t="s">
        <v>307</v>
      </c>
      <c r="H29" t="s">
        <v>91</v>
      </c>
      <c r="I29" s="2">
        <v>10.436363636363636</v>
      </c>
      <c r="J29">
        <v>0</v>
      </c>
      <c r="K29">
        <v>0</v>
      </c>
      <c r="L29">
        <v>1.4E-2</v>
      </c>
      <c r="M29">
        <f>L29</f>
        <v>1.4E-2</v>
      </c>
      <c r="N29" t="s">
        <v>327</v>
      </c>
      <c r="O29" t="s">
        <v>376</v>
      </c>
    </row>
    <row r="30" spans="1:15" x14ac:dyDescent="0.35">
      <c r="A30" t="s">
        <v>40</v>
      </c>
      <c r="B30" t="s">
        <v>19</v>
      </c>
      <c r="C30" t="s">
        <v>311</v>
      </c>
      <c r="D30" t="s">
        <v>321</v>
      </c>
      <c r="E30" t="s">
        <v>89</v>
      </c>
      <c r="F30" t="s">
        <v>317</v>
      </c>
      <c r="G30" s="13" t="s">
        <v>307</v>
      </c>
      <c r="H30" t="s">
        <v>91</v>
      </c>
      <c r="I30" s="2">
        <v>10.436363636363636</v>
      </c>
      <c r="J30">
        <v>0</v>
      </c>
      <c r="K30">
        <v>0</v>
      </c>
      <c r="L30">
        <v>0.249</v>
      </c>
      <c r="M30">
        <f t="shared" ref="M30:M31" si="2">L30</f>
        <v>0.249</v>
      </c>
      <c r="N30" t="s">
        <v>327</v>
      </c>
      <c r="O30" t="s">
        <v>328</v>
      </c>
    </row>
    <row r="31" spans="1:15" x14ac:dyDescent="0.35">
      <c r="A31" t="s">
        <v>40</v>
      </c>
      <c r="B31" t="s">
        <v>19</v>
      </c>
      <c r="C31" t="s">
        <v>311</v>
      </c>
      <c r="D31" t="s">
        <v>321</v>
      </c>
      <c r="E31" t="s">
        <v>89</v>
      </c>
      <c r="F31" t="s">
        <v>318</v>
      </c>
      <c r="G31" s="13" t="s">
        <v>307</v>
      </c>
      <c r="H31" t="s">
        <v>91</v>
      </c>
      <c r="I31" s="2">
        <v>10.436363636363636</v>
      </c>
      <c r="J31">
        <v>0</v>
      </c>
      <c r="K31">
        <v>0</v>
      </c>
      <c r="L31">
        <v>0.187</v>
      </c>
      <c r="M31">
        <f t="shared" si="2"/>
        <v>0.187</v>
      </c>
      <c r="N31" t="s">
        <v>327</v>
      </c>
      <c r="O31" t="s">
        <v>328</v>
      </c>
    </row>
    <row r="32" spans="1:15" x14ac:dyDescent="0.35">
      <c r="A32" t="s">
        <v>37</v>
      </c>
      <c r="B32" t="s">
        <v>19</v>
      </c>
      <c r="C32" t="s">
        <v>311</v>
      </c>
      <c r="D32" t="s">
        <v>320</v>
      </c>
      <c r="E32" t="s">
        <v>89</v>
      </c>
      <c r="F32" t="s">
        <v>316</v>
      </c>
      <c r="G32" s="13" t="s">
        <v>308</v>
      </c>
      <c r="H32" t="s">
        <v>91</v>
      </c>
      <c r="I32">
        <v>0.23400000000000001</v>
      </c>
      <c r="J32">
        <v>0</v>
      </c>
      <c r="K32">
        <v>2.8358342136926399E-2</v>
      </c>
      <c r="L32">
        <v>0.24099999999999999</v>
      </c>
      <c r="M32" s="13">
        <f t="shared" ref="M32:M37" si="3">L32/7.46</f>
        <v>3.2305630026809654E-2</v>
      </c>
      <c r="N32" t="s">
        <v>327</v>
      </c>
      <c r="O32" t="s">
        <v>329</v>
      </c>
    </row>
    <row r="33" spans="1:15" x14ac:dyDescent="0.35">
      <c r="A33" t="s">
        <v>37</v>
      </c>
      <c r="B33" t="s">
        <v>19</v>
      </c>
      <c r="C33" t="s">
        <v>311</v>
      </c>
      <c r="D33" t="s">
        <v>320</v>
      </c>
      <c r="E33" t="s">
        <v>89</v>
      </c>
      <c r="F33" t="s">
        <v>317</v>
      </c>
      <c r="G33" s="13" t="s">
        <v>308</v>
      </c>
      <c r="H33" t="s">
        <v>91</v>
      </c>
      <c r="I33">
        <v>0.23400000000000001</v>
      </c>
      <c r="J33">
        <v>0</v>
      </c>
      <c r="K33">
        <v>2.8358342136926399E-2</v>
      </c>
      <c r="L33" s="67">
        <v>8.5000000000000006E-2</v>
      </c>
      <c r="M33" s="13">
        <f t="shared" si="3"/>
        <v>1.1394101876675604E-2</v>
      </c>
      <c r="N33" t="s">
        <v>327</v>
      </c>
      <c r="O33" t="s">
        <v>329</v>
      </c>
    </row>
    <row r="34" spans="1:15" x14ac:dyDescent="0.35">
      <c r="A34" t="s">
        <v>37</v>
      </c>
      <c r="B34" t="s">
        <v>19</v>
      </c>
      <c r="C34" t="s">
        <v>311</v>
      </c>
      <c r="D34" t="s">
        <v>320</v>
      </c>
      <c r="E34" t="s">
        <v>89</v>
      </c>
      <c r="F34" t="s">
        <v>318</v>
      </c>
      <c r="G34" s="13" t="s">
        <v>308</v>
      </c>
      <c r="H34" t="s">
        <v>91</v>
      </c>
      <c r="I34">
        <v>0.23400000000000001</v>
      </c>
      <c r="J34">
        <v>0</v>
      </c>
      <c r="K34">
        <v>2.8358342136926399E-2</v>
      </c>
      <c r="L34">
        <v>8.5999999999999993E-2</v>
      </c>
      <c r="M34" s="13">
        <f t="shared" si="3"/>
        <v>1.1528150134048256E-2</v>
      </c>
      <c r="N34" t="s">
        <v>327</v>
      </c>
      <c r="O34" t="s">
        <v>329</v>
      </c>
    </row>
    <row r="35" spans="1:15" x14ac:dyDescent="0.35">
      <c r="A35" t="s">
        <v>36</v>
      </c>
      <c r="B35" t="s">
        <v>19</v>
      </c>
      <c r="C35" t="s">
        <v>311</v>
      </c>
      <c r="D35" t="s">
        <v>320</v>
      </c>
      <c r="E35" t="s">
        <v>89</v>
      </c>
      <c r="F35" t="s">
        <v>316</v>
      </c>
      <c r="G35" s="13" t="s">
        <v>308</v>
      </c>
      <c r="H35" t="s">
        <v>91</v>
      </c>
      <c r="I35">
        <v>0.23400000000000001</v>
      </c>
      <c r="J35">
        <v>0</v>
      </c>
      <c r="K35">
        <v>2.8358342136926399E-2</v>
      </c>
      <c r="L35">
        <v>0.24099999999999999</v>
      </c>
      <c r="M35" s="13">
        <f t="shared" si="3"/>
        <v>3.2305630026809654E-2</v>
      </c>
      <c r="N35" t="s">
        <v>327</v>
      </c>
      <c r="O35" t="s">
        <v>329</v>
      </c>
    </row>
    <row r="36" spans="1:15" x14ac:dyDescent="0.35">
      <c r="A36" t="s">
        <v>36</v>
      </c>
      <c r="B36" t="s">
        <v>19</v>
      </c>
      <c r="C36" t="s">
        <v>311</v>
      </c>
      <c r="D36" t="s">
        <v>320</v>
      </c>
      <c r="E36" t="s">
        <v>89</v>
      </c>
      <c r="F36" t="s">
        <v>317</v>
      </c>
      <c r="G36" s="13" t="s">
        <v>308</v>
      </c>
      <c r="H36" t="s">
        <v>91</v>
      </c>
      <c r="I36">
        <v>0.23400000000000001</v>
      </c>
      <c r="J36">
        <v>0</v>
      </c>
      <c r="K36">
        <v>2.8358342136926399E-2</v>
      </c>
      <c r="L36" s="67">
        <v>8.5000000000000006E-2</v>
      </c>
      <c r="M36" s="13">
        <f t="shared" si="3"/>
        <v>1.1394101876675604E-2</v>
      </c>
      <c r="N36" t="s">
        <v>327</v>
      </c>
      <c r="O36" t="s">
        <v>329</v>
      </c>
    </row>
    <row r="37" spans="1:15" x14ac:dyDescent="0.35">
      <c r="A37" t="s">
        <v>36</v>
      </c>
      <c r="B37" t="s">
        <v>19</v>
      </c>
      <c r="C37" t="s">
        <v>311</v>
      </c>
      <c r="D37" t="s">
        <v>320</v>
      </c>
      <c r="E37" t="s">
        <v>89</v>
      </c>
      <c r="F37" t="s">
        <v>318</v>
      </c>
      <c r="G37" s="13" t="s">
        <v>308</v>
      </c>
      <c r="H37" t="s">
        <v>91</v>
      </c>
      <c r="I37">
        <v>0.23400000000000001</v>
      </c>
      <c r="J37">
        <v>0</v>
      </c>
      <c r="K37">
        <v>2.8358342136926399E-2</v>
      </c>
      <c r="L37">
        <v>8.5999999999999993E-2</v>
      </c>
      <c r="M37" s="13">
        <f t="shared" si="3"/>
        <v>1.1528150134048256E-2</v>
      </c>
      <c r="N37" t="s">
        <v>327</v>
      </c>
      <c r="O37" t="s">
        <v>329</v>
      </c>
    </row>
    <row r="38" spans="1:15" x14ac:dyDescent="0.35">
      <c r="A38" t="s">
        <v>43</v>
      </c>
      <c r="B38" t="s">
        <v>19</v>
      </c>
      <c r="C38" t="s">
        <v>311</v>
      </c>
      <c r="D38" t="s">
        <v>321</v>
      </c>
      <c r="E38" t="s">
        <v>89</v>
      </c>
      <c r="F38" t="s">
        <v>316</v>
      </c>
      <c r="G38" s="13" t="s">
        <v>307</v>
      </c>
      <c r="H38" t="s">
        <v>91</v>
      </c>
      <c r="I38" s="2">
        <v>10.436</v>
      </c>
      <c r="J38">
        <v>0</v>
      </c>
      <c r="K38">
        <v>2.8358342136926399E-2</v>
      </c>
      <c r="L38">
        <v>1.4E-2</v>
      </c>
      <c r="M38" s="55">
        <f t="shared" ref="M38:M43" si="4">L38</f>
        <v>1.4E-2</v>
      </c>
      <c r="N38" t="s">
        <v>327</v>
      </c>
      <c r="O38" t="s">
        <v>328</v>
      </c>
    </row>
    <row r="39" spans="1:15" x14ac:dyDescent="0.35">
      <c r="A39" t="s">
        <v>43</v>
      </c>
      <c r="B39" t="s">
        <v>19</v>
      </c>
      <c r="C39" t="s">
        <v>311</v>
      </c>
      <c r="D39" t="s">
        <v>321</v>
      </c>
      <c r="E39" t="s">
        <v>89</v>
      </c>
      <c r="F39" t="s">
        <v>317</v>
      </c>
      <c r="G39" s="13" t="s">
        <v>307</v>
      </c>
      <c r="H39" t="s">
        <v>91</v>
      </c>
      <c r="I39" s="2">
        <v>10.436</v>
      </c>
      <c r="J39">
        <v>0</v>
      </c>
      <c r="K39">
        <v>2.8358342136926399E-2</v>
      </c>
      <c r="L39">
        <v>0.249</v>
      </c>
      <c r="M39" s="55">
        <f t="shared" si="4"/>
        <v>0.249</v>
      </c>
      <c r="N39" t="s">
        <v>327</v>
      </c>
      <c r="O39" t="s">
        <v>328</v>
      </c>
    </row>
    <row r="40" spans="1:15" x14ac:dyDescent="0.35">
      <c r="A40" t="s">
        <v>43</v>
      </c>
      <c r="B40" t="s">
        <v>19</v>
      </c>
      <c r="C40" t="s">
        <v>311</v>
      </c>
      <c r="D40" t="s">
        <v>321</v>
      </c>
      <c r="E40" t="s">
        <v>89</v>
      </c>
      <c r="F40" t="s">
        <v>318</v>
      </c>
      <c r="G40" s="13" t="s">
        <v>307</v>
      </c>
      <c r="H40" t="s">
        <v>91</v>
      </c>
      <c r="I40" s="2">
        <v>10.436</v>
      </c>
      <c r="J40">
        <v>0</v>
      </c>
      <c r="K40">
        <v>2.8358342136926399E-2</v>
      </c>
      <c r="L40">
        <v>0.187</v>
      </c>
      <c r="M40" s="55">
        <f t="shared" si="4"/>
        <v>0.187</v>
      </c>
      <c r="N40" t="s">
        <v>327</v>
      </c>
      <c r="O40" t="s">
        <v>328</v>
      </c>
    </row>
    <row r="41" spans="1:15" x14ac:dyDescent="0.35">
      <c r="A41" t="s">
        <v>42</v>
      </c>
      <c r="B41" t="s">
        <v>19</v>
      </c>
      <c r="C41" t="s">
        <v>311</v>
      </c>
      <c r="D41" t="s">
        <v>321</v>
      </c>
      <c r="E41" t="s">
        <v>89</v>
      </c>
      <c r="F41" t="s">
        <v>316</v>
      </c>
      <c r="G41" s="13" t="s">
        <v>307</v>
      </c>
      <c r="H41" t="s">
        <v>91</v>
      </c>
      <c r="I41" s="2">
        <v>10.436</v>
      </c>
      <c r="J41">
        <v>0</v>
      </c>
      <c r="K41">
        <v>2.8358342136926399E-2</v>
      </c>
      <c r="L41">
        <v>1.4E-2</v>
      </c>
      <c r="M41" s="55">
        <f t="shared" si="4"/>
        <v>1.4E-2</v>
      </c>
      <c r="N41" t="s">
        <v>327</v>
      </c>
      <c r="O41" t="s">
        <v>328</v>
      </c>
    </row>
    <row r="42" spans="1:15" x14ac:dyDescent="0.35">
      <c r="A42" t="s">
        <v>42</v>
      </c>
      <c r="B42" t="s">
        <v>19</v>
      </c>
      <c r="C42" t="s">
        <v>311</v>
      </c>
      <c r="D42" t="s">
        <v>321</v>
      </c>
      <c r="E42" t="s">
        <v>89</v>
      </c>
      <c r="F42" t="s">
        <v>317</v>
      </c>
      <c r="G42" s="13" t="s">
        <v>307</v>
      </c>
      <c r="H42" t="s">
        <v>91</v>
      </c>
      <c r="I42" s="2">
        <v>10.436</v>
      </c>
      <c r="J42">
        <v>0</v>
      </c>
      <c r="K42">
        <v>2.8358342136926399E-2</v>
      </c>
      <c r="L42">
        <v>0.249</v>
      </c>
      <c r="M42" s="55">
        <f t="shared" si="4"/>
        <v>0.249</v>
      </c>
      <c r="N42" t="s">
        <v>327</v>
      </c>
      <c r="O42" t="s">
        <v>328</v>
      </c>
    </row>
    <row r="43" spans="1:15" x14ac:dyDescent="0.35">
      <c r="A43" t="s">
        <v>42</v>
      </c>
      <c r="B43" t="s">
        <v>19</v>
      </c>
      <c r="C43" t="s">
        <v>311</v>
      </c>
      <c r="D43" t="s">
        <v>321</v>
      </c>
      <c r="E43" t="s">
        <v>89</v>
      </c>
      <c r="F43" t="s">
        <v>318</v>
      </c>
      <c r="G43" s="13" t="s">
        <v>307</v>
      </c>
      <c r="H43" t="s">
        <v>91</v>
      </c>
      <c r="I43" s="2">
        <v>10.436</v>
      </c>
      <c r="J43">
        <v>0</v>
      </c>
      <c r="K43">
        <v>2.8358342136926399E-2</v>
      </c>
      <c r="L43">
        <v>0.187</v>
      </c>
      <c r="M43" s="55">
        <f t="shared" si="4"/>
        <v>0.187</v>
      </c>
      <c r="N43" t="s">
        <v>327</v>
      </c>
      <c r="O43" t="s">
        <v>328</v>
      </c>
    </row>
    <row r="44" spans="1:15" x14ac:dyDescent="0.35">
      <c r="A44" t="s">
        <v>43</v>
      </c>
      <c r="B44" t="s">
        <v>38</v>
      </c>
      <c r="C44" t="s">
        <v>311</v>
      </c>
      <c r="D44" t="s">
        <v>377</v>
      </c>
      <c r="E44" t="s">
        <v>89</v>
      </c>
      <c r="F44" t="s">
        <v>316</v>
      </c>
      <c r="G44" s="13" t="s">
        <v>330</v>
      </c>
      <c r="H44" t="s">
        <v>91</v>
      </c>
      <c r="I44">
        <v>0.51900000000000002</v>
      </c>
      <c r="J44">
        <v>0</v>
      </c>
      <c r="K44">
        <v>2.8358342136926399E-2</v>
      </c>
      <c r="L44">
        <v>0.23400000000000001</v>
      </c>
      <c r="M44">
        <f>I44/0.965</f>
        <v>0.53782383419689128</v>
      </c>
      <c r="N44" t="s">
        <v>331</v>
      </c>
      <c r="O44" t="s">
        <v>332</v>
      </c>
    </row>
    <row r="45" spans="1:15" x14ac:dyDescent="0.35">
      <c r="A45" t="s">
        <v>43</v>
      </c>
      <c r="B45" t="s">
        <v>38</v>
      </c>
      <c r="C45" t="s">
        <v>311</v>
      </c>
      <c r="D45" t="s">
        <v>377</v>
      </c>
      <c r="E45" t="s">
        <v>89</v>
      </c>
      <c r="F45" t="s">
        <v>317</v>
      </c>
      <c r="G45" s="13" t="s">
        <v>330</v>
      </c>
      <c r="H45" t="s">
        <v>91</v>
      </c>
      <c r="I45">
        <v>0.16900000000000001</v>
      </c>
      <c r="J45">
        <v>0</v>
      </c>
      <c r="K45">
        <v>2.8358342136926399E-2</v>
      </c>
      <c r="M45">
        <f t="shared" ref="M45:M49" si="5">I45/0.965</f>
        <v>0.1751295336787565</v>
      </c>
      <c r="N45" t="s">
        <v>331</v>
      </c>
      <c r="O45" t="s">
        <v>332</v>
      </c>
    </row>
    <row r="46" spans="1:15" x14ac:dyDescent="0.35">
      <c r="A46" t="s">
        <v>43</v>
      </c>
      <c r="B46" t="s">
        <v>38</v>
      </c>
      <c r="C46" t="s">
        <v>311</v>
      </c>
      <c r="D46" t="s">
        <v>377</v>
      </c>
      <c r="E46" t="s">
        <v>89</v>
      </c>
      <c r="F46" t="s">
        <v>318</v>
      </c>
      <c r="G46" s="13" t="s">
        <v>330</v>
      </c>
      <c r="H46" t="s">
        <v>91</v>
      </c>
      <c r="I46">
        <v>0.186</v>
      </c>
      <c r="J46">
        <v>0</v>
      </c>
      <c r="K46">
        <v>2.8358342136926399E-2</v>
      </c>
      <c r="M46">
        <f t="shared" si="5"/>
        <v>0.19274611398963731</v>
      </c>
      <c r="N46" t="s">
        <v>331</v>
      </c>
      <c r="O46" t="s">
        <v>332</v>
      </c>
    </row>
    <row r="47" spans="1:15" x14ac:dyDescent="0.35">
      <c r="A47" t="s">
        <v>42</v>
      </c>
      <c r="B47" t="s">
        <v>38</v>
      </c>
      <c r="C47" t="s">
        <v>311</v>
      </c>
      <c r="D47" t="s">
        <v>377</v>
      </c>
      <c r="E47" t="s">
        <v>89</v>
      </c>
      <c r="F47" t="s">
        <v>316</v>
      </c>
      <c r="G47" s="13" t="s">
        <v>330</v>
      </c>
      <c r="H47" t="s">
        <v>91</v>
      </c>
      <c r="I47">
        <v>0.51900000000000002</v>
      </c>
      <c r="J47">
        <v>0</v>
      </c>
      <c r="K47">
        <v>2.8358342136926399E-2</v>
      </c>
      <c r="L47">
        <v>0.23400000000000001</v>
      </c>
      <c r="M47">
        <f>I47/0.965</f>
        <v>0.53782383419689128</v>
      </c>
      <c r="N47" t="s">
        <v>331</v>
      </c>
      <c r="O47" t="s">
        <v>332</v>
      </c>
    </row>
    <row r="48" spans="1:15" x14ac:dyDescent="0.35">
      <c r="A48" t="s">
        <v>42</v>
      </c>
      <c r="B48" t="s">
        <v>38</v>
      </c>
      <c r="C48" t="s">
        <v>311</v>
      </c>
      <c r="D48" t="s">
        <v>377</v>
      </c>
      <c r="E48" t="s">
        <v>89</v>
      </c>
      <c r="F48" t="s">
        <v>317</v>
      </c>
      <c r="G48" s="13" t="s">
        <v>330</v>
      </c>
      <c r="H48" t="s">
        <v>91</v>
      </c>
      <c r="I48">
        <v>0.16900000000000001</v>
      </c>
      <c r="J48">
        <v>0</v>
      </c>
      <c r="K48">
        <v>2.8358342136926399E-2</v>
      </c>
      <c r="M48">
        <f t="shared" si="5"/>
        <v>0.1751295336787565</v>
      </c>
      <c r="N48" t="s">
        <v>331</v>
      </c>
      <c r="O48" t="s">
        <v>332</v>
      </c>
    </row>
    <row r="49" spans="1:15" x14ac:dyDescent="0.35">
      <c r="A49" t="s">
        <v>42</v>
      </c>
      <c r="B49" t="s">
        <v>38</v>
      </c>
      <c r="C49" t="s">
        <v>311</v>
      </c>
      <c r="D49" t="s">
        <v>377</v>
      </c>
      <c r="E49" t="s">
        <v>89</v>
      </c>
      <c r="F49" t="s">
        <v>318</v>
      </c>
      <c r="G49" s="13" t="s">
        <v>330</v>
      </c>
      <c r="H49" t="s">
        <v>91</v>
      </c>
      <c r="I49">
        <v>0.186</v>
      </c>
      <c r="J49">
        <v>0</v>
      </c>
      <c r="K49">
        <v>2.8358342136926399E-2</v>
      </c>
      <c r="M49">
        <f t="shared" si="5"/>
        <v>0.19274611398963731</v>
      </c>
      <c r="N49" t="s">
        <v>331</v>
      </c>
      <c r="O49" t="s">
        <v>332</v>
      </c>
    </row>
    <row r="50" spans="1:15" x14ac:dyDescent="0.35">
      <c r="A50" t="s">
        <v>48</v>
      </c>
      <c r="B50" t="s">
        <v>46</v>
      </c>
      <c r="C50" t="s">
        <v>311</v>
      </c>
      <c r="D50" t="s">
        <v>322</v>
      </c>
      <c r="E50" t="s">
        <v>89</v>
      </c>
      <c r="F50" t="s">
        <v>316</v>
      </c>
      <c r="G50" s="13" t="s">
        <v>330</v>
      </c>
      <c r="H50" t="s">
        <v>91</v>
      </c>
      <c r="I50">
        <v>0.23400000000000001</v>
      </c>
      <c r="J50">
        <v>0</v>
      </c>
      <c r="K50">
        <v>2.8358342136926399E-2</v>
      </c>
      <c r="L50">
        <v>1.7509999999999999</v>
      </c>
      <c r="M50" s="70">
        <f>L50/0.007</f>
        <v>250.14285714285711</v>
      </c>
      <c r="N50" t="s">
        <v>333</v>
      </c>
      <c r="O50" t="s">
        <v>334</v>
      </c>
    </row>
    <row r="51" spans="1:15" x14ac:dyDescent="0.35">
      <c r="A51" t="s">
        <v>48</v>
      </c>
      <c r="B51" t="s">
        <v>46</v>
      </c>
      <c r="C51" t="s">
        <v>311</v>
      </c>
      <c r="D51" t="s">
        <v>322</v>
      </c>
      <c r="E51" t="s">
        <v>89</v>
      </c>
      <c r="F51" t="s">
        <v>317</v>
      </c>
      <c r="G51" s="13" t="s">
        <v>330</v>
      </c>
      <c r="H51" t="s">
        <v>91</v>
      </c>
      <c r="I51">
        <v>0.23400000000000001</v>
      </c>
      <c r="J51">
        <v>0</v>
      </c>
      <c r="K51">
        <v>2.8358342136926399E-2</v>
      </c>
      <c r="L51">
        <v>0.78400000000000003</v>
      </c>
      <c r="M51" s="70">
        <f>L51/0.007</f>
        <v>112</v>
      </c>
      <c r="N51" t="s">
        <v>333</v>
      </c>
      <c r="O51" t="s">
        <v>334</v>
      </c>
    </row>
    <row r="52" spans="1:15" x14ac:dyDescent="0.35">
      <c r="A52" t="s">
        <v>48</v>
      </c>
      <c r="B52" t="s">
        <v>46</v>
      </c>
      <c r="C52" t="s">
        <v>311</v>
      </c>
      <c r="D52" t="s">
        <v>322</v>
      </c>
      <c r="E52" t="s">
        <v>89</v>
      </c>
      <c r="F52" t="s">
        <v>318</v>
      </c>
      <c r="G52" s="13" t="s">
        <v>330</v>
      </c>
      <c r="H52" t="s">
        <v>91</v>
      </c>
      <c r="I52">
        <v>0.23400000000000001</v>
      </c>
      <c r="J52">
        <v>0</v>
      </c>
      <c r="K52">
        <v>2.8358342136926399E-2</v>
      </c>
      <c r="L52">
        <v>0.70299999999999996</v>
      </c>
      <c r="M52" s="70">
        <f>L52/0.007</f>
        <v>100.42857142857142</v>
      </c>
      <c r="N52" t="s">
        <v>333</v>
      </c>
      <c r="O52" t="s">
        <v>334</v>
      </c>
    </row>
    <row r="53" spans="1:15" x14ac:dyDescent="0.35">
      <c r="A53" t="s">
        <v>37</v>
      </c>
      <c r="B53" t="s">
        <v>46</v>
      </c>
      <c r="C53" t="s">
        <v>311</v>
      </c>
      <c r="D53" t="s">
        <v>320</v>
      </c>
      <c r="E53" t="s">
        <v>89</v>
      </c>
      <c r="F53" t="s">
        <v>316</v>
      </c>
      <c r="G53" s="13" t="s">
        <v>308</v>
      </c>
      <c r="H53" t="s">
        <v>91</v>
      </c>
      <c r="I53">
        <v>0.23400000000000001</v>
      </c>
      <c r="J53">
        <v>0</v>
      </c>
      <c r="K53">
        <v>2.8358342136926399E-2</v>
      </c>
      <c r="L53">
        <v>0.24099999999999999</v>
      </c>
      <c r="M53" s="70">
        <f>L53/0.007</f>
        <v>34.428571428571423</v>
      </c>
      <c r="N53" t="s">
        <v>333</v>
      </c>
      <c r="O53" t="s">
        <v>334</v>
      </c>
    </row>
    <row r="54" spans="1:15" x14ac:dyDescent="0.35">
      <c r="A54" t="s">
        <v>37</v>
      </c>
      <c r="B54" t="s">
        <v>46</v>
      </c>
      <c r="C54" t="s">
        <v>311</v>
      </c>
      <c r="D54" t="s">
        <v>320</v>
      </c>
      <c r="E54" t="s">
        <v>89</v>
      </c>
      <c r="F54" t="s">
        <v>317</v>
      </c>
      <c r="G54" s="13" t="s">
        <v>308</v>
      </c>
      <c r="H54" t="s">
        <v>91</v>
      </c>
      <c r="I54">
        <v>0.23400000000000001</v>
      </c>
      <c r="J54">
        <v>0</v>
      </c>
      <c r="K54">
        <v>2.8358342136926399E-2</v>
      </c>
      <c r="L54" s="67">
        <v>8.5000000000000006E-2</v>
      </c>
      <c r="M54" s="70">
        <f>L54/0.007</f>
        <v>12.142857142857144</v>
      </c>
      <c r="N54" t="s">
        <v>333</v>
      </c>
      <c r="O54" t="s">
        <v>334</v>
      </c>
    </row>
    <row r="55" spans="1:15" x14ac:dyDescent="0.35">
      <c r="A55" t="s">
        <v>37</v>
      </c>
      <c r="B55" t="s">
        <v>46</v>
      </c>
      <c r="C55" t="s">
        <v>311</v>
      </c>
      <c r="D55" t="s">
        <v>320</v>
      </c>
      <c r="E55" t="s">
        <v>89</v>
      </c>
      <c r="F55" t="s">
        <v>318</v>
      </c>
      <c r="G55" s="13" t="s">
        <v>308</v>
      </c>
      <c r="H55" t="s">
        <v>91</v>
      </c>
      <c r="I55">
        <v>0.23400000000000001</v>
      </c>
      <c r="J55">
        <v>0</v>
      </c>
      <c r="K55">
        <v>2.8358342136926399E-2</v>
      </c>
      <c r="L55">
        <v>8.5999999999999993E-2</v>
      </c>
      <c r="M55" s="70">
        <f t="shared" ref="M55:M58" si="6">L55/0.007</f>
        <v>12.285714285714285</v>
      </c>
      <c r="N55" t="s">
        <v>333</v>
      </c>
      <c r="O55" t="s">
        <v>334</v>
      </c>
    </row>
    <row r="56" spans="1:15" x14ac:dyDescent="0.35">
      <c r="A56" t="s">
        <v>36</v>
      </c>
      <c r="B56" t="s">
        <v>46</v>
      </c>
      <c r="C56" t="s">
        <v>311</v>
      </c>
      <c r="D56" t="s">
        <v>320</v>
      </c>
      <c r="E56" t="s">
        <v>89</v>
      </c>
      <c r="F56" t="s">
        <v>316</v>
      </c>
      <c r="G56" s="13" t="s">
        <v>308</v>
      </c>
      <c r="H56" t="s">
        <v>91</v>
      </c>
      <c r="I56">
        <v>0.23400000000000001</v>
      </c>
      <c r="J56">
        <v>0</v>
      </c>
      <c r="K56">
        <v>2.8358342136926399E-2</v>
      </c>
      <c r="L56">
        <v>0.24099999999999999</v>
      </c>
      <c r="M56" s="70">
        <f t="shared" si="6"/>
        <v>34.428571428571423</v>
      </c>
      <c r="N56" t="s">
        <v>333</v>
      </c>
      <c r="O56" t="s">
        <v>334</v>
      </c>
    </row>
    <row r="57" spans="1:15" x14ac:dyDescent="0.35">
      <c r="A57" t="s">
        <v>36</v>
      </c>
      <c r="B57" t="s">
        <v>46</v>
      </c>
      <c r="C57" t="s">
        <v>311</v>
      </c>
      <c r="D57" t="s">
        <v>320</v>
      </c>
      <c r="E57" t="s">
        <v>89</v>
      </c>
      <c r="F57" t="s">
        <v>317</v>
      </c>
      <c r="G57" s="13" t="s">
        <v>308</v>
      </c>
      <c r="H57" t="s">
        <v>91</v>
      </c>
      <c r="I57">
        <v>0.23400000000000001</v>
      </c>
      <c r="J57">
        <v>0</v>
      </c>
      <c r="K57">
        <v>2.8358342136926399E-2</v>
      </c>
      <c r="L57" s="67">
        <v>8.5000000000000006E-2</v>
      </c>
      <c r="M57" s="70">
        <f t="shared" si="6"/>
        <v>12.142857142857144</v>
      </c>
      <c r="N57" t="s">
        <v>333</v>
      </c>
      <c r="O57" t="s">
        <v>334</v>
      </c>
    </row>
    <row r="58" spans="1:15" x14ac:dyDescent="0.35">
      <c r="A58" t="s">
        <v>36</v>
      </c>
      <c r="B58" t="s">
        <v>46</v>
      </c>
      <c r="C58" t="s">
        <v>311</v>
      </c>
      <c r="D58" t="s">
        <v>320</v>
      </c>
      <c r="E58" t="s">
        <v>89</v>
      </c>
      <c r="F58" t="s">
        <v>318</v>
      </c>
      <c r="G58" s="13" t="s">
        <v>308</v>
      </c>
      <c r="H58" t="s">
        <v>91</v>
      </c>
      <c r="I58">
        <v>0.23400000000000001</v>
      </c>
      <c r="J58">
        <v>0</v>
      </c>
      <c r="K58">
        <v>2.8358342136926399E-2</v>
      </c>
      <c r="L58">
        <v>8.5999999999999993E-2</v>
      </c>
      <c r="M58" s="70">
        <f t="shared" si="6"/>
        <v>12.285714285714285</v>
      </c>
      <c r="N58" t="s">
        <v>333</v>
      </c>
      <c r="O58" t="s">
        <v>334</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90F1B-2D07-493A-830D-4D26C0F8027E}">
  <sheetPr>
    <tabColor theme="5" tint="0.79998168889431442"/>
  </sheetPr>
  <dimension ref="A1:V19"/>
  <sheetViews>
    <sheetView topLeftCell="B1" workbookViewId="0">
      <selection activeCell="D21" sqref="D21"/>
    </sheetView>
  </sheetViews>
  <sheetFormatPr defaultRowHeight="15.5" x14ac:dyDescent="0.35"/>
  <cols>
    <col min="1" max="1" width="20.58203125" bestFit="1" customWidth="1"/>
    <col min="2" max="2" width="21.83203125" bestFit="1" customWidth="1"/>
    <col min="3" max="3" width="13" bestFit="1" customWidth="1"/>
    <col min="4" max="4" width="49.75" bestFit="1" customWidth="1"/>
    <col min="5" max="5" width="9.83203125" style="75" bestFit="1" customWidth="1"/>
    <col min="6" max="6" width="7.25" style="75" bestFit="1" customWidth="1"/>
    <col min="7" max="7" width="11.33203125" style="2" bestFit="1" customWidth="1"/>
    <col min="8" max="8" width="13.08203125" style="2" bestFit="1" customWidth="1"/>
    <col min="9" max="9" width="14.75" style="75" bestFit="1" customWidth="1"/>
    <col min="10" max="10" width="18.25" style="75" bestFit="1" customWidth="1"/>
    <col min="11" max="11" width="5.5" style="75" bestFit="1" customWidth="1"/>
    <col min="13" max="13" width="56.5" bestFit="1" customWidth="1"/>
    <col min="14" max="14" width="9.83203125" bestFit="1" customWidth="1"/>
    <col min="15" max="15" width="7.25" bestFit="1" customWidth="1"/>
    <col min="16" max="16" width="11.33203125" bestFit="1" customWidth="1"/>
    <col min="17" max="17" width="13.08203125" bestFit="1" customWidth="1"/>
    <col min="18" max="18" width="14.75" bestFit="1" customWidth="1"/>
    <col min="19" max="19" width="18.25" bestFit="1" customWidth="1"/>
    <col min="20" max="20" width="5.5" bestFit="1" customWidth="1"/>
    <col min="21" max="21" width="5" bestFit="1" customWidth="1"/>
  </cols>
  <sheetData>
    <row r="1" spans="1:22" x14ac:dyDescent="0.35">
      <c r="A1" t="s">
        <v>0</v>
      </c>
      <c r="B1" t="s">
        <v>1</v>
      </c>
      <c r="C1" t="s">
        <v>309</v>
      </c>
      <c r="D1" t="s">
        <v>314</v>
      </c>
      <c r="E1" s="75" t="s">
        <v>381</v>
      </c>
      <c r="F1" s="75" t="s">
        <v>382</v>
      </c>
      <c r="G1" s="2" t="s">
        <v>387</v>
      </c>
      <c r="H1" s="2" t="s">
        <v>386</v>
      </c>
      <c r="I1" s="75" t="s">
        <v>385</v>
      </c>
      <c r="J1" s="75" t="s">
        <v>384</v>
      </c>
      <c r="K1" s="75" t="s">
        <v>383</v>
      </c>
      <c r="M1" s="48"/>
      <c r="N1" s="48" t="s">
        <v>381</v>
      </c>
      <c r="O1" s="48" t="s">
        <v>382</v>
      </c>
      <c r="P1" s="48" t="s">
        <v>387</v>
      </c>
      <c r="Q1" s="48" t="s">
        <v>386</v>
      </c>
      <c r="R1" s="48" t="s">
        <v>385</v>
      </c>
      <c r="S1" s="48" t="s">
        <v>384</v>
      </c>
      <c r="T1" s="48" t="s">
        <v>383</v>
      </c>
      <c r="U1" s="48" t="s">
        <v>388</v>
      </c>
      <c r="V1" s="2"/>
    </row>
    <row r="2" spans="1:22" x14ac:dyDescent="0.35">
      <c r="A2" t="s">
        <v>11</v>
      </c>
      <c r="B2" t="s">
        <v>12</v>
      </c>
      <c r="C2" t="s">
        <v>310</v>
      </c>
      <c r="D2" t="s">
        <v>315</v>
      </c>
      <c r="E2" s="76">
        <v>0</v>
      </c>
      <c r="F2" s="76">
        <v>2.564102564102564E-2</v>
      </c>
      <c r="G2" s="74">
        <v>0.51282051282051277</v>
      </c>
      <c r="H2" s="74">
        <v>0.12820512820512819</v>
      </c>
      <c r="I2" s="76">
        <v>7.6923076923076927E-2</v>
      </c>
      <c r="J2" s="76">
        <v>0.15384615384615385</v>
      </c>
      <c r="K2" s="76">
        <v>0.10256410256410256</v>
      </c>
      <c r="M2" s="48" t="s">
        <v>389</v>
      </c>
      <c r="N2" s="48">
        <v>0</v>
      </c>
      <c r="O2" s="48">
        <v>1</v>
      </c>
      <c r="P2" s="48">
        <v>20</v>
      </c>
      <c r="Q2" s="48">
        <v>5</v>
      </c>
      <c r="R2" s="48">
        <v>3</v>
      </c>
      <c r="S2" s="48">
        <v>6</v>
      </c>
      <c r="T2" s="48">
        <v>4</v>
      </c>
      <c r="U2" s="48">
        <f t="shared" ref="U2:U10" si="0">SUM(N2:T2)</f>
        <v>39</v>
      </c>
      <c r="V2" s="2"/>
    </row>
    <row r="3" spans="1:22" x14ac:dyDescent="0.35">
      <c r="A3" t="s">
        <v>22</v>
      </c>
      <c r="B3" t="s">
        <v>12</v>
      </c>
      <c r="C3" t="s">
        <v>310</v>
      </c>
      <c r="D3" t="s">
        <v>22</v>
      </c>
      <c r="E3" s="76">
        <v>0</v>
      </c>
      <c r="F3" s="76">
        <v>6.7226890756302518E-2</v>
      </c>
      <c r="G3" s="74">
        <v>0.36134453781512604</v>
      </c>
      <c r="H3" s="74">
        <v>0.18487394957983194</v>
      </c>
      <c r="I3" s="76">
        <v>0.10084033613445378</v>
      </c>
      <c r="J3" s="76">
        <v>0.26050420168067229</v>
      </c>
      <c r="K3" s="76">
        <v>2.5210084033613446E-2</v>
      </c>
      <c r="M3" s="48" t="s">
        <v>390</v>
      </c>
      <c r="N3" s="48">
        <v>0</v>
      </c>
      <c r="O3" s="48">
        <v>8</v>
      </c>
      <c r="P3" s="48">
        <v>43</v>
      </c>
      <c r="Q3" s="48">
        <v>22</v>
      </c>
      <c r="R3" s="48">
        <v>12</v>
      </c>
      <c r="S3" s="48">
        <v>31</v>
      </c>
      <c r="T3" s="48">
        <v>3</v>
      </c>
      <c r="U3" s="48">
        <f t="shared" si="0"/>
        <v>119</v>
      </c>
      <c r="V3" s="2"/>
    </row>
    <row r="4" spans="1:22" x14ac:dyDescent="0.35">
      <c r="A4" t="s">
        <v>34</v>
      </c>
      <c r="B4" t="s">
        <v>12</v>
      </c>
      <c r="C4" t="s">
        <v>310</v>
      </c>
      <c r="D4" t="s">
        <v>143</v>
      </c>
      <c r="E4" s="76">
        <v>0</v>
      </c>
      <c r="F4" s="76">
        <v>0</v>
      </c>
      <c r="G4" s="74">
        <v>0.51249999999999996</v>
      </c>
      <c r="H4" s="74">
        <v>0.1875</v>
      </c>
      <c r="I4" s="76">
        <v>0.1125</v>
      </c>
      <c r="J4" s="76">
        <v>0.17499999999999999</v>
      </c>
      <c r="K4" s="76">
        <v>1.2500000000000001E-2</v>
      </c>
      <c r="M4" s="48" t="s">
        <v>391</v>
      </c>
      <c r="N4" s="48">
        <v>0</v>
      </c>
      <c r="O4" s="48">
        <v>8</v>
      </c>
      <c r="P4" s="48">
        <v>20</v>
      </c>
      <c r="Q4" s="48">
        <v>4</v>
      </c>
      <c r="R4" s="48">
        <v>2</v>
      </c>
      <c r="S4" s="48">
        <v>12</v>
      </c>
      <c r="T4" s="48">
        <v>1</v>
      </c>
      <c r="U4" s="48">
        <f t="shared" si="0"/>
        <v>47</v>
      </c>
      <c r="V4" s="2"/>
    </row>
    <row r="5" spans="1:22" x14ac:dyDescent="0.35">
      <c r="A5" t="s">
        <v>36</v>
      </c>
      <c r="B5" t="s">
        <v>12</v>
      </c>
      <c r="C5" t="s">
        <v>310</v>
      </c>
      <c r="D5" t="s">
        <v>319</v>
      </c>
      <c r="E5" s="76">
        <v>0</v>
      </c>
      <c r="F5" s="76">
        <v>0.1702127659574468</v>
      </c>
      <c r="G5" s="74">
        <v>0.42553191489361702</v>
      </c>
      <c r="H5" s="74">
        <v>8.5106382978723402E-2</v>
      </c>
      <c r="I5" s="76">
        <v>4.2553191489361701E-2</v>
      </c>
      <c r="J5" s="76">
        <v>0.25531914893617019</v>
      </c>
      <c r="K5" s="76">
        <v>2.1276595744680851E-2</v>
      </c>
      <c r="M5" s="48" t="s">
        <v>392</v>
      </c>
      <c r="N5" s="48">
        <v>0</v>
      </c>
      <c r="O5" s="48">
        <v>30</v>
      </c>
      <c r="P5" s="48">
        <v>23</v>
      </c>
      <c r="Q5" s="48">
        <v>3</v>
      </c>
      <c r="R5" s="48">
        <v>3</v>
      </c>
      <c r="S5" s="48">
        <v>6</v>
      </c>
      <c r="T5" s="48">
        <v>1</v>
      </c>
      <c r="U5" s="48">
        <f t="shared" si="0"/>
        <v>66</v>
      </c>
      <c r="V5" s="2"/>
    </row>
    <row r="6" spans="1:22" x14ac:dyDescent="0.35">
      <c r="A6" t="s">
        <v>37</v>
      </c>
      <c r="B6" t="s">
        <v>12</v>
      </c>
      <c r="C6" t="s">
        <v>310</v>
      </c>
      <c r="D6" t="s">
        <v>319</v>
      </c>
      <c r="E6" s="76">
        <v>0</v>
      </c>
      <c r="F6" s="76">
        <v>0.1702127659574468</v>
      </c>
      <c r="G6" s="74">
        <v>0.42553191489361702</v>
      </c>
      <c r="H6" s="74">
        <v>8.5106382978723402E-2</v>
      </c>
      <c r="I6" s="76">
        <v>4.2553191489361701E-2</v>
      </c>
      <c r="J6" s="76">
        <v>0.25531914893617019</v>
      </c>
      <c r="K6" s="76">
        <v>2.1276595744680851E-2</v>
      </c>
      <c r="M6" s="48" t="s">
        <v>393</v>
      </c>
      <c r="N6" s="48">
        <v>0</v>
      </c>
      <c r="O6" s="48">
        <v>0</v>
      </c>
      <c r="P6" s="48">
        <v>41</v>
      </c>
      <c r="Q6" s="48">
        <v>15</v>
      </c>
      <c r="R6" s="48">
        <v>9</v>
      </c>
      <c r="S6" s="48">
        <v>14</v>
      </c>
      <c r="T6" s="48">
        <v>1</v>
      </c>
      <c r="U6" s="48">
        <f t="shared" si="0"/>
        <v>80</v>
      </c>
      <c r="V6" s="2"/>
    </row>
    <row r="7" spans="1:22" x14ac:dyDescent="0.35">
      <c r="A7" t="s">
        <v>43</v>
      </c>
      <c r="B7" t="s">
        <v>12</v>
      </c>
      <c r="C7" t="s">
        <v>310</v>
      </c>
      <c r="D7" t="s">
        <v>319</v>
      </c>
      <c r="E7" s="76">
        <v>0</v>
      </c>
      <c r="F7" s="76">
        <v>0.1702127659574468</v>
      </c>
      <c r="G7" s="74">
        <v>0.42553191489361702</v>
      </c>
      <c r="H7" s="74">
        <v>8.5106382978723402E-2</v>
      </c>
      <c r="I7" s="76">
        <v>4.2553191489361701E-2</v>
      </c>
      <c r="J7" s="76">
        <v>0.25531914893617019</v>
      </c>
      <c r="K7" s="76">
        <v>2.1276595744680851E-2</v>
      </c>
      <c r="M7" s="48" t="s">
        <v>394</v>
      </c>
      <c r="N7" s="48">
        <v>8</v>
      </c>
      <c r="O7" s="48">
        <v>0</v>
      </c>
      <c r="P7" s="48">
        <v>0</v>
      </c>
      <c r="Q7" s="48">
        <v>2</v>
      </c>
      <c r="R7" s="48">
        <v>0</v>
      </c>
      <c r="S7" s="48">
        <v>4</v>
      </c>
      <c r="T7" s="48">
        <v>0</v>
      </c>
      <c r="U7" s="48">
        <f t="shared" si="0"/>
        <v>14</v>
      </c>
      <c r="V7" s="2"/>
    </row>
    <row r="8" spans="1:22" x14ac:dyDescent="0.35">
      <c r="A8" t="s">
        <v>42</v>
      </c>
      <c r="B8" t="s">
        <v>12</v>
      </c>
      <c r="C8" t="s">
        <v>310</v>
      </c>
      <c r="D8" t="s">
        <v>319</v>
      </c>
      <c r="E8" s="76">
        <v>0</v>
      </c>
      <c r="F8" s="76">
        <v>0.1702127659574468</v>
      </c>
      <c r="G8" s="74">
        <v>0.42553191489361702</v>
      </c>
      <c r="H8" s="74">
        <v>8.5106382978723402E-2</v>
      </c>
      <c r="I8" s="76">
        <v>4.2553191489361701E-2</v>
      </c>
      <c r="J8" s="76">
        <v>0.25531914893617019</v>
      </c>
      <c r="K8" s="76">
        <v>2.1276595744680851E-2</v>
      </c>
      <c r="M8" s="48" t="s">
        <v>395</v>
      </c>
      <c r="N8" s="48">
        <v>0</v>
      </c>
      <c r="O8" s="48">
        <v>0</v>
      </c>
      <c r="P8" s="48">
        <v>0</v>
      </c>
      <c r="Q8" s="48">
        <v>26</v>
      </c>
      <c r="R8" s="48">
        <v>21</v>
      </c>
      <c r="S8" s="48">
        <v>17</v>
      </c>
      <c r="T8" s="48">
        <v>0</v>
      </c>
      <c r="U8" s="48">
        <f t="shared" si="0"/>
        <v>64</v>
      </c>
      <c r="V8" s="2"/>
    </row>
    <row r="9" spans="1:22" x14ac:dyDescent="0.35">
      <c r="A9" t="s">
        <v>11</v>
      </c>
      <c r="B9" t="s">
        <v>19</v>
      </c>
      <c r="C9" t="s">
        <v>311</v>
      </c>
      <c r="D9" t="s">
        <v>321</v>
      </c>
      <c r="E9" s="76">
        <v>0</v>
      </c>
      <c r="F9" s="76">
        <v>0</v>
      </c>
      <c r="G9" s="74">
        <v>0</v>
      </c>
      <c r="H9" s="74">
        <v>0.40625</v>
      </c>
      <c r="I9" s="76">
        <v>0.328125</v>
      </c>
      <c r="J9" s="76">
        <v>0.265625</v>
      </c>
      <c r="K9" s="76">
        <v>0</v>
      </c>
      <c r="M9" s="48" t="s">
        <v>396</v>
      </c>
      <c r="N9" s="48">
        <v>0</v>
      </c>
      <c r="O9" s="48">
        <v>0</v>
      </c>
      <c r="P9" s="48">
        <v>0</v>
      </c>
      <c r="Q9" s="48">
        <v>1</v>
      </c>
      <c r="R9" s="48">
        <v>0</v>
      </c>
      <c r="S9" s="48">
        <v>20</v>
      </c>
      <c r="T9" s="48">
        <v>0</v>
      </c>
      <c r="U9" s="48">
        <f t="shared" si="0"/>
        <v>21</v>
      </c>
      <c r="V9" s="2"/>
    </row>
    <row r="10" spans="1:22" x14ac:dyDescent="0.35">
      <c r="A10" t="s">
        <v>40</v>
      </c>
      <c r="B10" t="s">
        <v>19</v>
      </c>
      <c r="C10" t="s">
        <v>311</v>
      </c>
      <c r="D10" t="s">
        <v>321</v>
      </c>
      <c r="E10" s="77">
        <v>0</v>
      </c>
      <c r="F10" s="77">
        <v>0</v>
      </c>
      <c r="G10" s="58">
        <v>0</v>
      </c>
      <c r="H10" s="58">
        <v>0.40625</v>
      </c>
      <c r="I10" s="77">
        <v>0.328125</v>
      </c>
      <c r="J10" s="77">
        <v>0.265625</v>
      </c>
      <c r="K10" s="77">
        <v>0</v>
      </c>
      <c r="M10" s="48" t="s">
        <v>397</v>
      </c>
      <c r="N10" s="48">
        <v>21</v>
      </c>
      <c r="O10" s="48">
        <v>0</v>
      </c>
      <c r="P10" s="48">
        <v>0</v>
      </c>
      <c r="Q10" s="48">
        <v>22</v>
      </c>
      <c r="R10" s="48">
        <v>47</v>
      </c>
      <c r="S10" s="48">
        <v>81</v>
      </c>
      <c r="T10" s="48">
        <v>1</v>
      </c>
      <c r="U10" s="48">
        <f t="shared" si="0"/>
        <v>172</v>
      </c>
      <c r="V10" s="2"/>
    </row>
    <row r="11" spans="1:22" x14ac:dyDescent="0.35">
      <c r="A11" t="s">
        <v>37</v>
      </c>
      <c r="B11" t="s">
        <v>19</v>
      </c>
      <c r="C11" t="s">
        <v>311</v>
      </c>
      <c r="D11" t="s">
        <v>320</v>
      </c>
      <c r="E11" s="77">
        <v>0.5714285714285714</v>
      </c>
      <c r="F11" s="77">
        <v>0</v>
      </c>
      <c r="G11" s="58">
        <v>0</v>
      </c>
      <c r="H11" s="58">
        <v>0.14285714285714285</v>
      </c>
      <c r="I11" s="77">
        <v>0</v>
      </c>
      <c r="J11" s="77">
        <v>0.2857142857142857</v>
      </c>
      <c r="K11" s="77">
        <v>0</v>
      </c>
      <c r="M11" s="73" t="s">
        <v>398</v>
      </c>
      <c r="N11" s="2"/>
      <c r="O11" s="2"/>
      <c r="P11" s="2"/>
      <c r="Q11" s="2"/>
      <c r="R11" s="2"/>
      <c r="S11" s="2"/>
      <c r="T11" s="2"/>
      <c r="U11" s="2"/>
      <c r="V11" s="2"/>
    </row>
    <row r="12" spans="1:22" x14ac:dyDescent="0.35">
      <c r="A12" t="s">
        <v>36</v>
      </c>
      <c r="B12" t="s">
        <v>19</v>
      </c>
      <c r="C12" t="s">
        <v>311</v>
      </c>
      <c r="D12" t="s">
        <v>320</v>
      </c>
      <c r="E12" s="77">
        <v>0.5714285714285714</v>
      </c>
      <c r="F12" s="77">
        <v>0</v>
      </c>
      <c r="G12" s="58">
        <v>0</v>
      </c>
      <c r="H12" s="58">
        <v>0.14285714285714285</v>
      </c>
      <c r="I12" s="77">
        <v>0</v>
      </c>
      <c r="J12" s="77">
        <v>0.2857142857142857</v>
      </c>
      <c r="K12" s="77">
        <v>0</v>
      </c>
    </row>
    <row r="13" spans="1:22" x14ac:dyDescent="0.35">
      <c r="A13" t="s">
        <v>43</v>
      </c>
      <c r="B13" t="s">
        <v>19</v>
      </c>
      <c r="C13" t="s">
        <v>311</v>
      </c>
      <c r="D13" t="s">
        <v>321</v>
      </c>
      <c r="E13" s="77">
        <v>0</v>
      </c>
      <c r="F13" s="77">
        <v>0</v>
      </c>
      <c r="G13" s="58">
        <v>0</v>
      </c>
      <c r="H13" s="58">
        <v>0.40625</v>
      </c>
      <c r="I13" s="77">
        <v>0.328125</v>
      </c>
      <c r="J13" s="77">
        <v>0.265625</v>
      </c>
      <c r="K13" s="77">
        <v>0</v>
      </c>
    </row>
    <row r="14" spans="1:22" x14ac:dyDescent="0.35">
      <c r="A14" t="s">
        <v>42</v>
      </c>
      <c r="B14" t="s">
        <v>19</v>
      </c>
      <c r="C14" t="s">
        <v>311</v>
      </c>
      <c r="D14" t="s">
        <v>321</v>
      </c>
      <c r="E14" s="77">
        <v>0</v>
      </c>
      <c r="F14" s="77">
        <v>0</v>
      </c>
      <c r="G14" s="58">
        <v>0</v>
      </c>
      <c r="H14" s="58">
        <v>0.40625</v>
      </c>
      <c r="I14" s="77">
        <v>0.328125</v>
      </c>
      <c r="J14" s="77">
        <v>0.265625</v>
      </c>
      <c r="K14" s="77">
        <v>0</v>
      </c>
    </row>
    <row r="15" spans="1:22" x14ac:dyDescent="0.35">
      <c r="A15" t="s">
        <v>43</v>
      </c>
      <c r="B15" t="s">
        <v>38</v>
      </c>
      <c r="C15" t="s">
        <v>311</v>
      </c>
      <c r="D15" t="s">
        <v>377</v>
      </c>
      <c r="E15" s="76">
        <v>0</v>
      </c>
      <c r="F15" s="76">
        <v>0</v>
      </c>
      <c r="G15" s="74">
        <v>0</v>
      </c>
      <c r="H15" s="74">
        <v>4.7619047619047616E-2</v>
      </c>
      <c r="I15" s="76">
        <v>0</v>
      </c>
      <c r="J15" s="76">
        <v>0.95238095238095233</v>
      </c>
      <c r="K15" s="76">
        <v>0</v>
      </c>
    </row>
    <row r="16" spans="1:22" x14ac:dyDescent="0.35">
      <c r="A16" t="s">
        <v>42</v>
      </c>
      <c r="B16" t="s">
        <v>38</v>
      </c>
      <c r="C16" t="s">
        <v>311</v>
      </c>
      <c r="D16" t="s">
        <v>377</v>
      </c>
      <c r="E16" s="77">
        <v>0</v>
      </c>
      <c r="F16" s="77">
        <v>0</v>
      </c>
      <c r="G16" s="58">
        <v>0</v>
      </c>
      <c r="H16" s="58">
        <v>4.7619047619047616E-2</v>
      </c>
      <c r="I16" s="77">
        <v>0</v>
      </c>
      <c r="J16" s="77">
        <v>0.95238095238095233</v>
      </c>
      <c r="K16" s="77">
        <v>0</v>
      </c>
    </row>
    <row r="17" spans="1:11" x14ac:dyDescent="0.35">
      <c r="A17" t="s">
        <v>48</v>
      </c>
      <c r="B17" t="s">
        <v>46</v>
      </c>
      <c r="C17" t="s">
        <v>311</v>
      </c>
      <c r="D17" t="s">
        <v>322</v>
      </c>
      <c r="E17" s="76">
        <v>0.12209302325581395</v>
      </c>
      <c r="F17" s="76">
        <v>0</v>
      </c>
      <c r="G17" s="74">
        <v>0</v>
      </c>
      <c r="H17" s="74">
        <v>0.12790697674418605</v>
      </c>
      <c r="I17" s="76">
        <v>0.27325581395348836</v>
      </c>
      <c r="J17" s="76">
        <v>0.47093023255813954</v>
      </c>
      <c r="K17" s="76">
        <v>5.8139534883720929E-3</v>
      </c>
    </row>
    <row r="18" spans="1:11" x14ac:dyDescent="0.35">
      <c r="A18" t="s">
        <v>37</v>
      </c>
      <c r="B18" t="s">
        <v>46</v>
      </c>
      <c r="C18" t="s">
        <v>311</v>
      </c>
      <c r="D18" t="s">
        <v>320</v>
      </c>
      <c r="E18" s="77">
        <v>0.5714285714285714</v>
      </c>
      <c r="F18" s="77">
        <v>0</v>
      </c>
      <c r="G18" s="58">
        <v>0</v>
      </c>
      <c r="H18" s="58">
        <v>0.14285714285714285</v>
      </c>
      <c r="I18" s="77">
        <v>0</v>
      </c>
      <c r="J18" s="77">
        <v>0.2857142857142857</v>
      </c>
      <c r="K18" s="77">
        <v>0</v>
      </c>
    </row>
    <row r="19" spans="1:11" x14ac:dyDescent="0.35">
      <c r="A19" t="s">
        <v>36</v>
      </c>
      <c r="B19" t="s">
        <v>46</v>
      </c>
      <c r="C19" t="s">
        <v>311</v>
      </c>
      <c r="D19" t="s">
        <v>320</v>
      </c>
      <c r="E19" s="77">
        <v>0.5714285714285714</v>
      </c>
      <c r="F19" s="77">
        <v>0</v>
      </c>
      <c r="G19" s="58">
        <v>0</v>
      </c>
      <c r="H19" s="58">
        <v>0.14285714285714285</v>
      </c>
      <c r="I19" s="77">
        <v>0</v>
      </c>
      <c r="J19" s="77">
        <v>0.2857142857142857</v>
      </c>
      <c r="K19" s="77">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B6CA4-5F91-483F-9DB3-0E00AF0370F3}">
  <sheetPr>
    <tabColor theme="5" tint="0.79998168889431442"/>
  </sheetPr>
  <dimension ref="A1:G3"/>
  <sheetViews>
    <sheetView tabSelected="1" workbookViewId="0">
      <selection activeCell="C1" sqref="C1:C3"/>
    </sheetView>
  </sheetViews>
  <sheetFormatPr defaultRowHeight="15.5" x14ac:dyDescent="0.35"/>
  <cols>
    <col min="1" max="1" width="10.33203125" bestFit="1" customWidth="1"/>
    <col min="2" max="2" width="19.33203125" bestFit="1" customWidth="1"/>
    <col min="3" max="3" width="15.5" bestFit="1" customWidth="1"/>
    <col min="4" max="4" width="15.58203125" bestFit="1" customWidth="1"/>
    <col min="5" max="5" width="11.5" bestFit="1" customWidth="1"/>
    <col min="6" max="6" width="67.08203125" bestFit="1" customWidth="1"/>
    <col min="7" max="7" width="44.5" bestFit="1" customWidth="1"/>
  </cols>
  <sheetData>
    <row r="1" spans="1:7" x14ac:dyDescent="0.35">
      <c r="A1" s="55" t="s">
        <v>1</v>
      </c>
      <c r="B1" s="55" t="s">
        <v>50</v>
      </c>
      <c r="C1" s="55" t="s">
        <v>2</v>
      </c>
      <c r="D1" t="s">
        <v>28</v>
      </c>
      <c r="E1" t="s">
        <v>29</v>
      </c>
      <c r="F1" t="s">
        <v>9</v>
      </c>
      <c r="G1" t="s">
        <v>54</v>
      </c>
    </row>
    <row r="2" spans="1:7" x14ac:dyDescent="0.35">
      <c r="A2" s="55" t="s">
        <v>19</v>
      </c>
      <c r="B2" s="55" t="s">
        <v>160</v>
      </c>
      <c r="C2" s="55" t="s">
        <v>345</v>
      </c>
      <c r="D2" t="s">
        <v>349</v>
      </c>
      <c r="E2" s="70">
        <f>34752*1000000/126832800000</f>
        <v>0.27399852404109976</v>
      </c>
      <c r="F2" t="s">
        <v>348</v>
      </c>
      <c r="G2" s="68" t="s">
        <v>347</v>
      </c>
    </row>
    <row r="3" spans="1:7" x14ac:dyDescent="0.35">
      <c r="A3" s="55" t="s">
        <v>19</v>
      </c>
      <c r="B3" s="55" t="s">
        <v>160</v>
      </c>
      <c r="C3" s="55" t="s">
        <v>346</v>
      </c>
      <c r="D3" t="s">
        <v>351</v>
      </c>
      <c r="E3" s="70">
        <f>343*1000000/126832800000</f>
        <v>2.7043477712389856E-3</v>
      </c>
      <c r="F3" t="s">
        <v>350</v>
      </c>
      <c r="G3" s="68" t="s">
        <v>347</v>
      </c>
    </row>
  </sheetData>
  <hyperlinks>
    <hyperlink ref="G2" r:id="rId1" display="https://arb.ca.gov/emfac/meta/on-road-hdv" xr:uid="{F07D1BF2-06AD-4598-AF94-C04C6DE054AA}"/>
    <hyperlink ref="G3" r:id="rId2" display="https://arb.ca.gov/emfac/meta/on-road-hdv" xr:uid="{61D1EEAB-16A7-441D-9D2C-18104D78ACFE}"/>
  </hyperlinks>
  <pageMargins left="0.7" right="0.7" top="0.75" bottom="0.75" header="0.3" footer="0.3"/>
</worksheet>
</file>

<file path=docMetadata/LabelInfo.xml><?xml version="1.0" encoding="utf-8"?>
<clbl:labelList xmlns:clbl="http://schemas.microsoft.com/office/2020/mipLabelMetadata">
  <clbl:label id="{78975c20-18d4-40c9-811f-0d8ea387c6ea}" enabled="0" method="" siteId="{78975c20-18d4-40c9-811f-0d8ea387c6ea}"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F2C Conversion</vt:lpstr>
      <vt:lpstr>F2C Land</vt:lpstr>
      <vt:lpstr>F2C CI</vt:lpstr>
      <vt:lpstr>C2U UO Adjustment</vt:lpstr>
      <vt:lpstr>C2U CI</vt:lpstr>
      <vt:lpstr>F2C Water</vt:lpstr>
      <vt:lpstr>F2C Jobs</vt:lpstr>
      <vt:lpstr>Job_IndustryWeights</vt:lpstr>
      <vt:lpstr>Emissions</vt:lpstr>
      <vt:lpstr>Commodity Prices</vt:lpstr>
      <vt:lpstr>F2C Jobs old</vt:lpstr>
      <vt:lpstr>Infrastructure</vt:lpstr>
      <vt:lpstr>Unit Conversion</vt:lpstr>
      <vt:lpstr>Conversion</vt:lpstr>
      <vt:lpstr>Feedstock to Commodity Buildout</vt:lpstr>
      <vt:lpstr>Commodity to Use Buildout</vt:lpstr>
      <vt:lpstr>F2C_ver2</vt:lpstr>
      <vt:lpstr>Commodity To Use Matrix</vt:lpstr>
      <vt:lpstr>table from Julia (to be deleted</vt:lpstr>
      <vt:lpstr>Feedstock to Commodity 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Nidhi Kalra</dc:creator>
  <cp:keywords/>
  <dc:description/>
  <cp:lastModifiedBy>Javier Rojas Aguilera</cp:lastModifiedBy>
  <cp:revision/>
  <dcterms:created xsi:type="dcterms:W3CDTF">2023-12-14T21:11:30Z</dcterms:created>
  <dcterms:modified xsi:type="dcterms:W3CDTF">2024-02-22T23:40:36Z</dcterms:modified>
  <cp:category/>
  <cp:contentStatus/>
</cp:coreProperties>
</file>