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syme/Documents/Projects/git_jbus/lac_decarbonization/ref/data_tables_and_derivations/ENERGY/"/>
    </mc:Choice>
  </mc:AlternateContent>
  <xr:revisionPtr revIDLastSave="0" documentId="13_ncr:1_{ECB74293-E80E-2444-AE69-273B0FC8C615}" xr6:coauthVersionLast="47" xr6:coauthVersionMax="47" xr10:uidLastSave="{00000000-0000-0000-0000-000000000000}"/>
  <bookViews>
    <workbookView xWindow="4820" yWindow="500" windowWidth="26300" windowHeight="20260" firstSheet="6" activeTab="13" xr2:uid="{5FFDFBED-0EDA-184B-B159-D6A0BE4DEBC4}"/>
  </bookViews>
  <sheets>
    <sheet name="intro" sheetId="2" r:id="rId1"/>
    <sheet name="oil_production" sheetId="1" r:id="rId2"/>
    <sheet name="oil_price" sheetId="5" r:id="rId3"/>
    <sheet name="natural_gas_production" sheetId="4" r:id="rId4"/>
    <sheet name="coal_production" sheetId="3" r:id="rId5"/>
    <sheet name="coal_price" sheetId="6" r:id="rId6"/>
    <sheet name="hydrogen_production" sheetId="11" r:id="rId7"/>
    <sheet name="fuel_production" sheetId="13" r:id="rId8"/>
    <sheet name="water borne transport effic" sheetId="12" r:id="rId9"/>
    <sheet name="uranium_price" sheetId="8" r:id="rId10"/>
    <sheet name="biomass_price" sheetId="9" r:id="rId11"/>
    <sheet name="natural_gas_price" sheetId="7" r:id="rId12"/>
    <sheet name="prices" sheetId="14" r:id="rId13"/>
    <sheet name="rail_efficiencies" sheetId="15" r:id="rId14"/>
    <sheet name="public_efficiencies" sheetId="16" r:id="rId15"/>
  </sheets>
  <definedNames>
    <definedName name="_xlnm._FilterDatabase" localSheetId="12" hidden="1">prices!$A$1:$T$26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6" i="15" l="1"/>
  <c r="C66" i="15"/>
  <c r="C65" i="15"/>
  <c r="B65" i="15"/>
  <c r="D65" i="15"/>
  <c r="D66" i="15"/>
  <c r="A60" i="15"/>
  <c r="A58" i="15"/>
  <c r="A57" i="15"/>
  <c r="A41" i="15"/>
  <c r="A42" i="15" s="1"/>
  <c r="A18" i="16"/>
  <c r="C32" i="16"/>
  <c r="D28" i="16"/>
  <c r="C31" i="16"/>
  <c r="C30" i="16"/>
  <c r="C28" i="16"/>
  <c r="K21" i="15"/>
  <c r="G27" i="15"/>
  <c r="D28" i="15"/>
  <c r="A27" i="15"/>
  <c r="A28" i="15" s="1"/>
  <c r="A29" i="15" s="1"/>
  <c r="A33" i="15" s="1"/>
  <c r="A34" i="15" s="1"/>
  <c r="C6" i="15"/>
  <c r="C7" i="15" s="1"/>
  <c r="H4" i="11"/>
  <c r="H3" i="11"/>
  <c r="F3" i="11"/>
  <c r="L13" i="11"/>
  <c r="L12" i="11"/>
  <c r="J14" i="11"/>
  <c r="J13" i="11"/>
  <c r="F6" i="5"/>
  <c r="F5" i="5"/>
  <c r="W14" i="14"/>
  <c r="V14" i="14"/>
  <c r="O9" i="14"/>
  <c r="O18" i="14"/>
  <c r="W6" i="14"/>
  <c r="O17" i="14"/>
  <c r="O16" i="14"/>
  <c r="O14" i="14"/>
  <c r="O13" i="14"/>
  <c r="O11" i="14"/>
  <c r="O8" i="14"/>
  <c r="O7" i="14"/>
  <c r="O6" i="14"/>
  <c r="O4" i="14"/>
  <c r="P18" i="3"/>
  <c r="L18" i="3"/>
  <c r="U18" i="3"/>
  <c r="Z18" i="3" s="1"/>
  <c r="X18" i="3" s="1"/>
  <c r="L9" i="4"/>
  <c r="N3" i="4"/>
  <c r="N4" i="4" s="1"/>
  <c r="N2" i="4"/>
  <c r="B3" i="4"/>
  <c r="B2" i="4"/>
  <c r="E4" i="4"/>
  <c r="B4" i="4"/>
  <c r="G3" i="4"/>
  <c r="G2" i="4"/>
  <c r="G1" i="4"/>
  <c r="A44" i="15" l="1"/>
  <c r="D47" i="15"/>
  <c r="C47" i="15" s="1"/>
  <c r="Y21" i="3"/>
  <c r="X21" i="3"/>
  <c r="X20" i="3"/>
  <c r="Y20" i="3"/>
  <c r="Y19" i="3"/>
  <c r="L31" i="3"/>
  <c r="P31" i="3" s="1"/>
  <c r="Z20" i="3" s="1"/>
  <c r="N31" i="3"/>
  <c r="G31" i="3"/>
  <c r="H31" i="3"/>
  <c r="G30" i="3"/>
  <c r="C30" i="3"/>
  <c r="G18" i="3"/>
  <c r="N18" i="3"/>
  <c r="O18" i="3"/>
  <c r="R8" i="3"/>
  <c r="S8" i="3" s="1"/>
  <c r="R7" i="3"/>
  <c r="S7" i="3"/>
  <c r="P7" i="3"/>
  <c r="K21" i="3"/>
  <c r="L21" i="3"/>
  <c r="Z19" i="3"/>
  <c r="T18" i="3"/>
  <c r="S18" i="3"/>
  <c r="P19" i="3"/>
  <c r="L19" i="3"/>
  <c r="L20" i="3"/>
  <c r="L22" i="3"/>
  <c r="J18" i="3"/>
  <c r="G19" i="3"/>
  <c r="H19" i="3"/>
  <c r="G20" i="3"/>
  <c r="H20" i="3"/>
  <c r="G21" i="3"/>
  <c r="H21" i="3"/>
  <c r="G22" i="3"/>
  <c r="H22" i="3"/>
  <c r="H18" i="3"/>
  <c r="B7" i="3"/>
  <c r="B6" i="3"/>
  <c r="B5" i="3"/>
  <c r="E2" i="3"/>
  <c r="B4" i="3"/>
  <c r="L11" i="3"/>
  <c r="M11" i="3"/>
  <c r="E5" i="3"/>
  <c r="D22" i="1"/>
  <c r="J20" i="1" s="1"/>
  <c r="C21" i="1"/>
  <c r="I19" i="1" s="1"/>
  <c r="L10" i="4"/>
  <c r="C11" i="4"/>
  <c r="D81" i="1"/>
  <c r="C81" i="1"/>
  <c r="D76" i="1"/>
  <c r="E76" i="1"/>
  <c r="C76" i="1"/>
  <c r="C80" i="1"/>
  <c r="D80" i="1"/>
  <c r="B80" i="1"/>
  <c r="F36" i="4"/>
  <c r="H36" i="4"/>
  <c r="G36" i="4"/>
  <c r="H38" i="4"/>
  <c r="G38" i="4"/>
  <c r="F38" i="4"/>
  <c r="B38" i="4"/>
  <c r="B37" i="4"/>
  <c r="B23" i="4"/>
  <c r="B28" i="4"/>
  <c r="B36" i="4"/>
  <c r="E47" i="11"/>
  <c r="E48" i="11" s="1"/>
  <c r="I56" i="11" s="1"/>
  <c r="J56" i="11" s="1"/>
  <c r="D6" i="13"/>
  <c r="C6" i="13"/>
  <c r="E6" i="13"/>
  <c r="C27" i="13"/>
  <c r="D27" i="13"/>
  <c r="C28" i="13"/>
  <c r="D28" i="13"/>
  <c r="C29" i="13"/>
  <c r="D29" i="13"/>
  <c r="C30" i="13"/>
  <c r="D30" i="13"/>
  <c r="D26" i="13"/>
  <c r="C26" i="13"/>
  <c r="C25" i="13"/>
  <c r="B25" i="13"/>
  <c r="D24" i="13"/>
  <c r="D25" i="13" s="1"/>
  <c r="E27" i="13" s="1"/>
  <c r="E16" i="13"/>
  <c r="U14" i="13"/>
  <c r="U11" i="13"/>
  <c r="U12" i="13"/>
  <c r="U13" i="13"/>
  <c r="U10" i="13"/>
  <c r="D34" i="13"/>
  <c r="D35" i="13"/>
  <c r="B35" i="13"/>
  <c r="C37" i="13" s="1"/>
  <c r="C35" i="13"/>
  <c r="C20" i="13"/>
  <c r="D20" i="13"/>
  <c r="D16" i="13"/>
  <c r="C16" i="13"/>
  <c r="B15" i="13"/>
  <c r="C15" i="13"/>
  <c r="D14" i="13"/>
  <c r="B5" i="13"/>
  <c r="C5" i="13"/>
  <c r="D4" i="13"/>
  <c r="N5" i="13"/>
  <c r="O5" i="13" s="1"/>
  <c r="N6" i="13"/>
  <c r="O6" i="13" s="1"/>
  <c r="N4" i="13"/>
  <c r="O4" i="13" s="1"/>
  <c r="D15" i="13"/>
  <c r="B49" i="11"/>
  <c r="B50" i="11" s="1"/>
  <c r="C8" i="12"/>
  <c r="C9" i="12" s="1"/>
  <c r="C10" i="12" s="1"/>
  <c r="B8" i="12"/>
  <c r="B9" i="12" s="1"/>
  <c r="B10" i="12" s="1"/>
  <c r="B10" i="11"/>
  <c r="B12" i="11" s="1"/>
  <c r="C28" i="4"/>
  <c r="E2" i="4"/>
  <c r="B47" i="11"/>
  <c r="O9" i="4"/>
  <c r="O11" i="4"/>
  <c r="O12" i="4"/>
  <c r="E15" i="4"/>
  <c r="E16" i="4"/>
  <c r="E17" i="4"/>
  <c r="N12" i="4" s="1"/>
  <c r="D17" i="4"/>
  <c r="M12" i="4" s="1"/>
  <c r="C17" i="4"/>
  <c r="L12" i="4" s="1"/>
  <c r="D16" i="4"/>
  <c r="C16" i="4"/>
  <c r="D15" i="4"/>
  <c r="C15" i="4"/>
  <c r="E14" i="4"/>
  <c r="D14" i="4"/>
  <c r="C14" i="4"/>
  <c r="L11" i="4" s="1"/>
  <c r="D13" i="4"/>
  <c r="C12" i="4"/>
  <c r="D12" i="4"/>
  <c r="E12" i="4"/>
  <c r="F12" i="4"/>
  <c r="E11" i="4"/>
  <c r="D11" i="4"/>
  <c r="C10" i="4"/>
  <c r="D10" i="4"/>
  <c r="E10" i="4"/>
  <c r="F10" i="4"/>
  <c r="E9" i="4"/>
  <c r="D9" i="4"/>
  <c r="C9" i="4"/>
  <c r="D26" i="3"/>
  <c r="E26" i="3"/>
  <c r="C26" i="3"/>
  <c r="D25" i="3"/>
  <c r="E25" i="3"/>
  <c r="E27" i="3" s="1"/>
  <c r="E31" i="3" s="1"/>
  <c r="C25" i="3"/>
  <c r="D8" i="6"/>
  <c r="J21" i="1"/>
  <c r="K21" i="1"/>
  <c r="L21" i="1"/>
  <c r="I21" i="1"/>
  <c r="N39" i="1"/>
  <c r="O39" i="1"/>
  <c r="P39" i="1"/>
  <c r="Q39" i="1"/>
  <c r="N40" i="1"/>
  <c r="N42" i="1" s="1"/>
  <c r="N43" i="1" s="1"/>
  <c r="O40" i="1"/>
  <c r="P40" i="1"/>
  <c r="Q40" i="1"/>
  <c r="N41" i="1"/>
  <c r="O41" i="1"/>
  <c r="P41" i="1"/>
  <c r="Q41" i="1"/>
  <c r="L19" i="1"/>
  <c r="L20" i="1"/>
  <c r="K22" i="3"/>
  <c r="F23" i="1"/>
  <c r="F43" i="1" s="1"/>
  <c r="F46" i="1" s="1"/>
  <c r="E23" i="1"/>
  <c r="K18" i="1" s="1"/>
  <c r="E22" i="1"/>
  <c r="K20" i="1" s="1"/>
  <c r="E21" i="1"/>
  <c r="K19" i="1" s="1"/>
  <c r="D23" i="1"/>
  <c r="J18" i="1" s="1"/>
  <c r="D21" i="1"/>
  <c r="J19" i="1" s="1"/>
  <c r="C23" i="1"/>
  <c r="I18" i="1" s="1"/>
  <c r="C22" i="1"/>
  <c r="I20" i="1" s="1"/>
  <c r="C32" i="1"/>
  <c r="B9" i="6"/>
  <c r="B8" i="6"/>
  <c r="B7" i="6"/>
  <c r="B6" i="6"/>
  <c r="B3" i="6"/>
  <c r="B2" i="3"/>
  <c r="B1" i="3"/>
  <c r="B3" i="9"/>
  <c r="B2" i="9"/>
  <c r="A5" i="8"/>
  <c r="A4" i="8"/>
  <c r="B2" i="5"/>
  <c r="F4" i="5"/>
  <c r="F2" i="5"/>
  <c r="B12" i="3"/>
  <c r="F4" i="1"/>
  <c r="F6" i="1" s="1"/>
  <c r="F7" i="1" s="1"/>
  <c r="F2" i="1"/>
  <c r="C2" i="1" s="1"/>
  <c r="C3" i="1" s="1"/>
  <c r="B47" i="15" l="1"/>
  <c r="D48" i="15"/>
  <c r="C48" i="15" s="1"/>
  <c r="B48" i="15"/>
  <c r="I57" i="11"/>
  <c r="I58" i="11"/>
  <c r="B24" i="12"/>
  <c r="B29" i="4"/>
  <c r="B31" i="4" s="1"/>
  <c r="D29" i="4"/>
  <c r="C29" i="4"/>
  <c r="M11" i="4"/>
  <c r="N11" i="4"/>
  <c r="O10" i="4"/>
  <c r="N10" i="4"/>
  <c r="M10" i="4"/>
  <c r="F57" i="11"/>
  <c r="D61" i="11" s="1"/>
  <c r="F58" i="11"/>
  <c r="F56" i="11"/>
  <c r="G56" i="11" s="1"/>
  <c r="F61" i="11" s="1"/>
  <c r="E49" i="11"/>
  <c r="C12" i="11"/>
  <c r="B13" i="11" s="1"/>
  <c r="C13" i="11" s="1"/>
  <c r="B48" i="11"/>
  <c r="E26" i="13"/>
  <c r="E30" i="13"/>
  <c r="E29" i="13"/>
  <c r="E28" i="13"/>
  <c r="D19" i="13"/>
  <c r="E7" i="13"/>
  <c r="C19" i="13"/>
  <c r="D18" i="13"/>
  <c r="C18" i="13"/>
  <c r="D17" i="13"/>
  <c r="D5" i="13"/>
  <c r="D7" i="13" s="1"/>
  <c r="E37" i="13"/>
  <c r="G37" i="13" s="1"/>
  <c r="C17" i="13"/>
  <c r="E17" i="13"/>
  <c r="D40" i="13"/>
  <c r="C36" i="13"/>
  <c r="D36" i="13"/>
  <c r="C40" i="13"/>
  <c r="D39" i="13"/>
  <c r="C39" i="13"/>
  <c r="D38" i="13"/>
  <c r="C38" i="13"/>
  <c r="D37" i="13"/>
  <c r="E40" i="13"/>
  <c r="E38" i="13"/>
  <c r="G38" i="13" s="1"/>
  <c r="E39" i="13"/>
  <c r="G39" i="13" s="1"/>
  <c r="E36" i="13"/>
  <c r="E19" i="13"/>
  <c r="E20" i="13"/>
  <c r="E18" i="13"/>
  <c r="C27" i="3"/>
  <c r="C31" i="3" s="1"/>
  <c r="D27" i="3"/>
  <c r="D31" i="3" s="1"/>
  <c r="K31" i="3" s="1"/>
  <c r="D30" i="3"/>
  <c r="L30" i="3" s="1"/>
  <c r="E30" i="3"/>
  <c r="H30" i="3" s="1"/>
  <c r="M9" i="4"/>
  <c r="N9" i="4"/>
  <c r="O31" i="3"/>
  <c r="J22" i="3"/>
  <c r="K19" i="3"/>
  <c r="J19" i="3"/>
  <c r="K18" i="3"/>
  <c r="J20" i="3"/>
  <c r="J21" i="3"/>
  <c r="K20" i="3"/>
  <c r="L18" i="1"/>
  <c r="F49" i="1"/>
  <c r="E43" i="1"/>
  <c r="E44" i="1" s="1"/>
  <c r="E47" i="1" s="1"/>
  <c r="D43" i="1"/>
  <c r="D44" i="1" s="1"/>
  <c r="D47" i="1" s="1"/>
  <c r="C43" i="1"/>
  <c r="C46" i="1" s="1"/>
  <c r="C49" i="1" s="1"/>
  <c r="F45" i="1"/>
  <c r="F48" i="1" s="1"/>
  <c r="F44" i="1"/>
  <c r="F47" i="1" s="1"/>
  <c r="C4" i="1"/>
  <c r="C13" i="1" s="1"/>
  <c r="B11" i="3"/>
  <c r="E61" i="11" l="1"/>
  <c r="B56" i="11"/>
  <c r="B57" i="11" s="1"/>
  <c r="B51" i="11"/>
  <c r="E8" i="13"/>
  <c r="E9" i="13"/>
  <c r="F7" i="13"/>
  <c r="E10" i="13"/>
  <c r="D8" i="13"/>
  <c r="C9" i="13"/>
  <c r="C7" i="13"/>
  <c r="C8" i="13"/>
  <c r="D9" i="13"/>
  <c r="D10" i="13"/>
  <c r="F6" i="13"/>
  <c r="C10" i="13"/>
  <c r="D13" i="11"/>
  <c r="K30" i="3"/>
  <c r="O30" i="3"/>
  <c r="J30" i="3"/>
  <c r="N30" i="3"/>
  <c r="P22" i="3"/>
  <c r="O22" i="3"/>
  <c r="N22" i="3"/>
  <c r="P30" i="3"/>
  <c r="Z21" i="3" s="1"/>
  <c r="J31" i="3"/>
  <c r="N21" i="3"/>
  <c r="N19" i="3"/>
  <c r="O20" i="3"/>
  <c r="O19" i="3"/>
  <c r="P21" i="3"/>
  <c r="N20" i="3"/>
  <c r="O21" i="3"/>
  <c r="P20" i="3"/>
  <c r="C45" i="1"/>
  <c r="C48" i="1" s="1"/>
  <c r="E45" i="1"/>
  <c r="E48" i="1" s="1"/>
  <c r="C44" i="1"/>
  <c r="C47" i="1" s="1"/>
  <c r="D46" i="1"/>
  <c r="D49" i="1" s="1"/>
  <c r="E46" i="1"/>
  <c r="E49" i="1" s="1"/>
  <c r="D45" i="1"/>
  <c r="D48" i="1" s="1"/>
  <c r="C12" i="1"/>
  <c r="F9" i="13" l="1"/>
  <c r="F10" i="13"/>
  <c r="F8" i="13"/>
  <c r="T19" i="3"/>
  <c r="U19" i="3"/>
  <c r="S19" i="3"/>
  <c r="Y18" i="3" l="1"/>
</calcChain>
</file>

<file path=xl/sharedStrings.xml><?xml version="1.0" encoding="utf-8"?>
<sst xmlns="http://schemas.openxmlformats.org/spreadsheetml/2006/main" count="823" uniqueCount="539">
  <si>
    <t>IEA World Energy Balance includes production by PJ. These sheets contain information to convert PJ to tonnes and m3 to tonnes</t>
  </si>
  <si>
    <t>NOTE: MJ/LITRE AVAILABLE IN MODEL INPUT DATA</t>
  </si>
  <si>
    <t>pj/m3</t>
  </si>
  <si>
    <t>liter/m3</t>
  </si>
  <si>
    <t>mj/pj</t>
  </si>
  <si>
    <t>m3/barrel</t>
  </si>
  <si>
    <t>mj/litre (src: see readthedocs)</t>
  </si>
  <si>
    <t>source: google, metric-conversions.org</t>
  </si>
  <si>
    <t>pj/barrel</t>
  </si>
  <si>
    <t>tonne/barrel</t>
  </si>
  <si>
    <t>source: https://sciencing.com/convert-metric-tons-barrels-8220711.html</t>
  </si>
  <si>
    <t>pj/tonne</t>
  </si>
  <si>
    <t>PJ/TONNE</t>
  </si>
  <si>
    <t>TONNE/PJ</t>
  </si>
  <si>
    <t>btu/pj</t>
  </si>
  <si>
    <t>btu/tonne</t>
  </si>
  <si>
    <t>source: https://www.extension.iastate.edu/agdm/wholefarm/html/c6-89.html</t>
  </si>
  <si>
    <t>tonne/pj</t>
  </si>
  <si>
    <t>Emission Factors</t>
  </si>
  <si>
    <t>Globals:</t>
  </si>
  <si>
    <t>https://www.epa.gov/cmop/coal-mine-methane-units-converter</t>
  </si>
  <si>
    <t>low</t>
  </si>
  <si>
    <t>nominal</t>
  </si>
  <si>
    <t>high</t>
  </si>
  <si>
    <t>underground mines (page V2, C4, 4.12 of 2006 IPCC GNGHGI)</t>
  </si>
  <si>
    <t>m3/tonne</t>
  </si>
  <si>
    <t>units</t>
  </si>
  <si>
    <t>scale_low</t>
  </si>
  <si>
    <t>scale_high</t>
  </si>
  <si>
    <t>low_corr</t>
  </si>
  <si>
    <t>high_corr</t>
  </si>
  <si>
    <t>underground post-mining (page V2, C4, 4.12 of 2006 IPCC GNGHGI)</t>
  </si>
  <si>
    <t>surface mines (page V2, C4, 4.18 of 2006 IPCC GNGHGI)</t>
  </si>
  <si>
    <t>surface post-mining (page V2, C4, 4.19 of 2006 IPCC GNGHGI)</t>
  </si>
  <si>
    <t xml:space="preserve"> | See V2, C4 Volume 4.2.7 for components related to oil and gas production. These components are used to estimate preliminary emission factors for fugitive emissions. 
 | 
 | OIL: 
 | 
 | - Well Drilling 
 | - Well Testing
 | - Well Servicing
 | - Default Weighted Total for Oil Production
 | - Pipelines
 | - Oil Refining</t>
  </si>
  <si>
    <t>well drilling</t>
  </si>
  <si>
    <t>well testing</t>
  </si>
  <si>
    <t>well servicing</t>
  </si>
  <si>
    <t>pipelines</t>
  </si>
  <si>
    <t>oil refining</t>
  </si>
  <si>
    <t>ch4</t>
  </si>
  <si>
    <t>co2</t>
  </si>
  <si>
    <t>nmvoc</t>
  </si>
  <si>
    <t>n2o</t>
  </si>
  <si>
    <t>tonne/1000 m3</t>
  </si>
  <si>
    <t>gg/1000 m3 -&gt; gg/tonne</t>
  </si>
  <si>
    <t>gg/1000 m3 = tonne/ m3</t>
  </si>
  <si>
    <t>gg/1000 m3 oil prod = tonne/m3 oil prod</t>
  </si>
  <si>
    <t>tonne/tonne oil prod (dimensionless)</t>
  </si>
  <si>
    <t>sum</t>
  </si>
  <si>
    <t>sum: fugitive</t>
  </si>
  <si>
    <t>sum: venting</t>
  </si>
  <si>
    <t>sum: flaring</t>
  </si>
  <si>
    <t>sum: fugitive (dimensionless)</t>
  </si>
  <si>
    <t>sum: venting (dimensionless)</t>
  </si>
  <si>
    <t>sum: flaring (dimensionless)</t>
  </si>
  <si>
    <t>onshore - high emissions</t>
  </si>
  <si>
    <t>onshore - low emissions</t>
  </si>
  <si>
    <t>offshore</t>
  </si>
  <si>
    <t>fugitive</t>
  </si>
  <si>
    <t>vents</t>
  </si>
  <si>
    <t>flares</t>
  </si>
  <si>
    <t>aggregate</t>
  </si>
  <si>
    <t>price/bbl</t>
  </si>
  <si>
    <t>price/m3</t>
  </si>
  <si>
    <t>source: Pink Sheet XLSX from https://www.worldbank.org/en/research/commodity-markets (average)</t>
  </si>
  <si>
    <t>source: Pink Sheet XLSX from https://www.worldbank.org/en/research/commodity-markets (average between US and Europe)</t>
  </si>
  <si>
    <t>source: Pink Sheet XLSX from https://www.worldbank.org/en/research/commodity-markets (average between Australia and South Africa)</t>
  </si>
  <si>
    <t>https://www.eia.gov/uranium/marketing/summarytable1b.php</t>
  </si>
  <si>
    <t xml:space="preserve">price , $ per pound Triuranium octoxide (U3O8) equivalent purchased: </t>
  </si>
  <si>
    <t>lb/kg</t>
  </si>
  <si>
    <t>$/kg</t>
  </si>
  <si>
    <t>$/tonne</t>
  </si>
  <si>
    <t>TONNE WOOD PER m3</t>
  </si>
  <si>
    <t>https://extension.psu.edu/calculating-the-green-weight-of-wood-species</t>
  </si>
  <si>
    <t>price ($/ton)</t>
  </si>
  <si>
    <t>https://biomassmagazine.com/articles/19068/eia-densified-biomass-fuel-sales-reach-870-000-tons-in-february</t>
  </si>
  <si>
    <t>price ($/m3)_</t>
  </si>
  <si>
    <t>$/metric tonne</t>
  </si>
  <si>
    <t># seee coal production for source of below nums</t>
  </si>
  <si>
    <t>$/pj</t>
  </si>
  <si>
    <t>$/mj</t>
  </si>
  <si>
    <t>$/litre</t>
  </si>
  <si>
    <t>$/m3</t>
  </si>
  <si>
    <r>
      <t xml:space="preserve">(1) See V2, C4 Table 4.2.5 (economies in transition)
</t>
    </r>
    <r>
      <rPr>
        <b/>
        <sz val="12"/>
        <color theme="1"/>
        <rFont val="Calibri"/>
        <family val="2"/>
        <scheme val="minor"/>
      </rPr>
      <t>* - NOTE</t>
    </r>
    <r>
      <rPr>
        <sz val="12"/>
        <color theme="1"/>
        <rFont val="Calibri"/>
        <family val="2"/>
        <scheme val="minor"/>
      </rPr>
      <t xml:space="preserve"> for weighting ranges, used the GEOMETRIC MEAN to account for large ranges (e.g., in oil production)</t>
    </r>
  </si>
  <si>
    <t>*default weighted total for oil production - fugitives</t>
  </si>
  <si>
    <t>*default weighted total for oil production - venting</t>
  </si>
  <si>
    <t>*default weighted total for oil production - flaring</t>
  </si>
  <si>
    <t>domestic production</t>
  </si>
  <si>
    <t>total marketable (production + imports)</t>
  </si>
  <si>
    <t>tonne/m3</t>
  </si>
  <si>
    <t>tanker trucks and rail cars</t>
  </si>
  <si>
    <t xml:space="preserve">CO2 from underground mining (pg 4.19) </t>
  </si>
  <si>
    <t>CO2 tonne/m3</t>
  </si>
  <si>
    <t>flaring</t>
  </si>
  <si>
    <t>venting</t>
  </si>
  <si>
    <t>transmission</t>
  </si>
  <si>
    <r>
      <t xml:space="preserve">ESTIMATE OF </t>
    </r>
    <r>
      <rPr>
        <b/>
        <sz val="12"/>
        <color theme="1"/>
        <rFont val="Calibri"/>
        <family val="2"/>
        <scheme val="minor"/>
      </rPr>
      <t>frac_fgtv_drained_and_waste_ch4_flared</t>
    </r>
    <r>
      <rPr>
        <sz val="12"/>
        <color theme="1"/>
        <rFont val="Calibri"/>
        <family val="2"/>
        <scheme val="minor"/>
      </rPr>
      <t>:</t>
    </r>
  </si>
  <si>
    <t>mj/m3</t>
  </si>
  <si>
    <t>btu/m3</t>
  </si>
  <si>
    <t>units corrected 1 (tonne gas [CH4 unless otherwise noted]/tonne prod)</t>
  </si>
  <si>
    <t>units corrected 2 (tonne gas/m3 prod)</t>
  </si>
  <si>
    <t>fugitive_underground</t>
  </si>
  <si>
    <t>fugitive_surface</t>
  </si>
  <si>
    <t>nom</t>
  </si>
  <si>
    <t>NOMINAL FRAC UNDERGROUND:</t>
  </si>
  <si>
    <t>low_range</t>
  </si>
  <si>
    <t>high_range</t>
  </si>
  <si>
    <t>CO2</t>
  </si>
  <si>
    <t>CH4</t>
  </si>
  <si>
    <t>CH4 VENTING</t>
  </si>
  <si>
    <t>CO2 VENTING</t>
  </si>
  <si>
    <t>underground total</t>
  </si>
  <si>
    <t>surface total</t>
  </si>
  <si>
    <t>nominal mix</t>
  </si>
  <si>
    <t>FLARING VOLS</t>
  </si>
  <si>
    <t>FLARING EFFICIENCY:</t>
  </si>
  <si>
    <t>CH4 kg/m3</t>
  </si>
  <si>
    <t>CH4 FLARING</t>
  </si>
  <si>
    <t>CO2 FLARING</t>
  </si>
  <si>
    <t>tonne/m3 prod</t>
  </si>
  <si>
    <t>gas production - fugitives</t>
  </si>
  <si>
    <t>gas production - flaring</t>
  </si>
  <si>
    <t>gas processing - fugitive</t>
  </si>
  <si>
    <t>gas processing - flaring</t>
  </si>
  <si>
    <t>gas procesing - co2 venting</t>
  </si>
  <si>
    <t>storage</t>
  </si>
  <si>
    <t>distribution</t>
  </si>
  <si>
    <t>transmission fugitives</t>
  </si>
  <si>
    <t>transmission venting</t>
  </si>
  <si>
    <t>tonne/m3t</t>
  </si>
  <si>
    <t>gj/kg</t>
  </si>
  <si>
    <t>mj/kg</t>
  </si>
  <si>
    <t>MJ/Litre natural gas density =  MJ/m3</t>
  </si>
  <si>
    <t>MJ/m3</t>
  </si>
  <si>
    <t>https://www.engineeringtoolbox.com/gas-density-d_158.html</t>
  </si>
  <si>
    <t>kg/m3</t>
  </si>
  <si>
    <t>MJ/kg</t>
  </si>
  <si>
    <t>kwh/kg</t>
  </si>
  <si>
    <t>MJ/kwh</t>
  </si>
  <si>
    <t>ENERGY CONSUMPTION IN NATURAL GAS EXTRACTION</t>
  </si>
  <si>
    <t>MEAN DEM</t>
  </si>
  <si>
    <t>FUGITIVE EMISSIONS</t>
  </si>
  <si>
    <t>ENERGY CONSUMPTION IN PROCESSING</t>
  </si>
  <si>
    <t>ENERGY CONSUMPTION IN EXPLORATION</t>
  </si>
  <si>
    <t>NATURAL GAS PROCESSING ENERGY CONSUMPTION RATIO (MJ/MJ)</t>
  </si>
  <si>
    <t>energy lost to extraction (e.g., the ratio of input to output is 0.06; i retrieve 1 mj of oil, but i spend 0.06 getting it, m)</t>
  </si>
  <si>
    <t>NATURAL GAS 4-11%</t>
  </si>
  <si>
    <t xml:space="preserve">See Figure 2: </t>
  </si>
  <si>
    <t>https://pubs.acs.org/doi/10.1021/acs.est.5b01913</t>
  </si>
  <si>
    <t>SISEPUEDE DOCS</t>
  </si>
  <si>
    <t>fuel combusted within the refinery is 6-10% of total input (2.31, V2 IPCC GNGHGI 2006)</t>
  </si>
  <si>
    <t>INPUT OUTPUT RATIOS:</t>
  </si>
  <si>
    <t>https://www.eia.gov/energyexplained/oil-and-petroleum-products/refining-crude-oil-inputs-and-outputs.php</t>
  </si>
  <si>
    <t>CONVENTIONAL OIL: 4-10%</t>
  </si>
  <si>
    <t>OIL SANDS AND OIL SHALE: 9-70%</t>
  </si>
  <si>
    <t>https://www1.eere.energy.gov/manufacturing/resources/mining/pdfs/mining_bandwidth.pdf</t>
  </si>
  <si>
    <t>FUEL MIX</t>
  </si>
  <si>
    <t>diesel</t>
  </si>
  <si>
    <t>coal</t>
  </si>
  <si>
    <t>electricity</t>
  </si>
  <si>
    <t>gasoline</t>
  </si>
  <si>
    <t>natural gas</t>
  </si>
  <si>
    <t>COAL 0.5%-4%</t>
  </si>
  <si>
    <t>https://afdc.energy.gov/fuels/hydrogen_production.html</t>
  </si>
  <si>
    <t>(- Natural Gas Reforming/Gasification (Steam/Methane Reforming—SMR) and Electrolysis)</t>
  </si>
  <si>
    <t>"Today the absolute majority of hydrogen, 96%, is produced with fossil fuels, and virtually none of this production capacity is fitted with CCS. Only 4% is electric, claiming to source its power from renewables."</t>
  </si>
  <si>
    <t>- one kg of hydrogen from ELECTROLYSIS requires 50-55 kWh of electricity (emissions are from grid)</t>
  </si>
  <si>
    <t>- SMR emits between 8-12 kg of CO2 for each kg of Hydrogen produced (coal gasification emits 18-20 kg)</t>
  </si>
  <si>
    <t>- CCS techs can be equipped on SMR assets with 90% efficacy in reducing CO2 emissions</t>
  </si>
  <si>
    <t>- Assessment of Selected Hydrogen Supply Chains—Factors Determining the Overall GHG Emissions</t>
  </si>
  <si>
    <t>- Inputs: "The natural gas input for the small-scale reformer is assumed to be 1.4 MJ/MJ hydrogen and 1.3 MJ/MJ for the large-scale reformer (Edwards et al., 2014). These gas demands are also considered if biomethane is used as a feedstock. The average heating value of natural gas is assumed to be 35.7 MJ/m3 and 35.9 MJ/m3 for biomethane upgraded from biomass."</t>
  </si>
  <si>
    <t>- Efficiency of gas reformers: "Small-scale steam reformer typically used at refueling station: efficiency 69% (Edwards et al., 2014).</t>
  </si>
  <si>
    <t>Large-scale reformer typically used at large-scale production sites: efficiency 76% (Edwards et al., 2014)."</t>
  </si>
  <si>
    <t xml:space="preserve">https://rmi.org/wp-content/uploads/2020/01/hydrogen_insight_brief.pdf </t>
  </si>
  <si>
    <t>Anne RödlChristina WulfMartin Kaltschmitt, in Hydrogen Supply Chains, 2018 ()</t>
  </si>
  <si>
    <t>https://www.sciencedirect.com/topics/engineering/methane-steam-reforming</t>
  </si>
  <si>
    <t>RMI (info on hydrogen production)</t>
  </si>
  <si>
    <t>-one mmbtu = 8.07kg hydrogen (assuming under pressure)</t>
  </si>
  <si>
    <t>=&gt; 1.06 GJ = 8.07 kg hydrogen</t>
  </si>
  <si>
    <t>MJ/kg hydrogen</t>
  </si>
  <si>
    <t>50-55 kWh * 3.6 MJ/kWh =&gt;</t>
  </si>
  <si>
    <t>NOMINAL</t>
  </si>
  <si>
    <t>MIN_SCALAR</t>
  </si>
  <si>
    <t>MAX_SCALAR</t>
  </si>
  <si>
    <t>ELECTROLYSIS</t>
  </si>
  <si>
    <t>https://publications.jrc.ec.europa.eu/repository/handle/JRC85326</t>
  </si>
  <si>
    <t>EDWARDS 2014 (seepage 135/148)</t>
  </si>
  <si>
    <t>diesel:</t>
  </si>
  <si>
    <t>oil:</t>
  </si>
  <si>
    <t>volumetric energy density (MJ/Litre)</t>
  </si>
  <si>
    <t>PASSENGER SHIPS</t>
  </si>
  <si>
    <t>CARGO SHIPS</t>
  </si>
  <si>
    <t>(2) https://www.sciencedirect.com/science/article/pii/S0029801818309028</t>
  </si>
  <si>
    <t>(1) https://www.sciencedirect.com/science/article/pii/S0959652614002832#tbl2</t>
  </si>
  <si>
    <t>FROM (2)</t>
  </si>
  <si>
    <r>
      <t xml:space="preserve">m3/tonne (from </t>
    </r>
    <r>
      <rPr>
        <b/>
        <sz val="12"/>
        <color theme="1"/>
        <rFont val="Calibri"/>
        <family val="2"/>
        <scheme val="minor"/>
      </rPr>
      <t>oil_production</t>
    </r>
    <r>
      <rPr>
        <sz val="12"/>
        <color theme="1"/>
        <rFont val="Calibri"/>
        <family val="2"/>
        <scheme val="minor"/>
      </rPr>
      <t xml:space="preserve"> sheet) = litre/kg</t>
    </r>
  </si>
  <si>
    <t>Average for HFO (heavy fuel oil) 190g/kwh</t>
  </si>
  <si>
    <t>(3) Ship weights https://doi.org/10.1080/03088839.2017.1349349</t>
  </si>
  <si>
    <t>Average Cargo Load (TONNE)</t>
  </si>
  <si>
    <t>Fuel Consumption (MJ/tonne km)</t>
  </si>
  <si>
    <t>DIESEL</t>
  </si>
  <si>
    <t>NATURAL GAS</t>
  </si>
  <si>
    <t>Average fuel efficiency (MJ/km)</t>
  </si>
  <si>
    <t>Litre/km</t>
  </si>
  <si>
    <t>km/l</t>
  </si>
  <si>
    <t>FROM https://en.wikipedia.org/wiki/Steam_reforming</t>
  </si>
  <si>
    <t>2.2 tonne methane</t>
  </si>
  <si>
    <t>5.7 mwh</t>
  </si>
  <si>
    <t>1.1 tonne hydrogen</t>
  </si>
  <si>
    <t>natural gas tonne/pj (kg/tj)</t>
  </si>
  <si>
    <t>mwh/gj</t>
  </si>
  <si>
    <t>mwh/kg</t>
  </si>
  <si>
    <t>mwh/tonne</t>
  </si>
  <si>
    <t>TJ/TONNE hydrogen</t>
  </si>
  <si>
    <t>TJ/TONNE</t>
  </si>
  <si>
    <t>TJ INPUT METHANE</t>
  </si>
  <si>
    <t>GJ INPUT ENERGY</t>
  </si>
  <si>
    <t>TJ INPUT ENERGY</t>
  </si>
  <si>
    <t>INPUT ACTIVITY RATIOS</t>
  </si>
  <si>
    <t>coal mining</t>
  </si>
  <si>
    <t>energy lost</t>
  </si>
  <si>
    <t>mining fractions</t>
  </si>
  <si>
    <t>IAR</t>
  </si>
  <si>
    <t>energy components</t>
  </si>
  <si>
    <t>COAL</t>
  </si>
  <si>
    <t>OIL (ASSUMED)</t>
  </si>
  <si>
    <t>NATURAL GAS (ASSUMED)</t>
  </si>
  <si>
    <t>NOTE: TAR SANDS CAN DRIVE THESE VERY HIGH</t>
  </si>
  <si>
    <t>natural gas drilling and exploration (assume 0 coal/0 natural gas)</t>
  </si>
  <si>
    <t>Average Efficiencies (NEED TO BE REVISITED)</t>
  </si>
  <si>
    <t>crude oil drilling and exploration (assume 0 coal/0 natural gas) - OIL SANDS/OIL SHALE</t>
  </si>
  <si>
    <t>crude oil drilling and exploration (assume 0 coal/0 natural gas) - CONVENTIONAL OIL</t>
  </si>
  <si>
    <t>9-70% (oil shale and oil sands)</t>
  </si>
  <si>
    <t>4-10% (Conventional)</t>
  </si>
  <si>
    <t>1 [E} OF THE TOTAL IAR IS THE CRUDE ITSELF</t>
  </si>
  <si>
    <t>1 [E} OF TOTAL IAR IS THE CRUDE ITSELF</t>
  </si>
  <si>
    <t>1 [E} OF TOTAL IAR IS THE COAL ITSELF</t>
  </si>
  <si>
    <t>1 [E} OF TOTAL IAR IS THE GAS ITSELF</t>
  </si>
  <si>
    <t>Energy Technology</t>
  </si>
  <si>
    <t>consumpratioinit_entc_energy_fuel_production_fp_hydrogen_electrolysis</t>
  </si>
  <si>
    <t>consumpratioinit_entc_energy_fuel_production_fp_hydrogen_gasification</t>
  </si>
  <si>
    <t>consumpratioinit_entc_energy_fuel_production_fp_hydrogen_reformation</t>
  </si>
  <si>
    <t>consumpratioinit_entc_energy_fuel_production_fp_natural_gas</t>
  </si>
  <si>
    <t>consumpratioinit_entc_energy_fuel_production_fp_petroleum_refinement</t>
  </si>
  <si>
    <t>consumpratioinit_entc_energy_fuel_production_me_coal</t>
  </si>
  <si>
    <t>consumpratioinit_entc_energy_fuel_production_me_crude</t>
  </si>
  <si>
    <t>consumpratioinit_entc_energy_fuel_production_me_natural_gas</t>
  </si>
  <si>
    <t>demscalar_entc_fuel_production_heat_energy_fp_hydrogen_electrolysis</t>
  </si>
  <si>
    <t>demscalar_entc_fuel_production_heat_energy_fp_hydrogen_reformation</t>
  </si>
  <si>
    <t>demscalar_entc_fuel_production_heat_energy_fp_hydrogen_gasification</t>
  </si>
  <si>
    <t>demscalar_entc_fuel_production_heat_energy_fp_natural_gas</t>
  </si>
  <si>
    <t>demscalar_entc_fuel_production_heat_energy_fp_petroleum_refinement</t>
  </si>
  <si>
    <t>frac_entc_fuel_production_energy_use_fp_hydrogen_electrolysis_electricity</t>
  </si>
  <si>
    <t>frac_entc_fuel_production_energy_use_fp_hydrogen_gasification_electricity</t>
  </si>
  <si>
    <t>frac_entc_fuel_production_energy_use_fp_hydrogen_gasification_coal</t>
  </si>
  <si>
    <t>frac_entc_fuel_production_energy_use_fp_hydrogen_gasification_biomass</t>
  </si>
  <si>
    <t>frac_entc_fuel_production_energy_use_fp_hydrogen_reformation_electricity</t>
  </si>
  <si>
    <t>frac_entc_fuel_production_energy_use_fp_hydrogen_reformation_natural_gas</t>
  </si>
  <si>
    <t>frac_entc_fuel_production_energy_use_fp_hydrogen_reformation_oil</t>
  </si>
  <si>
    <t>frac_entc_fuel_production_energy_use_fp_natural_gas_electricity</t>
  </si>
  <si>
    <t>frac_entc_fuel_production_energy_use_fp_petroleum_refinement_crude</t>
  </si>
  <si>
    <t>frac_entc_fuel_production_energy_use_fp_petroleum_refinement_electricity</t>
  </si>
  <si>
    <t>frac_entc_fuel_production_energy_use_fp_petroleum_refinement_hydrogen</t>
  </si>
  <si>
    <t>frac_entc_fuel_production_energy_use_me_coal_coal</t>
  </si>
  <si>
    <t>frac_entc_fuel_production_energy_use_me_coal_diesel</t>
  </si>
  <si>
    <t>frac_entc_fuel_production_energy_use_me_coal_electricity</t>
  </si>
  <si>
    <t>frac_entc_fuel_production_energy_use_me_coal_gasoline</t>
  </si>
  <si>
    <t>frac_entc_fuel_production_energy_use_me_coal_natural_gas</t>
  </si>
  <si>
    <t>frac_entc_fuel_production_energy_use_me_coal_oil</t>
  </si>
  <si>
    <t>frac_entc_fuel_production_energy_use_me_crude_diesel</t>
  </si>
  <si>
    <t>frac_entc_fuel_production_energy_use_me_crude_electricity</t>
  </si>
  <si>
    <t>frac_entc_fuel_production_energy_use_me_crude_gasoline</t>
  </si>
  <si>
    <t>frac_entc_fuel_production_energy_use_me_crude_oil</t>
  </si>
  <si>
    <t>frac_entc_fuel_production_energy_use_me_natural_gas_diesel</t>
  </si>
  <si>
    <t>frac_entc_fuel_production_energy_use_me_natural_gas_electricity</t>
  </si>
  <si>
    <t>frac_entc_fuel_production_energy_use_me_natural_gas_gasoline</t>
  </si>
  <si>
    <t>frac_entc_fuel_production_energy_use_me_natural_gas_oil</t>
  </si>
  <si>
    <t>https://www.sciencedirect.com/science/article/pii/S1875510020304613?casa_token=tWLgtXnDgJgAAAAA:eL48afkwAAyVfyoGbrGG5R3-Ht0HZRI-FOQduIGCi6JB4Gvd9TZgHrlgW9wq-6FoDsZplQs8pQ</t>
  </si>
  <si>
    <t>Figure</t>
  </si>
  <si>
    <t>FUEL PRODUCTION IN PETROLEUM REFINEMENT</t>
  </si>
  <si>
    <t>OUTPUT ACTIVITY RATIOS</t>
  </si>
  <si>
    <t>PETROLEUM REFINEMENT</t>
  </si>
  <si>
    <t>hydrogen specific energy (mmbtu/kg)</t>
  </si>
  <si>
    <t>OUTPUT TJ</t>
  </si>
  <si>
    <t>EMISSION CO2 TONNE</t>
  </si>
  <si>
    <t>tonne co2/tj</t>
  </si>
  <si>
    <t>10kg CO2/kg H</t>
  </si>
  <si>
    <t>10 tonne CO2/tonne H</t>
  </si>
  <si>
    <t>wikipedia: https://en.wikipedia.org/wiki/Hydrogen_production</t>
  </si>
  <si>
    <t>REFORMATION (Natural Gas)</t>
  </si>
  <si>
    <t>EDWARDS</t>
  </si>
  <si>
    <t>RMI</t>
  </si>
  <si>
    <t>EDWARDS 2014</t>
  </si>
  <si>
    <t>GASIFICATION (COAL)</t>
  </si>
  <si>
    <t>MEAN</t>
  </si>
  <si>
    <t>MIN</t>
  </si>
  <si>
    <t>MAX</t>
  </si>
  <si>
    <t>min</t>
  </si>
  <si>
    <t>max</t>
  </si>
  <si>
    <t>CO2 EMISSION ACTIVITY RATIO (TONNE/TJ) GASIFICATION</t>
  </si>
  <si>
    <t>CO2 EMISSION ACTIVITY RATIO (TONNE/TJ) REFORMATION</t>
  </si>
  <si>
    <t>value</t>
  </si>
  <si>
    <t>ENERGY CONSUMPTION AND EMISSIONS IN PROCESSING</t>
  </si>
  <si>
    <t>PROCESSING EMISSIONS:</t>
  </si>
  <si>
    <t>https://www.energy.gov/sites/prod/files/2015/07/f24/QER%20Analysis%20-%20Fuel%20Use%20and%20GHG%20Emissions%20from%20the%20Natural%20Gas%20System%2C%20Sankey%20Diagram%20Methodology_0.pdf</t>
  </si>
  <si>
    <t>COMBUSTION OF NATURAL GAS IN PROCESSESING (BCF - FROM ENERGY.GOV):</t>
  </si>
  <si>
    <t>TOTAL PRODUCED GAS:</t>
  </si>
  <si>
    <t>(23411+66+842)</t>
  </si>
  <si>
    <t>EF FROM SISEPUEDE (TONNE/TJ)</t>
  </si>
  <si>
    <t>N2O</t>
  </si>
  <si>
    <t>COMBUSTION RATIO:</t>
  </si>
  <si>
    <t>TJ COMBUSTED PER TONNE PRODUCED</t>
  </si>
  <si>
    <t>EF (TONNE EMITTED/TJ NATURAL GAS PROCESSED)</t>
  </si>
  <si>
    <t>EMISSIONS FROM PRODUCTION</t>
  </si>
  <si>
    <t>EMISSIONS IN PETROLEUM REFINEMENT</t>
  </si>
  <si>
    <t>(use crude)</t>
  </si>
  <si>
    <t>EF (TONNE EMITTED/TJ OIL REFINED</t>
  </si>
  <si>
    <t>(assume 8%)</t>
  </si>
  <si>
    <t>frac combusted</t>
  </si>
  <si>
    <t>tj combusted per tj produced</t>
  </si>
  <si>
    <t>m3 ch4/tonne coal</t>
  </si>
  <si>
    <t>tonne ch4/tonne coal</t>
  </si>
  <si>
    <t>tonne ch4/m3 coal</t>
  </si>
  <si>
    <t>PJ</t>
  </si>
  <si>
    <t>MT</t>
  </si>
  <si>
    <t>density natural_gas (assume same as methane) kg/m3</t>
  </si>
  <si>
    <t>https://www.extension.iastate.edu/agdm/wholefarm/html/c6-89.html</t>
  </si>
  <si>
    <t>kg/litre = tonne/m3</t>
  </si>
  <si>
    <t>btu/tonne @ 100% CH4</t>
  </si>
  <si>
    <t>lbs/short ton</t>
  </si>
  <si>
    <t>btus/lb</t>
  </si>
  <si>
    <t>pj/tonne = tj/kg</t>
  </si>
  <si>
    <t>mj/kg @ 100% CH4</t>
  </si>
  <si>
    <t>CHECK</t>
  </si>
  <si>
    <t>mj/kg @ 85%</t>
  </si>
  <si>
    <t>gg/1000000 m3 gas prod = kg/m3 natural gas prod</t>
  </si>
  <si>
    <t>tonne/m3 (coal)</t>
  </si>
  <si>
    <t>Category Name</t>
  </si>
  <si>
    <t>``$CAT-FUEL$``</t>
  </si>
  <si>
    <t>Description</t>
  </si>
  <si>
    <t>Data Source</t>
  </si>
  <si>
    <t>Hyperlink</t>
  </si>
  <si>
    <t>Notes</t>
  </si>
  <si>
    <t>Biogas Fuel Category</t>
  </si>
  <si>
    <t xml:space="preserve">Biomass Demand Category </t>
  </si>
  <si>
    <t>Electricity Demand Category</t>
  </si>
  <si>
    <t>Upstream to Fuel Category</t>
  </si>
  <si>
    <t>Waste Fuel Category</t>
  </si>
  <si>
    <t>NEED PRICE</t>
  </si>
  <si>
    <t>Unit Price</t>
  </si>
  <si>
    <t>Unit</t>
  </si>
  <si>
    <t>Source</t>
  </si>
  <si>
    <t>Region</t>
  </si>
  <si>
    <t>Year</t>
  </si>
  <si>
    <t>Note</t>
  </si>
  <si>
    <t>SPECIFIC ENERGY</t>
  </si>
  <si>
    <t>Biogas</t>
  </si>
  <si>
    <t>``fuel_biogas``</t>
  </si>
  <si>
    <t>Includes landfill gas, sludge gas, and other biomass gasses (integrated from the waste sector and as definined in Table 2.2, V2, C2)</t>
  </si>
  <si>
    <t>none</t>
  </si>
  <si>
    <t>USD/MBTU</t>
  </si>
  <si>
    <t>THERMAL</t>
  </si>
  <si>
    <t>https://www.iea.org/reports/outlook-for-biogas-and-biomethane-prospects-for-organic-growth/sustainable-supply-potential-and-costs</t>
  </si>
  <si>
    <t>World</t>
  </si>
  <si>
    <t>Biomass</t>
  </si>
  <si>
    <t>``fuel_biomass``</t>
  </si>
  <si>
    <t>Solid biomass, includiing wood, sulphite lyes, charcoal, and other primary solid biomass (as definined in Table 2.2, V2, C2 2006/2019R IPCC GNGHGI)</t>
  </si>
  <si>
    <t>Coal</t>
  </si>
  <si>
    <t>``fuel_coal``</t>
  </si>
  <si>
    <t>Coal, including anthracite, coking coal, sub-bituminous coal, and other coals (as definined in Table 2.2, V2, C2)</t>
  </si>
  <si>
    <t>USD/t</t>
  </si>
  <si>
    <t>GRAVIMETRIC</t>
  </si>
  <si>
    <t>https://biblioteca.olade.org/opac-tmpl/Documentos/old0463.pdf</t>
  </si>
  <si>
    <t>Chile</t>
  </si>
  <si>
    <t>ALREADY IN DATA</t>
  </si>
  <si>
    <t>Coal Deposits</t>
  </si>
  <si>
    <t>``fuel_coal_deposits``</t>
  </si>
  <si>
    <t xml:space="preserve">Coal deposits. Used in NemoMod as a dummy fuel to support coal electrification. </t>
  </si>
  <si>
    <t>Coke</t>
  </si>
  <si>
    <t>``fuel_coke``</t>
  </si>
  <si>
    <t>Lignite coke, and gas coke (as definined in Table 2.2, V2, C2--does not include petroleum coke)</t>
  </si>
  <si>
    <t>USD/short ton</t>
  </si>
  <si>
    <t>https://www.eia.gov/coal/production/quarterly/pdf/t17p01p1.pdf</t>
  </si>
  <si>
    <t>South America</t>
  </si>
  <si>
    <t>short ton per tonne: 0.907185</t>
  </si>
  <si>
    <t>Crude Oil</t>
  </si>
  <si>
    <t>``fuel_crude``</t>
  </si>
  <si>
    <t>Crude oil. Included for accounting purposes.</t>
  </si>
  <si>
    <t>USD/m3</t>
  </si>
  <si>
    <t>VOLUMETRIC</t>
  </si>
  <si>
    <t>https://ourworldindata.org/grapher/crude-oil-prices</t>
  </si>
  <si>
    <t>Global</t>
  </si>
  <si>
    <t>Diesel</t>
  </si>
  <si>
    <t>``fuel_diesel``</t>
  </si>
  <si>
    <t>Gas and diesel oil (see fuel "Gas/Diesel Oil" in Table 2.2, V2, C2)</t>
  </si>
  <si>
    <t>USD/L</t>
  </si>
  <si>
    <t>1000L/m3</t>
  </si>
  <si>
    <t>Electricity</t>
  </si>
  <si>
    <t>``fuel_electricity``</t>
  </si>
  <si>
    <t xml:space="preserve">Electricity--this category represents demands and production of electricity as a fuel. All electricity demands associated with ``fuel_electricity`` from the Industrial Energy, Transportation, and Other Energy: Stationary Emissions and Carbon Capture and Sequestration subsectors are passed to the electricity model. </t>
  </si>
  <si>
    <t>USD/mwh</t>
  </si>
  <si>
    <t>Furnace Gases</t>
  </si>
  <si>
    <t>``fuel_furnace_gas``</t>
  </si>
  <si>
    <t>Blast furnace and oxygen steel furnace gas</t>
  </si>
  <si>
    <t>Gasoline</t>
  </si>
  <si>
    <t>``fuel_gasoline``</t>
  </si>
  <si>
    <t>Gasoline (including motor, aviation, and jet gasoline as definined in Table 2.2, V2, C2)</t>
  </si>
  <si>
    <t>Geothermal</t>
  </si>
  <si>
    <t>``fuel_geothermal``</t>
  </si>
  <si>
    <t>Geothermal energy production</t>
  </si>
  <si>
    <t>Hydrocarbon Gas Liquids</t>
  </si>
  <si>
    <t>``fuel_hydrocarbon_gas_liquids``</t>
  </si>
  <si>
    <t>Liquified petroleoum gases, including propane, butane, and ethane. Produced in petroleum refinement and natural gas processing.</t>
  </si>
  <si>
    <t>USD/kg</t>
  </si>
  <si>
    <t>1000kg/tonne</t>
  </si>
  <si>
    <t>Hydrogen</t>
  </si>
  <si>
    <t>``fuel_hydrogen``</t>
  </si>
  <si>
    <t>Hydrogen energy</t>
  </si>
  <si>
    <t>https://www.iea.org/reports/global-hydrogen-review-2021/executive-summary</t>
  </si>
  <si>
    <t>unknown</t>
  </si>
  <si>
    <t>A key barrier for low-carbon hydrogen is the cost gap with hydrogen from unabated fossil At present, producing hydrogen from fossil fuels is the cheapest option in most parts of the world. Depending on regional gas prices, the levelised cost of hydrogen production from natural gas ranges from USD 0.5 to USD 1.7 per kilogramme (kg). Using CCUS technologies to reduce the CO2 emissions from hydrogen production increases the levelised cost of production to around USD 1 to USD 2 per kg. Using renewable electricity to produce hydrogen costs USD 3 to USD 8 per kg.</t>
  </si>
  <si>
    <t>Hydropower</t>
  </si>
  <si>
    <t>``fuel_hydropower``</t>
  </si>
  <si>
    <t>Power available from hydropower</t>
  </si>
  <si>
    <t>Kerosene</t>
  </si>
  <si>
    <t>``fuel_kerosene``</t>
  </si>
  <si>
    <t>Kerosene, including jet and other (as definined in Table 2.2, V2, C2)</t>
  </si>
  <si>
    <t>Liquid Biofuels</t>
  </si>
  <si>
    <t>``fuel_biofuels``</t>
  </si>
  <si>
    <t>Biodiesel, ethanol, and biogasoline</t>
  </si>
  <si>
    <t>https://www.iea.org/data-and-statistics/charts/biofuel-and-fossil-based-transport-fuel-production-cost-comparison-2017</t>
  </si>
  <si>
    <t>Brazil</t>
  </si>
  <si>
    <t>Natural Gas</t>
  </si>
  <si>
    <t>``fuel_natural_gas``</t>
  </si>
  <si>
    <t>Natural gas</t>
  </si>
  <si>
    <t>USD/GJ</t>
  </si>
  <si>
    <t>IMF Subsidies</t>
  </si>
  <si>
    <t>Nuclear</t>
  </si>
  <si>
    <t>``fuel_nuclear``</t>
  </si>
  <si>
    <t>Nuclear fuel</t>
  </si>
  <si>
    <t>Ocean</t>
  </si>
  <si>
    <t>``fuel_ocean``</t>
  </si>
  <si>
    <t>Ocean energy</t>
  </si>
  <si>
    <t>Oil</t>
  </si>
  <si>
    <t>``fuel_oil``</t>
  </si>
  <si>
    <t>Other refined oil products, including fuel oil</t>
  </si>
  <si>
    <t>Other</t>
  </si>
  <si>
    <t>``fuel_other``</t>
  </si>
  <si>
    <t>Other fuel sources</t>
  </si>
  <si>
    <t>Solar</t>
  </si>
  <si>
    <t>``fuel_solar``</t>
  </si>
  <si>
    <t>Solar energy</t>
  </si>
  <si>
    <t>Unprocessed Natural Gas</t>
  </si>
  <si>
    <t>``fuel_natural_gas_unprocessed``</t>
  </si>
  <si>
    <t xml:space="preserve">Unprocessed natural gas. Used in NemoMod as a dummy fuel to support natural gas electrification. </t>
  </si>
  <si>
    <t>Waste</t>
  </si>
  <si>
    <t>``fuel_waste``</t>
  </si>
  <si>
    <t>Waste burned</t>
  </si>
  <si>
    <t>Wind</t>
  </si>
  <si>
    <t>``fuel_wind``</t>
  </si>
  <si>
    <t>Wind energy</t>
  </si>
  <si>
    <t>SOURCE</t>
  </si>
  <si>
    <t>https://www.eia.gov/tools/glossary/index.php?id=Coke</t>
  </si>
  <si>
    <t>24.8 Mbtu/tonne</t>
  </si>
  <si>
    <t>SPECIFICY ENERGY (GJ/TONNE)</t>
  </si>
  <si>
    <t>3.41212822 MBtu/mwh</t>
  </si>
  <si>
    <t>1.05506 GJ/Mbtu</t>
  </si>
  <si>
    <t>PER VARIABLE (MMbtu)</t>
  </si>
  <si>
    <t>GOING TO USE NATURAL GAS  PRICE UNTIL BETTER ONE</t>
  </si>
  <si>
    <t>https://neutrium.net/properties/specific-energy-and-energy-density-of-fuels/ (MEAN OF ETHANE, PROPANE, BUTANE; 51.8, 50.3, 49.5)</t>
  </si>
  <si>
    <t>50.53 GJ/TONNE</t>
  </si>
  <si>
    <t>See Hydrogen Production worksheet (-one mmbtu = 8.07kg hydrogen (assuming under pressure) - https://rmi.org/wp-content/uploads/2020/01/hydrogen_insight_brief.pdf )
Convert 1 MMBTU/KG =&gt; GJ/KG with 1.05506 GJ/MMBTU</t>
  </si>
  <si>
    <t>0.09/m3</t>
  </si>
  <si>
    <t>8 MJ/L</t>
  </si>
  <si>
    <t>https://www.energy.gov/eere/fuelcells/hydrogen-storage</t>
  </si>
  <si>
    <t>m3/kg</t>
  </si>
  <si>
    <t>m3/GJ</t>
  </si>
  <si>
    <t>L/MJ</t>
  </si>
  <si>
    <t>https://stillwaterassociates.com/how-does-the-cost-of-hydrogen-stack-up-against-gasoline/#:~:text=In%202021%2C%20hydrogen%20retailed%20%248.50,or%20conventional%20gasoline%20vehicles%20respectively</t>
  </si>
  <si>
    <t>$/GJ</t>
  </si>
  <si>
    <t>$/PJ</t>
  </si>
  <si>
    <t>MMBTU/PJ</t>
  </si>
  <si>
    <t>$/MMBTU</t>
  </si>
  <si>
    <t>km/kwh dies</t>
  </si>
  <si>
    <t>kwh/litre</t>
  </si>
  <si>
    <t>mj/kwh</t>
  </si>
  <si>
    <t>mj/litre</t>
  </si>
  <si>
    <t>km/litre</t>
  </si>
  <si>
    <t>km/kwh</t>
  </si>
  <si>
    <t>elec</t>
  </si>
  <si>
    <t>from https://www.eesi.org/articles/view/electrification-of-u.s.-railways-pie-in-the-sky-or-realistic-goal: 30-35 percent of energy in diesel reaches wheels; in elec, it reaches 95%)</t>
  </si>
  <si>
    <t>0.0345 kWh revenue-tonne-km–1 with LFP technology</t>
  </si>
  <si>
    <t xml:space="preserve">0.014 kWh tonne-km–1 </t>
  </si>
  <si>
    <t>additional estimate for battery electric with regenerative braking</t>
  </si>
  <si>
    <t>Our analysis is based on a representative Class I train operating in California, with four 3.3-MW locomotives pulling 100 boxcars and 6,806 revenue-tonnes (or tonnes of payload). A standard 14.6-m boxcar has a rated payload capacity of 114 t</t>
  </si>
  <si>
    <t>kwh/revenue tonne km</t>
  </si>
  <si>
    <t>kwh/km</t>
  </si>
  <si>
    <t>revenue tonne</t>
  </si>
  <si>
    <t>km/mj</t>
  </si>
  <si>
    <t>ELECTRIC</t>
  </si>
  <si>
    <t>NOTE:</t>
  </si>
  <si>
    <t>"The energy consumed by battery freight trains increases by 5% (241-km range) because of the additional battery weight but it is still about half the energy consumed by diesel trains owing to the high efficiency of all-electric drives. "</t>
  </si>
  <si>
    <t>factor_diesel</t>
  </si>
  <si>
    <t>FREIGHT</t>
  </si>
  <si>
    <t>https://japh.tums.ac.ir/index.php/japh/article/view/86</t>
  </si>
  <si>
    <r>
      <rPr>
        <b/>
        <sz val="12"/>
        <color theme="0"/>
        <rFont val="Calibri"/>
        <family val="2"/>
        <scheme val="minor"/>
      </rPr>
      <t>SOURCE</t>
    </r>
    <r>
      <rPr>
        <sz val="12"/>
        <color theme="0"/>
        <rFont val="Calibri"/>
        <family val="2"/>
        <scheme val="minor"/>
      </rPr>
      <t>: https://www.nature.com/articles/s41560-021-00915-5
Popovich, N.D., Rajagopal, D., Tasar, E. et al. Economic, environmental and grid-resilience benefits of converting diesel trains to battery-electric. 
Nat Energy 6, 1017–1025 (2021). https://doi.org/10.1038/s41560-021-00915-5</t>
    </r>
  </si>
  <si>
    <r>
      <rPr>
        <b/>
        <sz val="12"/>
        <color theme="0"/>
        <rFont val="Calibri"/>
        <family val="2"/>
        <scheme val="minor"/>
      </rPr>
      <t>SOURCE</t>
    </r>
    <r>
      <rPr>
        <sz val="12"/>
        <color theme="0"/>
        <rFont val="Calibri"/>
        <family val="2"/>
        <scheme val="minor"/>
      </rPr>
      <t>: https://japh.tums.ac.ir/index.php/japh/article/view/86
Talaiekhozani A, Ghaffarpassand O, Talaei MR, Neshat N, Eydivandi B. EVALUATION OF EMISSION INVENTORY OF AIR POLLUTANTS FROM RAILROAD AND AIR TRANSPORTATION IN ISFAHAN METROPOLITAN IN 2016. JAPH. 2017;2(1).</t>
    </r>
  </si>
  <si>
    <t>litre/km</t>
  </si>
  <si>
    <t>implied km/kwh</t>
  </si>
  <si>
    <t>fuelefficiency_trns_rail_freight_diesel_km_per_litre</t>
  </si>
  <si>
    <t>elecfuelefficiency_trns_rail_freight_km_per_kwh</t>
  </si>
  <si>
    <t>max_2050</t>
  </si>
  <si>
    <t>min_2050</t>
  </si>
  <si>
    <t>METRO RAIL (subway, light rail)</t>
  </si>
  <si>
    <r>
      <rPr>
        <b/>
        <sz val="12"/>
        <color theme="0"/>
        <rFont val="Calibri"/>
        <family val="2"/>
        <scheme val="minor"/>
      </rPr>
      <t>SOURCE</t>
    </r>
    <r>
      <rPr>
        <sz val="12"/>
        <color theme="0"/>
        <rFont val="Calibri"/>
        <family val="2"/>
        <scheme val="minor"/>
      </rPr>
      <t>: https://www.sciencedirect.com/science/article/abs/pii/S0959652620300081
W.M. To, Peter K.C. Lee, Billy T.W. Yu, Sustainability assessment of an urban rail system – The case of Hong Kong, Journal of Cleaner Production, Volume 253, 2020, 119961, ISSN 0959-6526, https://doi.org/10.1016/j.jclepro.2020.119961.</t>
    </r>
  </si>
  <si>
    <t>Hong Kong Urban Rail Transit</t>
  </si>
  <si>
    <t>kwh/pkm</t>
  </si>
  <si>
    <t>0.076-0.093</t>
  </si>
  <si>
    <t>LAM (cited in To et al. Kenworthy (2008) from https://www.sciencedirect.com/science/article/pii/B9780080453415000098)</t>
  </si>
  <si>
    <t>mj/pkm</t>
  </si>
  <si>
    <t>NOTE: "This figure shows that when load factor increases, energy efficiency improves because the rail system consumes less MJ per pkm."</t>
  </si>
  <si>
    <t>x</t>
  </si>
  <si>
    <t>y</t>
  </si>
  <si>
    <t>us</t>
  </si>
  <si>
    <t>hong kong</t>
  </si>
  <si>
    <t>shanghai</t>
  </si>
  <si>
    <t>USE REG IN PYTHON</t>
  </si>
  <si>
    <t>m</t>
  </si>
  <si>
    <t>b</t>
  </si>
  <si>
    <t xml:space="preserve">INV </t>
  </si>
  <si>
    <t>LAC EST AVG LOAD</t>
  </si>
  <si>
    <t>US</t>
  </si>
  <si>
    <t>HONG KONG</t>
  </si>
  <si>
    <t>avg person/train-car</t>
  </si>
  <si>
    <t>PASSENGER</t>
  </si>
  <si>
    <t>ELECTRICITY (EST)</t>
  </si>
  <si>
    <t>fuelefficiency_trns_rail_passenger_diesel_km_per_litre</t>
  </si>
  <si>
    <t>elecfuelefficiency_trns_rail_passenger_km_per_kwh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</si>
</sst>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theme="0"/>
      <name val="Calibri"/>
      <family val="2"/>
      <scheme val="minor"/>
    </font>
    <font>
      <u/>
      <sz val="12"/>
      <color theme="10"/>
      <name val="Calibri"/>
      <family val="2"/>
      <scheme val="minor"/>
    </font>
    <font>
      <sz val="13"/>
      <color theme="1"/>
      <name val="Helvetica Neue"/>
      <family val="2"/>
    </font>
    <font>
      <b/>
      <sz val="16"/>
      <color theme="0"/>
      <name val="Calibri"/>
      <family val="2"/>
      <scheme val="minor"/>
    </font>
    <font>
      <b/>
      <sz val="13"/>
      <color theme="1"/>
      <name val="Helvetica Neue"/>
      <family val="2"/>
    </font>
    <font>
      <sz val="11"/>
      <color rgb="FF000000"/>
      <name val="Calibri"/>
      <family val="2"/>
      <scheme val="minor"/>
    </font>
    <font>
      <b/>
      <sz val="24"/>
      <color theme="0"/>
      <name val="Calibri"/>
      <family val="2"/>
      <scheme val="minor"/>
    </font>
    <font>
      <b/>
      <sz val="16"/>
      <color theme="1"/>
      <name val="Calibri"/>
      <family val="2"/>
      <scheme val="minor"/>
    </font>
    <font>
      <b/>
      <u/>
      <sz val="12"/>
      <color theme="10"/>
      <name val="Calibri"/>
      <family val="2"/>
      <scheme val="minor"/>
    </font>
    <font>
      <b/>
      <sz val="20"/>
      <color theme="0"/>
      <name val="Calibri"/>
      <family val="2"/>
      <scheme val="minor"/>
    </font>
    <font>
      <sz val="10"/>
      <color theme="1"/>
      <name val="Arial Unicode MS"/>
      <family val="2"/>
    </font>
  </fonts>
  <fills count="19">
    <fill>
      <patternFill patternType="none"/>
    </fill>
    <fill>
      <patternFill patternType="gray125"/>
    </fill>
    <fill>
      <patternFill patternType="solid">
        <fgColor theme="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89">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2" fontId="0" fillId="0" borderId="0" xfId="0" applyNumberFormat="1"/>
    <xf numFmtId="0" fontId="2" fillId="2" borderId="0" xfId="0" applyFont="1" applyFill="1" applyAlignment="1">
      <alignment horizontal="center" vertical="center"/>
    </xf>
    <xf numFmtId="0" fontId="0" fillId="0" borderId="0" xfId="0" applyAlignment="1">
      <alignment wrapText="1"/>
    </xf>
    <xf numFmtId="0" fontId="0" fillId="0" borderId="0" xfId="0" applyAlignment="1">
      <alignment horizontal="center"/>
    </xf>
    <xf numFmtId="0" fontId="0" fillId="4" borderId="0" xfId="0" applyFill="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applyAlignment="1">
      <alignment horizontal="center"/>
    </xf>
    <xf numFmtId="0" fontId="1" fillId="0" borderId="0" xfId="0" applyFont="1"/>
    <xf numFmtId="0" fontId="3" fillId="0" borderId="0" xfId="0" applyFont="1"/>
    <xf numFmtId="0" fontId="0" fillId="0" borderId="0" xfId="0" applyAlignment="1">
      <alignment vertical="center" wrapText="1"/>
    </xf>
    <xf numFmtId="0" fontId="2" fillId="6" borderId="0" xfId="0" applyFont="1" applyFill="1"/>
    <xf numFmtId="0" fontId="4" fillId="7" borderId="0" xfId="0" applyFont="1" applyFill="1"/>
    <xf numFmtId="0" fontId="0" fillId="8" borderId="0" xfId="0" applyFill="1"/>
    <xf numFmtId="0" fontId="0" fillId="8" borderId="0" xfId="0" applyFill="1" applyAlignment="1">
      <alignment horizontal="right"/>
    </xf>
    <xf numFmtId="0" fontId="4" fillId="9" borderId="0" xfId="0" applyFont="1" applyFill="1"/>
    <xf numFmtId="0" fontId="6" fillId="0" borderId="0" xfId="0" applyFont="1"/>
    <xf numFmtId="0" fontId="5" fillId="0" borderId="0" xfId="1"/>
    <xf numFmtId="0" fontId="6" fillId="0" borderId="0" xfId="0" quotePrefix="1" applyFont="1"/>
    <xf numFmtId="0" fontId="8" fillId="0" borderId="0" xfId="0" applyFont="1"/>
    <xf numFmtId="0" fontId="8" fillId="0" borderId="0" xfId="0" quotePrefix="1" applyFont="1"/>
    <xf numFmtId="0" fontId="1" fillId="5" borderId="0" xfId="0" applyFont="1" applyFill="1"/>
    <xf numFmtId="0" fontId="4" fillId="11" borderId="0" xfId="0" applyFont="1" applyFill="1"/>
    <xf numFmtId="0" fontId="0" fillId="5" borderId="0" xfId="0" applyFill="1"/>
    <xf numFmtId="0" fontId="9" fillId="0" borderId="0" xfId="0" applyFont="1"/>
    <xf numFmtId="0" fontId="0" fillId="12" borderId="0" xfId="0" applyFill="1"/>
    <xf numFmtId="0" fontId="0" fillId="13" borderId="0" xfId="0" applyFill="1"/>
    <xf numFmtId="0" fontId="1" fillId="0" borderId="0" xfId="0" quotePrefix="1" applyFont="1"/>
    <xf numFmtId="0" fontId="12" fillId="0" borderId="0" xfId="1" applyFont="1"/>
    <xf numFmtId="0" fontId="0" fillId="14" borderId="0" xfId="0" applyFill="1"/>
    <xf numFmtId="0" fontId="0" fillId="14" borderId="0" xfId="0" applyFill="1" applyAlignment="1">
      <alignment horizontal="center" vertical="center"/>
    </xf>
    <xf numFmtId="0" fontId="2" fillId="15" borderId="0" xfId="0" applyFont="1" applyFill="1" applyAlignment="1">
      <alignment horizontal="center" vertical="center"/>
    </xf>
    <xf numFmtId="0" fontId="4" fillId="15" borderId="0" xfId="0" applyFont="1" applyFill="1" applyAlignment="1">
      <alignment horizontal="center" vertical="center"/>
    </xf>
    <xf numFmtId="0" fontId="2" fillId="15" borderId="0" xfId="0" applyFont="1" applyFill="1" applyAlignment="1">
      <alignment horizontal="center" vertical="center" wrapText="1"/>
    </xf>
    <xf numFmtId="0" fontId="0" fillId="16" borderId="0" xfId="0" applyFill="1"/>
    <xf numFmtId="0" fontId="0" fillId="17" borderId="0" xfId="0" applyFill="1"/>
    <xf numFmtId="0" fontId="0" fillId="18" borderId="0" xfId="0" applyFill="1"/>
    <xf numFmtId="0" fontId="1" fillId="0" borderId="0" xfId="0" applyFont="1" applyAlignment="1">
      <alignment horizontal="center" vertical="center"/>
    </xf>
    <xf numFmtId="0" fontId="0" fillId="0" borderId="0" xfId="0" applyAlignment="1">
      <alignment horizontal="righ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wrapText="1"/>
    </xf>
    <xf numFmtId="0" fontId="1" fillId="0" borderId="0" xfId="0" applyFont="1" applyAlignment="1">
      <alignment horizont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xf>
    <xf numFmtId="0" fontId="7" fillId="10" borderId="0" xfId="0" applyFont="1" applyFill="1" applyAlignment="1">
      <alignment horizontal="center" vertical="center"/>
    </xf>
    <xf numFmtId="0" fontId="0" fillId="0" borderId="2" xfId="0" applyBorder="1" applyAlignment="1">
      <alignment horizontal="center" vertical="center" wrapText="1"/>
    </xf>
    <xf numFmtId="0" fontId="4" fillId="15"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horizontal="center" vertical="top" wrapText="1"/>
    </xf>
    <xf numFmtId="0" fontId="1" fillId="16" borderId="0" xfId="0" applyFont="1" applyFill="1" applyAlignment="1">
      <alignment horizontal="center"/>
    </xf>
    <xf numFmtId="0" fontId="1" fillId="5" borderId="0" xfId="0" applyFont="1" applyFill="1" applyAlignment="1">
      <alignment horizontal="center" vertical="center"/>
    </xf>
    <xf numFmtId="0" fontId="0" fillId="14" borderId="0" xfId="0" applyFill="1" applyAlignment="1">
      <alignment horizontal="center" vertical="center"/>
    </xf>
    <xf numFmtId="0" fontId="0" fillId="14" borderId="0" xfId="0" applyFill="1" applyAlignment="1">
      <alignment horizontal="center"/>
    </xf>
    <xf numFmtId="0" fontId="1" fillId="0" borderId="0" xfId="0" applyFont="1" applyAlignment="1">
      <alignment horizontal="center" vertical="center" wrapText="1"/>
    </xf>
    <xf numFmtId="0" fontId="11" fillId="3" borderId="0" xfId="0" applyFont="1" applyFill="1" applyAlignment="1">
      <alignment horizontal="left"/>
    </xf>
    <xf numFmtId="0" fontId="10" fillId="10" borderId="0" xfId="0" applyFont="1" applyFill="1" applyAlignment="1">
      <alignment horizontal="center" vertical="center"/>
    </xf>
    <xf numFmtId="0" fontId="0" fillId="12" borderId="0" xfId="0" applyFill="1" applyAlignment="1">
      <alignment horizontal="center"/>
    </xf>
    <xf numFmtId="0" fontId="0" fillId="13" borderId="0" xfId="0" applyFill="1" applyAlignment="1">
      <alignment horizontal="center"/>
    </xf>
    <xf numFmtId="0" fontId="0" fillId="0" borderId="0" xfId="0" applyFont="1"/>
    <xf numFmtId="0" fontId="1" fillId="0" borderId="0" xfId="0" applyFont="1" applyAlignment="1">
      <alignment horizontal="center"/>
    </xf>
    <xf numFmtId="0" fontId="13" fillId="15" borderId="0" xfId="0" applyFont="1" applyFill="1" applyAlignment="1">
      <alignment horizontal="center"/>
    </xf>
    <xf numFmtId="0" fontId="13" fillId="0" borderId="0" xfId="0" applyFont="1" applyFill="1" applyAlignment="1">
      <alignment horizontal="center"/>
    </xf>
    <xf numFmtId="0" fontId="0" fillId="0" borderId="0" xfId="0" applyFill="1"/>
    <xf numFmtId="0" fontId="2" fillId="10" borderId="0" xfId="0" applyFont="1" applyFill="1" applyAlignment="1">
      <alignment horizontal="left" vertical="center"/>
    </xf>
    <xf numFmtId="0" fontId="2" fillId="10" borderId="0" xfId="0" applyFont="1" applyFill="1" applyAlignment="1">
      <alignment horizontal="left" vertical="center" wrapText="1"/>
    </xf>
    <xf numFmtId="0" fontId="14" fillId="0" borderId="0" xfId="0" applyFont="1"/>
    <xf numFmtId="0" fontId="4" fillId="7" borderId="0" xfId="0" applyFont="1" applyFill="1" applyAlignment="1">
      <alignment horizontal="center" vertical="center"/>
    </xf>
    <xf numFmtId="0" fontId="4" fillId="7" borderId="0" xfId="0" applyFont="1" applyFill="1" applyAlignment="1">
      <alignment horizontal="left" vertical="center"/>
    </xf>
    <xf numFmtId="0" fontId="4" fillId="7" borderId="0" xfId="0" applyFont="1" applyFill="1" applyAlignment="1">
      <alignment horizontal="center"/>
    </xf>
    <xf numFmtId="0" fontId="2" fillId="7" borderId="0" xfId="0" applyFont="1" applyFill="1" applyAlignment="1">
      <alignment horizontal="left" vertical="center"/>
    </xf>
    <xf numFmtId="0" fontId="4" fillId="7"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23</xdr:row>
      <xdr:rowOff>15150</xdr:rowOff>
    </xdr:from>
    <xdr:to>
      <xdr:col>5</xdr:col>
      <xdr:colOff>673100</xdr:colOff>
      <xdr:row>38</xdr:row>
      <xdr:rowOff>190499</xdr:rowOff>
    </xdr:to>
    <xdr:pic>
      <xdr:nvPicPr>
        <xdr:cNvPr id="2" name="Picture 1">
          <a:extLst>
            <a:ext uri="{FF2B5EF4-FFF2-40B4-BE49-F238E27FC236}">
              <a16:creationId xmlns:a16="http://schemas.microsoft.com/office/drawing/2014/main" id="{0725AD97-179A-ADB6-E21D-585C05766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3025050"/>
          <a:ext cx="8293100" cy="3236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241300</xdr:colOff>
      <xdr:row>1</xdr:row>
      <xdr:rowOff>38100</xdr:rowOff>
    </xdr:from>
    <xdr:to>
      <xdr:col>11</xdr:col>
      <xdr:colOff>114016</xdr:colOff>
      <xdr:row>28</xdr:row>
      <xdr:rowOff>25400</xdr:rowOff>
    </xdr:to>
    <xdr:pic>
      <xdr:nvPicPr>
        <xdr:cNvPr id="2" name="Picture 1">
          <a:extLst>
            <a:ext uri="{FF2B5EF4-FFF2-40B4-BE49-F238E27FC236}">
              <a16:creationId xmlns:a16="http://schemas.microsoft.com/office/drawing/2014/main" id="{E0FE8092-747E-53CB-3FD5-45544BF3DC9A}"/>
            </a:ext>
          </a:extLst>
        </xdr:cNvPr>
        <xdr:cNvPicPr>
          <a:picLocks noChangeAspect="1"/>
        </xdr:cNvPicPr>
      </xdr:nvPicPr>
      <xdr:blipFill>
        <a:blip xmlns:r="http://schemas.openxmlformats.org/officeDocument/2006/relationships" r:embed="rId1"/>
        <a:stretch>
          <a:fillRect/>
        </a:stretch>
      </xdr:blipFill>
      <xdr:spPr>
        <a:xfrm>
          <a:off x="5613400" y="241300"/>
          <a:ext cx="4317716" cy="5473700"/>
        </a:xfrm>
        <a:prstGeom prst="rect">
          <a:avLst/>
        </a:prstGeom>
      </xdr:spPr>
    </xdr:pic>
    <xdr:clientData/>
  </xdr:twoCellAnchor>
  <xdr:twoCellAnchor editAs="oneCell">
    <xdr:from>
      <xdr:col>13</xdr:col>
      <xdr:colOff>203200</xdr:colOff>
      <xdr:row>1</xdr:row>
      <xdr:rowOff>63500</xdr:rowOff>
    </xdr:from>
    <xdr:to>
      <xdr:col>18</xdr:col>
      <xdr:colOff>655014</xdr:colOff>
      <xdr:row>31</xdr:row>
      <xdr:rowOff>127000</xdr:rowOff>
    </xdr:to>
    <xdr:pic>
      <xdr:nvPicPr>
        <xdr:cNvPr id="3" name="Picture 2">
          <a:extLst>
            <a:ext uri="{FF2B5EF4-FFF2-40B4-BE49-F238E27FC236}">
              <a16:creationId xmlns:a16="http://schemas.microsoft.com/office/drawing/2014/main" id="{D03531AE-837D-5980-CCCE-458063B2A6C8}"/>
            </a:ext>
          </a:extLst>
        </xdr:cNvPr>
        <xdr:cNvPicPr>
          <a:picLocks noChangeAspect="1"/>
        </xdr:cNvPicPr>
      </xdr:nvPicPr>
      <xdr:blipFill>
        <a:blip xmlns:r="http://schemas.openxmlformats.org/officeDocument/2006/relationships" r:embed="rId2"/>
        <a:stretch>
          <a:fillRect/>
        </a:stretch>
      </xdr:blipFill>
      <xdr:spPr>
        <a:xfrm>
          <a:off x="10655300" y="266700"/>
          <a:ext cx="4579314" cy="6159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10</xdr:row>
      <xdr:rowOff>1282700</xdr:rowOff>
    </xdr:from>
    <xdr:to>
      <xdr:col>11</xdr:col>
      <xdr:colOff>543811</xdr:colOff>
      <xdr:row>31</xdr:row>
      <xdr:rowOff>108052</xdr:rowOff>
    </xdr:to>
    <xdr:pic>
      <xdr:nvPicPr>
        <xdr:cNvPr id="2" name="Picture 1">
          <a:extLst>
            <a:ext uri="{FF2B5EF4-FFF2-40B4-BE49-F238E27FC236}">
              <a16:creationId xmlns:a16="http://schemas.microsoft.com/office/drawing/2014/main" id="{38A49AB6-A994-FA5F-4375-FDCC5B4719A8}"/>
            </a:ext>
          </a:extLst>
        </xdr:cNvPr>
        <xdr:cNvPicPr>
          <a:picLocks noChangeAspect="1"/>
        </xdr:cNvPicPr>
      </xdr:nvPicPr>
      <xdr:blipFill>
        <a:blip xmlns:r="http://schemas.openxmlformats.org/officeDocument/2006/relationships" r:embed="rId1"/>
        <a:stretch>
          <a:fillRect/>
        </a:stretch>
      </xdr:blipFill>
      <xdr:spPr>
        <a:xfrm>
          <a:off x="3987800" y="3568700"/>
          <a:ext cx="5636511" cy="4222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iea.org/reports/global-hydrogen-review-2021/executive-summary" TargetMode="External"/><Relationship Id="rId2" Type="http://schemas.openxmlformats.org/officeDocument/2006/relationships/hyperlink" Target="https://www.eia.gov/coal/production/quarterly/pdf/t17p01p1.pdf" TargetMode="External"/><Relationship Id="rId1" Type="http://schemas.openxmlformats.org/officeDocument/2006/relationships/hyperlink" Target="https://www.iea.org/reports/outlook-for-biogas-and-biomethane-prospects-for-organic-growth/sustainable-supply-potential-and-costs" TargetMode="External"/><Relationship Id="rId5" Type="http://schemas.openxmlformats.org/officeDocument/2006/relationships/hyperlink" Target="https://neutrium.net/properties/specific-energy-and-energy-density-of-fuels/%20(MEAN%20OF%20ETHANE,%20PROPANE,%20BUTANE;%2051.8,%2050.3,%2049.5)" TargetMode="External"/><Relationship Id="rId4" Type="http://schemas.openxmlformats.org/officeDocument/2006/relationships/hyperlink" Target="https://www.iea.org/data-and-statistics/charts/biofuel-and-fossil-based-transport-fuel-production-cost-comparison-2017"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energyexplained/oil-and-petroleum-products/refining-crude-oil-inputs-and-outputs.ph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sciencedirect.com/science/article/pii/S1875510020304613?casa_token=tWLgtXnDgJgAAAAA:eL48afkwAAyVfyoGbrGG5R3-Ht0HZRI-FOQduIGCi6JB4Gvd9TZgHrlgW9wq-6FoDsZplQs8pQ" TargetMode="External"/><Relationship Id="rId1" Type="http://schemas.openxmlformats.org/officeDocument/2006/relationships/hyperlink" Target="https://www.engineeringtoolbox.com/gas-density-d_158.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1.eere.energy.gov/manufacturing/resources/mining/pdfs/mining_bandwidth.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lications.jrc.ec.europa.eu/repository/handle/JRC85326" TargetMode="External"/><Relationship Id="rId2" Type="http://schemas.openxmlformats.org/officeDocument/2006/relationships/hyperlink" Target="https://publications.jrc.ec.europa.eu/repository/handle/JRC85326" TargetMode="External"/><Relationship Id="rId1" Type="http://schemas.openxmlformats.org/officeDocument/2006/relationships/hyperlink" Target="https://publications.jrc.ec.europa.eu/repository/handle/JRC85326" TargetMode="External"/><Relationship Id="rId5" Type="http://schemas.openxmlformats.org/officeDocument/2006/relationships/drawing" Target="../drawings/drawing1.xml"/><Relationship Id="rId4" Type="http://schemas.openxmlformats.org/officeDocument/2006/relationships/hyperlink" Target="https://rmi.org/wp-content/uploads/2020/01/hydrogen_insight_brief.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ubs.acs.org/doi/10.1021/acs.est.5b01913" TargetMode="External"/><Relationship Id="rId2" Type="http://schemas.openxmlformats.org/officeDocument/2006/relationships/hyperlink" Target="https://pubs.acs.org/doi/10.1021/acs.est.5b01913" TargetMode="External"/><Relationship Id="rId1" Type="http://schemas.openxmlformats.org/officeDocument/2006/relationships/hyperlink" Target="https://pubs.acs.org/doi/10.1021/acs.est.5b01913" TargetMode="External"/><Relationship Id="rId4" Type="http://schemas.openxmlformats.org/officeDocument/2006/relationships/hyperlink" Target="https://pubs.acs.org/doi/10.1021/acs.est.5b0191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C2B7-30F3-3148-A820-8E972EB43C5F}">
  <dimension ref="A2:C9"/>
  <sheetViews>
    <sheetView workbookViewId="0">
      <selection activeCell="C8" sqref="C8"/>
    </sheetView>
  </sheetViews>
  <sheetFormatPr baseColWidth="10" defaultRowHeight="16" x14ac:dyDescent="0.2"/>
  <sheetData>
    <row r="2" spans="1:3" x14ac:dyDescent="0.2">
      <c r="A2" t="s">
        <v>0</v>
      </c>
    </row>
    <row r="4" spans="1:3" x14ac:dyDescent="0.2">
      <c r="A4" t="s">
        <v>1</v>
      </c>
    </row>
    <row r="7" spans="1:3" x14ac:dyDescent="0.2">
      <c r="A7" t="s">
        <v>19</v>
      </c>
    </row>
    <row r="8" spans="1:3" x14ac:dyDescent="0.2">
      <c r="A8" t="s">
        <v>117</v>
      </c>
      <c r="B8">
        <v>0.68020000000000003</v>
      </c>
      <c r="C8" t="s">
        <v>20</v>
      </c>
    </row>
    <row r="9" spans="1:3" x14ac:dyDescent="0.2">
      <c r="A9" t="s">
        <v>93</v>
      </c>
      <c r="B9">
        <v>1.8400000000000001E-3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A4B2-7F11-6F4A-821B-D6A0DD1B7A8D}">
  <dimension ref="A1:B5"/>
  <sheetViews>
    <sheetView topLeftCell="M1" workbookViewId="0">
      <selection activeCell="L25" sqref="L25"/>
    </sheetView>
  </sheetViews>
  <sheetFormatPr baseColWidth="10" defaultRowHeight="16" x14ac:dyDescent="0.2"/>
  <cols>
    <col min="1" max="1" width="16.6640625" customWidth="1"/>
  </cols>
  <sheetData>
    <row r="1" spans="1:2" x14ac:dyDescent="0.2">
      <c r="A1" t="s">
        <v>69</v>
      </c>
      <c r="B1" t="s">
        <v>68</v>
      </c>
    </row>
    <row r="2" spans="1:2" x14ac:dyDescent="0.2">
      <c r="A2">
        <v>33.909999999999997</v>
      </c>
    </row>
    <row r="3" spans="1:2" x14ac:dyDescent="0.2">
      <c r="A3">
        <v>2.2046199999999998</v>
      </c>
      <c r="B3" t="s">
        <v>70</v>
      </c>
    </row>
    <row r="4" spans="1:2" x14ac:dyDescent="0.2">
      <c r="A4">
        <f>A3*A2</f>
        <v>74.758664199999984</v>
      </c>
      <c r="B4" t="s">
        <v>71</v>
      </c>
    </row>
    <row r="5" spans="1:2" x14ac:dyDescent="0.2">
      <c r="A5">
        <f>A4*1000</f>
        <v>74758.664199999985</v>
      </c>
      <c r="B5" t="s">
        <v>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0EC9-D6D3-9A41-9D33-D74B19414CA1}">
  <dimension ref="A1:C3"/>
  <sheetViews>
    <sheetView workbookViewId="0">
      <selection activeCell="A3" sqref="A3"/>
    </sheetView>
  </sheetViews>
  <sheetFormatPr baseColWidth="10" defaultRowHeight="16" x14ac:dyDescent="0.2"/>
  <sheetData>
    <row r="1" spans="1:3" x14ac:dyDescent="0.2">
      <c r="A1" s="19" t="s">
        <v>73</v>
      </c>
      <c r="B1" s="19">
        <v>0.5</v>
      </c>
      <c r="C1" s="19" t="s">
        <v>74</v>
      </c>
    </row>
    <row r="2" spans="1:3" x14ac:dyDescent="0.2">
      <c r="A2" t="s">
        <v>75</v>
      </c>
      <c r="B2">
        <f>(194.27+170.01)/2</f>
        <v>182.14</v>
      </c>
      <c r="C2" t="s">
        <v>76</v>
      </c>
    </row>
    <row r="3" spans="1:3" x14ac:dyDescent="0.2">
      <c r="A3" t="s">
        <v>77</v>
      </c>
      <c r="B3">
        <f>B2*B1</f>
        <v>91.07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7F77-52F2-1B41-A795-B311D051266D}">
  <dimension ref="A1:B1"/>
  <sheetViews>
    <sheetView workbookViewId="0">
      <selection activeCell="B1" sqref="A1:B1"/>
    </sheetView>
  </sheetViews>
  <sheetFormatPr baseColWidth="10" defaultRowHeight="16" x14ac:dyDescent="0.2"/>
  <sheetData>
    <row r="1" spans="1:2" x14ac:dyDescent="0.2">
      <c r="A1">
        <v>9.9849999999999994</v>
      </c>
      <c r="B1" t="s">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55BFE-4088-1E41-9DDD-2CBCBD9293D5}">
  <sheetPr filterMode="1"/>
  <dimension ref="A1:X26"/>
  <sheetViews>
    <sheetView workbookViewId="0">
      <selection activeCell="B14" sqref="B14"/>
    </sheetView>
  </sheetViews>
  <sheetFormatPr baseColWidth="10" defaultRowHeight="16" x14ac:dyDescent="0.2"/>
  <cols>
    <col min="7" max="11" width="0" hidden="1" customWidth="1"/>
    <col min="21" max="21" width="12.1640625" customWidth="1"/>
  </cols>
  <sheetData>
    <row r="1" spans="1:24" x14ac:dyDescent="0.2">
      <c r="A1" t="s">
        <v>338</v>
      </c>
      <c r="B1" t="s">
        <v>339</v>
      </c>
      <c r="C1" t="s">
        <v>340</v>
      </c>
      <c r="D1" t="s">
        <v>341</v>
      </c>
      <c r="E1" t="s">
        <v>342</v>
      </c>
      <c r="F1" t="s">
        <v>343</v>
      </c>
      <c r="G1" t="s">
        <v>344</v>
      </c>
      <c r="H1" t="s">
        <v>345</v>
      </c>
      <c r="I1" t="s">
        <v>346</v>
      </c>
      <c r="J1" t="s">
        <v>347</v>
      </c>
      <c r="K1" t="s">
        <v>348</v>
      </c>
      <c r="L1" t="s">
        <v>349</v>
      </c>
      <c r="M1" t="s">
        <v>350</v>
      </c>
      <c r="N1" t="s">
        <v>351</v>
      </c>
      <c r="O1" t="s">
        <v>468</v>
      </c>
      <c r="Q1" t="s">
        <v>352</v>
      </c>
      <c r="R1" t="s">
        <v>353</v>
      </c>
      <c r="S1" t="s">
        <v>354</v>
      </c>
      <c r="T1" t="s">
        <v>355</v>
      </c>
      <c r="V1" t="s">
        <v>356</v>
      </c>
      <c r="W1" t="s">
        <v>465</v>
      </c>
      <c r="X1" t="s">
        <v>462</v>
      </c>
    </row>
    <row r="2" spans="1:24" hidden="1" x14ac:dyDescent="0.2">
      <c r="A2" t="s">
        <v>357</v>
      </c>
      <c r="B2" t="s">
        <v>358</v>
      </c>
      <c r="C2" t="s">
        <v>359</v>
      </c>
      <c r="G2">
        <v>1</v>
      </c>
      <c r="H2">
        <v>0</v>
      </c>
      <c r="I2">
        <v>0</v>
      </c>
      <c r="J2" t="s">
        <v>360</v>
      </c>
      <c r="K2">
        <v>0</v>
      </c>
      <c r="L2">
        <v>1</v>
      </c>
      <c r="M2">
        <v>12</v>
      </c>
      <c r="N2" s="46" t="s">
        <v>361</v>
      </c>
      <c r="P2" t="s">
        <v>362</v>
      </c>
      <c r="Q2" s="27" t="s">
        <v>363</v>
      </c>
      <c r="R2" t="s">
        <v>364</v>
      </c>
      <c r="S2">
        <v>2018</v>
      </c>
      <c r="T2" t="s">
        <v>469</v>
      </c>
    </row>
    <row r="3" spans="1:24" hidden="1" x14ac:dyDescent="0.2">
      <c r="A3" t="s">
        <v>365</v>
      </c>
      <c r="B3" t="s">
        <v>366</v>
      </c>
      <c r="C3" t="s">
        <v>367</v>
      </c>
      <c r="G3">
        <v>0</v>
      </c>
      <c r="H3">
        <v>1</v>
      </c>
      <c r="I3">
        <v>0</v>
      </c>
      <c r="J3" t="s">
        <v>360</v>
      </c>
      <c r="K3">
        <v>0</v>
      </c>
      <c r="L3">
        <v>1</v>
      </c>
    </row>
    <row r="4" spans="1:24" x14ac:dyDescent="0.2">
      <c r="A4" t="s">
        <v>368</v>
      </c>
      <c r="B4" t="s">
        <v>369</v>
      </c>
      <c r="C4" t="s">
        <v>370</v>
      </c>
      <c r="F4" s="45"/>
      <c r="G4" s="45">
        <v>0</v>
      </c>
      <c r="H4" s="45">
        <v>0</v>
      </c>
      <c r="I4" s="45">
        <v>0</v>
      </c>
      <c r="J4" s="45" t="s">
        <v>360</v>
      </c>
      <c r="K4" s="45">
        <v>0</v>
      </c>
      <c r="L4" s="45">
        <v>1</v>
      </c>
      <c r="M4" s="45">
        <v>64.510000000000005</v>
      </c>
      <c r="N4" s="45" t="s">
        <v>371</v>
      </c>
      <c r="O4" s="45">
        <f>M4</f>
        <v>64.510000000000005</v>
      </c>
      <c r="P4" t="s">
        <v>372</v>
      </c>
      <c r="Q4" t="s">
        <v>373</v>
      </c>
      <c r="R4" t="s">
        <v>374</v>
      </c>
      <c r="S4">
        <v>2019</v>
      </c>
      <c r="T4" t="s">
        <v>375</v>
      </c>
    </row>
    <row r="5" spans="1:24" ht="23" hidden="1" customHeight="1" x14ac:dyDescent="0.2">
      <c r="A5" t="s">
        <v>376</v>
      </c>
      <c r="B5" t="s">
        <v>377</v>
      </c>
      <c r="C5" t="s">
        <v>378</v>
      </c>
      <c r="G5">
        <v>0</v>
      </c>
      <c r="H5">
        <v>0</v>
      </c>
      <c r="I5">
        <v>0</v>
      </c>
      <c r="J5" t="s">
        <v>369</v>
      </c>
      <c r="K5">
        <v>0</v>
      </c>
      <c r="L5">
        <v>0</v>
      </c>
    </row>
    <row r="6" spans="1:24" x14ac:dyDescent="0.2">
      <c r="A6" t="s">
        <v>379</v>
      </c>
      <c r="B6" t="s">
        <v>380</v>
      </c>
      <c r="C6" t="s">
        <v>381</v>
      </c>
      <c r="G6">
        <v>0</v>
      </c>
      <c r="H6">
        <v>0</v>
      </c>
      <c r="I6">
        <v>0</v>
      </c>
      <c r="J6" t="s">
        <v>360</v>
      </c>
      <c r="K6">
        <v>0</v>
      </c>
      <c r="L6">
        <v>1</v>
      </c>
      <c r="M6">
        <v>277.33</v>
      </c>
      <c r="N6" t="s">
        <v>382</v>
      </c>
      <c r="O6">
        <f>M6*0.907185</f>
        <v>251.58961604999999</v>
      </c>
      <c r="P6" t="s">
        <v>372</v>
      </c>
      <c r="Q6" s="27" t="s">
        <v>383</v>
      </c>
      <c r="R6" t="s">
        <v>384</v>
      </c>
      <c r="S6">
        <v>2022</v>
      </c>
      <c r="T6" t="s">
        <v>385</v>
      </c>
      <c r="V6" t="s">
        <v>464</v>
      </c>
      <c r="W6">
        <f>1.06*24.8</f>
        <v>26.288000000000004</v>
      </c>
      <c r="X6" t="s">
        <v>463</v>
      </c>
    </row>
    <row r="7" spans="1:24" hidden="1" x14ac:dyDescent="0.2">
      <c r="A7" t="s">
        <v>386</v>
      </c>
      <c r="B7" t="s">
        <v>387</v>
      </c>
      <c r="C7" t="s">
        <v>388</v>
      </c>
      <c r="G7">
        <v>0</v>
      </c>
      <c r="H7">
        <v>0</v>
      </c>
      <c r="I7">
        <v>0</v>
      </c>
      <c r="J7" t="s">
        <v>360</v>
      </c>
      <c r="K7">
        <v>0</v>
      </c>
      <c r="L7">
        <v>1</v>
      </c>
      <c r="M7">
        <v>445</v>
      </c>
      <c r="N7" t="s">
        <v>389</v>
      </c>
      <c r="O7">
        <f>M7</f>
        <v>445</v>
      </c>
      <c r="P7" t="s">
        <v>390</v>
      </c>
      <c r="Q7" t="s">
        <v>391</v>
      </c>
      <c r="R7" t="s">
        <v>392</v>
      </c>
      <c r="S7">
        <v>2021</v>
      </c>
    </row>
    <row r="8" spans="1:24" hidden="1" x14ac:dyDescent="0.2">
      <c r="A8" t="s">
        <v>393</v>
      </c>
      <c r="B8" t="s">
        <v>394</v>
      </c>
      <c r="C8" t="s">
        <v>395</v>
      </c>
      <c r="G8">
        <v>0</v>
      </c>
      <c r="H8">
        <v>0</v>
      </c>
      <c r="I8">
        <v>0</v>
      </c>
      <c r="J8" t="s">
        <v>360</v>
      </c>
      <c r="K8">
        <v>0</v>
      </c>
      <c r="L8">
        <v>1</v>
      </c>
      <c r="M8">
        <v>0.79</v>
      </c>
      <c r="N8" t="s">
        <v>396</v>
      </c>
      <c r="O8">
        <f>M8*1000</f>
        <v>790</v>
      </c>
      <c r="P8" t="s">
        <v>390</v>
      </c>
      <c r="Q8" t="s">
        <v>373</v>
      </c>
      <c r="R8" t="s">
        <v>374</v>
      </c>
      <c r="S8">
        <v>2019</v>
      </c>
      <c r="T8" t="s">
        <v>397</v>
      </c>
    </row>
    <row r="9" spans="1:24" hidden="1" x14ac:dyDescent="0.2">
      <c r="A9" t="s">
        <v>398</v>
      </c>
      <c r="B9" t="s">
        <v>399</v>
      </c>
      <c r="C9" t="s">
        <v>400</v>
      </c>
      <c r="G9">
        <v>0</v>
      </c>
      <c r="H9">
        <v>0</v>
      </c>
      <c r="I9">
        <v>1</v>
      </c>
      <c r="J9" t="s">
        <v>360</v>
      </c>
      <c r="K9">
        <v>0</v>
      </c>
      <c r="L9">
        <v>1</v>
      </c>
      <c r="M9">
        <v>180.27</v>
      </c>
      <c r="N9" t="s">
        <v>401</v>
      </c>
      <c r="O9">
        <f>M9/3.41212822</f>
        <v>52.832129503034913</v>
      </c>
      <c r="P9" t="s">
        <v>362</v>
      </c>
      <c r="Q9" t="s">
        <v>373</v>
      </c>
      <c r="R9" t="s">
        <v>374</v>
      </c>
      <c r="S9">
        <v>2019</v>
      </c>
      <c r="T9" t="s">
        <v>466</v>
      </c>
    </row>
    <row r="10" spans="1:24" hidden="1" x14ac:dyDescent="0.2">
      <c r="A10" t="s">
        <v>402</v>
      </c>
      <c r="B10" t="s">
        <v>403</v>
      </c>
      <c r="C10" t="s">
        <v>404</v>
      </c>
      <c r="G10">
        <v>0</v>
      </c>
      <c r="H10">
        <v>0</v>
      </c>
      <c r="I10">
        <v>0</v>
      </c>
      <c r="J10" t="s">
        <v>360</v>
      </c>
      <c r="K10">
        <v>0</v>
      </c>
      <c r="L10">
        <v>1</v>
      </c>
    </row>
    <row r="11" spans="1:24" hidden="1" x14ac:dyDescent="0.2">
      <c r="A11" t="s">
        <v>405</v>
      </c>
      <c r="B11" t="s">
        <v>406</v>
      </c>
      <c r="C11" t="s">
        <v>407</v>
      </c>
      <c r="G11">
        <v>0</v>
      </c>
      <c r="H11">
        <v>0</v>
      </c>
      <c r="I11">
        <v>0</v>
      </c>
      <c r="J11" t="s">
        <v>360</v>
      </c>
      <c r="K11">
        <v>0</v>
      </c>
      <c r="L11">
        <v>1</v>
      </c>
      <c r="M11">
        <v>1.05</v>
      </c>
      <c r="N11" t="s">
        <v>396</v>
      </c>
      <c r="O11">
        <f>M11*1000</f>
        <v>1050</v>
      </c>
      <c r="P11" t="s">
        <v>390</v>
      </c>
      <c r="Q11" t="s">
        <v>373</v>
      </c>
      <c r="R11" t="s">
        <v>374</v>
      </c>
      <c r="S11">
        <v>2019</v>
      </c>
      <c r="T11" t="s">
        <v>397</v>
      </c>
    </row>
    <row r="12" spans="1:24" hidden="1" x14ac:dyDescent="0.2">
      <c r="A12" t="s">
        <v>408</v>
      </c>
      <c r="B12" t="s">
        <v>409</v>
      </c>
      <c r="C12" t="s">
        <v>410</v>
      </c>
      <c r="G12">
        <v>0</v>
      </c>
      <c r="H12">
        <v>0</v>
      </c>
      <c r="I12">
        <v>0</v>
      </c>
      <c r="J12" t="s">
        <v>360</v>
      </c>
      <c r="K12">
        <v>0</v>
      </c>
      <c r="L12">
        <v>0</v>
      </c>
    </row>
    <row r="13" spans="1:24" x14ac:dyDescent="0.2">
      <c r="A13" t="s">
        <v>411</v>
      </c>
      <c r="B13" t="s">
        <v>412</v>
      </c>
      <c r="C13" t="s">
        <v>413</v>
      </c>
      <c r="G13">
        <v>0</v>
      </c>
      <c r="H13">
        <v>0</v>
      </c>
      <c r="I13">
        <v>0</v>
      </c>
      <c r="J13" t="s">
        <v>360</v>
      </c>
      <c r="K13">
        <v>0</v>
      </c>
      <c r="L13">
        <v>1</v>
      </c>
      <c r="M13">
        <v>1.53</v>
      </c>
      <c r="N13" t="s">
        <v>414</v>
      </c>
      <c r="O13">
        <f>M13*1000</f>
        <v>1530</v>
      </c>
      <c r="P13" t="s">
        <v>372</v>
      </c>
      <c r="Q13" t="s">
        <v>373</v>
      </c>
      <c r="R13" t="s">
        <v>374</v>
      </c>
      <c r="S13">
        <v>2019</v>
      </c>
      <c r="T13" t="s">
        <v>415</v>
      </c>
      <c r="V13" t="s">
        <v>471</v>
      </c>
      <c r="X13" s="27" t="s">
        <v>470</v>
      </c>
    </row>
    <row r="14" spans="1:24" ht="404" x14ac:dyDescent="0.2">
      <c r="A14" t="s">
        <v>416</v>
      </c>
      <c r="B14" t="s">
        <v>417</v>
      </c>
      <c r="C14" t="s">
        <v>418</v>
      </c>
      <c r="G14">
        <v>0</v>
      </c>
      <c r="H14">
        <v>0</v>
      </c>
      <c r="I14">
        <v>0</v>
      </c>
      <c r="J14" t="s">
        <v>360</v>
      </c>
      <c r="K14">
        <v>0</v>
      </c>
      <c r="L14">
        <v>1</v>
      </c>
      <c r="M14">
        <v>3</v>
      </c>
      <c r="N14" t="s">
        <v>414</v>
      </c>
      <c r="O14">
        <f>M14*1000</f>
        <v>3000</v>
      </c>
      <c r="P14" t="s">
        <v>372</v>
      </c>
      <c r="Q14" s="27" t="s">
        <v>419</v>
      </c>
      <c r="R14" t="s">
        <v>392</v>
      </c>
      <c r="S14" t="s">
        <v>420</v>
      </c>
      <c r="T14" t="s">
        <v>421</v>
      </c>
      <c r="V14">
        <f>1/8.07</f>
        <v>0.12391573729863692</v>
      </c>
      <c r="W14">
        <f>1000*V14*1.05506</f>
        <v>130.73853779429987</v>
      </c>
      <c r="X14" s="5" t="s">
        <v>472</v>
      </c>
    </row>
    <row r="15" spans="1:24" hidden="1" x14ac:dyDescent="0.2">
      <c r="A15" t="s">
        <v>422</v>
      </c>
      <c r="B15" t="s">
        <v>423</v>
      </c>
      <c r="C15" t="s">
        <v>424</v>
      </c>
      <c r="G15">
        <v>0</v>
      </c>
      <c r="H15">
        <v>0</v>
      </c>
      <c r="I15">
        <v>0</v>
      </c>
      <c r="J15" t="s">
        <v>360</v>
      </c>
      <c r="K15">
        <v>0</v>
      </c>
      <c r="L15">
        <v>0</v>
      </c>
    </row>
    <row r="16" spans="1:24" hidden="1" x14ac:dyDescent="0.2">
      <c r="A16" t="s">
        <v>425</v>
      </c>
      <c r="B16" t="s">
        <v>426</v>
      </c>
      <c r="C16" t="s">
        <v>427</v>
      </c>
      <c r="G16">
        <v>0</v>
      </c>
      <c r="H16">
        <v>0</v>
      </c>
      <c r="I16">
        <v>0</v>
      </c>
      <c r="J16" t="s">
        <v>360</v>
      </c>
      <c r="K16">
        <v>0</v>
      </c>
      <c r="L16">
        <v>1</v>
      </c>
      <c r="M16">
        <v>0.69</v>
      </c>
      <c r="N16" t="s">
        <v>396</v>
      </c>
      <c r="O16">
        <f>M16*1000</f>
        <v>690</v>
      </c>
      <c r="P16" t="s">
        <v>390</v>
      </c>
      <c r="Q16" t="s">
        <v>373</v>
      </c>
      <c r="R16" t="s">
        <v>374</v>
      </c>
      <c r="S16">
        <v>2019</v>
      </c>
      <c r="T16" t="s">
        <v>397</v>
      </c>
    </row>
    <row r="17" spans="1:20" hidden="1" x14ac:dyDescent="0.2">
      <c r="A17" t="s">
        <v>428</v>
      </c>
      <c r="B17" t="s">
        <v>429</v>
      </c>
      <c r="C17" t="s">
        <v>430</v>
      </c>
      <c r="G17">
        <v>0</v>
      </c>
      <c r="H17">
        <v>0</v>
      </c>
      <c r="I17">
        <v>0</v>
      </c>
      <c r="J17" t="s">
        <v>360</v>
      </c>
      <c r="K17">
        <v>0</v>
      </c>
      <c r="L17">
        <v>1</v>
      </c>
      <c r="M17">
        <v>0.8</v>
      </c>
      <c r="N17" t="s">
        <v>396</v>
      </c>
      <c r="O17">
        <f>M17*1000</f>
        <v>800</v>
      </c>
      <c r="P17" t="s">
        <v>390</v>
      </c>
      <c r="Q17" s="27" t="s">
        <v>431</v>
      </c>
      <c r="R17" t="s">
        <v>432</v>
      </c>
      <c r="S17">
        <v>2017</v>
      </c>
      <c r="T17" t="s">
        <v>397</v>
      </c>
    </row>
    <row r="18" spans="1:20" hidden="1" x14ac:dyDescent="0.2">
      <c r="A18" t="s">
        <v>433</v>
      </c>
      <c r="B18" t="s">
        <v>434</v>
      </c>
      <c r="C18" t="s">
        <v>435</v>
      </c>
      <c r="G18">
        <v>0</v>
      </c>
      <c r="H18">
        <v>0</v>
      </c>
      <c r="I18">
        <v>0</v>
      </c>
      <c r="J18" t="s">
        <v>360</v>
      </c>
      <c r="K18">
        <v>0</v>
      </c>
      <c r="L18">
        <v>1</v>
      </c>
      <c r="M18">
        <v>18</v>
      </c>
      <c r="N18" t="s">
        <v>436</v>
      </c>
      <c r="O18">
        <f>M18*1.05506</f>
        <v>18.991080000000004</v>
      </c>
      <c r="P18" t="s">
        <v>362</v>
      </c>
      <c r="Q18" t="s">
        <v>437</v>
      </c>
      <c r="R18" t="s">
        <v>374</v>
      </c>
      <c r="S18">
        <v>2020</v>
      </c>
      <c r="T18" t="s">
        <v>467</v>
      </c>
    </row>
    <row r="19" spans="1:20" hidden="1" x14ac:dyDescent="0.2">
      <c r="A19" t="s">
        <v>438</v>
      </c>
      <c r="B19" t="s">
        <v>439</v>
      </c>
      <c r="C19" t="s">
        <v>440</v>
      </c>
      <c r="G19">
        <v>0</v>
      </c>
      <c r="H19">
        <v>0</v>
      </c>
      <c r="I19">
        <v>0</v>
      </c>
      <c r="J19" t="s">
        <v>360</v>
      </c>
      <c r="K19">
        <v>0</v>
      </c>
      <c r="L19">
        <v>1</v>
      </c>
    </row>
    <row r="20" spans="1:20" hidden="1" x14ac:dyDescent="0.2">
      <c r="A20" t="s">
        <v>441</v>
      </c>
      <c r="B20" t="s">
        <v>442</v>
      </c>
      <c r="C20" t="s">
        <v>443</v>
      </c>
      <c r="G20">
        <v>0</v>
      </c>
      <c r="H20">
        <v>0</v>
      </c>
      <c r="I20">
        <v>0</v>
      </c>
      <c r="J20" t="s">
        <v>360</v>
      </c>
      <c r="K20">
        <v>0</v>
      </c>
      <c r="L20">
        <v>0</v>
      </c>
    </row>
    <row r="21" spans="1:20" hidden="1" x14ac:dyDescent="0.2">
      <c r="A21" t="s">
        <v>444</v>
      </c>
      <c r="B21" t="s">
        <v>445</v>
      </c>
      <c r="C21" t="s">
        <v>446</v>
      </c>
      <c r="G21">
        <v>0</v>
      </c>
      <c r="H21">
        <v>0</v>
      </c>
      <c r="I21">
        <v>0</v>
      </c>
      <c r="J21" t="s">
        <v>360</v>
      </c>
      <c r="K21">
        <v>0</v>
      </c>
      <c r="L21">
        <v>1</v>
      </c>
    </row>
    <row r="22" spans="1:20" hidden="1" x14ac:dyDescent="0.2">
      <c r="A22" t="s">
        <v>447</v>
      </c>
      <c r="B22" t="s">
        <v>448</v>
      </c>
      <c r="C22" t="s">
        <v>449</v>
      </c>
      <c r="G22">
        <v>0</v>
      </c>
      <c r="H22">
        <v>0</v>
      </c>
      <c r="I22">
        <v>0</v>
      </c>
      <c r="J22" t="s">
        <v>360</v>
      </c>
      <c r="K22">
        <v>0</v>
      </c>
      <c r="L22">
        <v>0</v>
      </c>
    </row>
    <row r="23" spans="1:20" hidden="1" x14ac:dyDescent="0.2">
      <c r="A23" t="s">
        <v>450</v>
      </c>
      <c r="B23" t="s">
        <v>451</v>
      </c>
      <c r="C23" t="s">
        <v>452</v>
      </c>
      <c r="G23">
        <v>0</v>
      </c>
      <c r="H23">
        <v>0</v>
      </c>
      <c r="I23">
        <v>0</v>
      </c>
      <c r="J23" t="s">
        <v>360</v>
      </c>
      <c r="K23">
        <v>0</v>
      </c>
      <c r="L23">
        <v>0</v>
      </c>
    </row>
    <row r="24" spans="1:20" hidden="1" x14ac:dyDescent="0.2">
      <c r="A24" t="s">
        <v>453</v>
      </c>
      <c r="B24" t="s">
        <v>454</v>
      </c>
      <c r="C24" t="s">
        <v>455</v>
      </c>
      <c r="G24">
        <v>0</v>
      </c>
      <c r="H24">
        <v>0</v>
      </c>
      <c r="I24">
        <v>0</v>
      </c>
      <c r="J24" t="s">
        <v>434</v>
      </c>
      <c r="K24">
        <v>0</v>
      </c>
      <c r="L24">
        <v>0</v>
      </c>
    </row>
    <row r="25" spans="1:20" hidden="1" x14ac:dyDescent="0.2">
      <c r="A25" t="s">
        <v>456</v>
      </c>
      <c r="B25" t="s">
        <v>457</v>
      </c>
      <c r="C25" t="s">
        <v>458</v>
      </c>
      <c r="G25">
        <v>0</v>
      </c>
      <c r="H25">
        <v>0</v>
      </c>
      <c r="I25">
        <v>0</v>
      </c>
      <c r="J25" t="s">
        <v>360</v>
      </c>
      <c r="K25">
        <v>1</v>
      </c>
      <c r="L25">
        <v>1</v>
      </c>
    </row>
    <row r="26" spans="1:20" hidden="1" x14ac:dyDescent="0.2">
      <c r="A26" t="s">
        <v>459</v>
      </c>
      <c r="B26" t="s">
        <v>460</v>
      </c>
      <c r="C26" t="s">
        <v>461</v>
      </c>
      <c r="G26">
        <v>0</v>
      </c>
      <c r="H26">
        <v>0</v>
      </c>
      <c r="I26">
        <v>0</v>
      </c>
      <c r="J26" t="s">
        <v>360</v>
      </c>
      <c r="K26">
        <v>0</v>
      </c>
      <c r="L26">
        <v>0</v>
      </c>
    </row>
  </sheetData>
  <autoFilter ref="A1:T26" xr:uid="{5BF55BFE-4088-1E41-9DDD-2CBCBD9293D5}">
    <filterColumn colId="15">
      <filters>
        <filter val="GRAVIMETRIC"/>
      </filters>
    </filterColumn>
  </autoFilter>
  <hyperlinks>
    <hyperlink ref="Q2" r:id="rId1" xr:uid="{97B41050-CC9F-4546-9AC9-366B7CD147F1}"/>
    <hyperlink ref="Q6" r:id="rId2" xr:uid="{08FFC797-A2CA-EB42-AD8A-C4509A958662}"/>
    <hyperlink ref="Q14" r:id="rId3" xr:uid="{018EE58A-1BA6-6D49-A55F-42BCA5F6E55E}"/>
    <hyperlink ref="Q17" r:id="rId4" xr:uid="{3DA4DE2B-BB75-F640-9A02-9502F5B020CA}"/>
    <hyperlink ref="X13" r:id="rId5" xr:uid="{005914C0-4251-9446-BF49-FD4ECEEDB52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0D75-3216-704D-87F9-6F7CF1AE4454}">
  <dimension ref="A1:K75"/>
  <sheetViews>
    <sheetView tabSelected="1" topLeftCell="A54" workbookViewId="0">
      <selection activeCell="C57" sqref="C57:C58"/>
    </sheetView>
  </sheetViews>
  <sheetFormatPr baseColWidth="10" defaultRowHeight="16" x14ac:dyDescent="0.2"/>
  <cols>
    <col min="1" max="1" width="51.83203125" customWidth="1"/>
  </cols>
  <sheetData>
    <row r="1" spans="1:10" x14ac:dyDescent="0.2">
      <c r="B1" t="s">
        <v>490</v>
      </c>
      <c r="C1" t="s">
        <v>158</v>
      </c>
    </row>
    <row r="2" spans="1:10" x14ac:dyDescent="0.2">
      <c r="A2" t="s">
        <v>489</v>
      </c>
    </row>
    <row r="3" spans="1:10" x14ac:dyDescent="0.2">
      <c r="A3" t="s">
        <v>488</v>
      </c>
      <c r="C3">
        <v>8.8000000000000007</v>
      </c>
    </row>
    <row r="4" spans="1:10" x14ac:dyDescent="0.2">
      <c r="A4" t="s">
        <v>487</v>
      </c>
      <c r="C4" s="34">
        <v>36.4</v>
      </c>
    </row>
    <row r="5" spans="1:10" x14ac:dyDescent="0.2">
      <c r="A5" t="s">
        <v>486</v>
      </c>
      <c r="D5">
        <v>3.6</v>
      </c>
    </row>
    <row r="6" spans="1:10" x14ac:dyDescent="0.2">
      <c r="A6" t="s">
        <v>485</v>
      </c>
      <c r="C6">
        <f>C4/D5</f>
        <v>10.111111111111111</v>
      </c>
    </row>
    <row r="7" spans="1:10" x14ac:dyDescent="0.2">
      <c r="A7" t="s">
        <v>484</v>
      </c>
      <c r="C7">
        <f>C3/C6</f>
        <v>0.87032967032967046</v>
      </c>
    </row>
    <row r="10" spans="1:10" x14ac:dyDescent="0.2">
      <c r="A10" t="s">
        <v>491</v>
      </c>
    </row>
    <row r="13" spans="1:10" x14ac:dyDescent="0.2">
      <c r="A13" s="77" t="s">
        <v>504</v>
      </c>
      <c r="B13" s="77"/>
      <c r="C13" s="77"/>
      <c r="D13" s="77"/>
      <c r="E13" s="77"/>
      <c r="F13" s="77"/>
      <c r="G13" s="77"/>
      <c r="H13" s="77"/>
      <c r="I13" s="77"/>
      <c r="J13" s="77"/>
    </row>
    <row r="17" spans="1:11" ht="26" x14ac:dyDescent="0.3">
      <c r="A17" s="78" t="s">
        <v>504</v>
      </c>
      <c r="B17" s="78"/>
      <c r="C17" s="78"/>
      <c r="D17" s="78"/>
      <c r="E17" s="78"/>
      <c r="F17" s="78"/>
      <c r="G17" s="78"/>
      <c r="H17" s="78"/>
      <c r="I17" s="78"/>
      <c r="J17" s="78"/>
    </row>
    <row r="18" spans="1:11" s="80" customFormat="1" ht="26" x14ac:dyDescent="0.3">
      <c r="A18" s="79"/>
      <c r="B18" s="79"/>
      <c r="C18" s="79"/>
      <c r="D18" s="79"/>
      <c r="E18" s="79"/>
      <c r="F18" s="79"/>
      <c r="G18" s="79"/>
      <c r="H18" s="79"/>
      <c r="I18" s="79"/>
      <c r="J18" s="79"/>
    </row>
    <row r="19" spans="1:11" ht="104" customHeight="1" x14ac:dyDescent="0.2">
      <c r="A19" s="82" t="s">
        <v>506</v>
      </c>
      <c r="B19" s="81"/>
      <c r="C19" s="81"/>
      <c r="D19" s="81"/>
      <c r="E19" s="81"/>
      <c r="F19" s="81"/>
      <c r="G19" s="81"/>
      <c r="H19" s="81"/>
      <c r="I19" s="81"/>
    </row>
    <row r="21" spans="1:11" ht="84" customHeight="1" x14ac:dyDescent="0.2">
      <c r="A21" s="56" t="s">
        <v>495</v>
      </c>
      <c r="B21" s="56"/>
      <c r="C21" s="56"/>
      <c r="D21" s="56"/>
      <c r="K21">
        <f>47951850/5462141</f>
        <v>8.7789476690550465</v>
      </c>
    </row>
    <row r="22" spans="1:11" x14ac:dyDescent="0.2">
      <c r="A22" t="s">
        <v>492</v>
      </c>
    </row>
    <row r="23" spans="1:11" x14ac:dyDescent="0.2">
      <c r="A23" t="s">
        <v>493</v>
      </c>
      <c r="C23" t="s">
        <v>494</v>
      </c>
    </row>
    <row r="25" spans="1:11" x14ac:dyDescent="0.2">
      <c r="A25">
        <v>3.4500000000000003E-2</v>
      </c>
      <c r="B25" t="s">
        <v>496</v>
      </c>
      <c r="C25" s="69" t="s">
        <v>500</v>
      </c>
    </row>
    <row r="26" spans="1:11" x14ac:dyDescent="0.2">
      <c r="A26">
        <v>6806</v>
      </c>
      <c r="B26" t="s">
        <v>498</v>
      </c>
      <c r="C26" s="69"/>
    </row>
    <row r="27" spans="1:11" x14ac:dyDescent="0.2">
      <c r="A27">
        <f>A25*A26</f>
        <v>234.80700000000002</v>
      </c>
      <c r="B27" t="s">
        <v>497</v>
      </c>
      <c r="C27" s="69"/>
      <c r="G27">
        <f>1/8.8</f>
        <v>0.11363636363636363</v>
      </c>
    </row>
    <row r="28" spans="1:11" x14ac:dyDescent="0.2">
      <c r="A28" s="18">
        <f>1/A27</f>
        <v>4.2588168155123143E-3</v>
      </c>
      <c r="B28" t="s">
        <v>489</v>
      </c>
      <c r="C28" s="69"/>
      <c r="D28">
        <f>8.8/6806</f>
        <v>1.2929767851895388E-3</v>
      </c>
    </row>
    <row r="29" spans="1:11" x14ac:dyDescent="0.2">
      <c r="A29" s="76">
        <f>A28/D5</f>
        <v>1.1830046709756428E-3</v>
      </c>
      <c r="B29" t="s">
        <v>499</v>
      </c>
      <c r="C29" s="69"/>
    </row>
    <row r="32" spans="1:11" x14ac:dyDescent="0.2">
      <c r="A32">
        <v>0.5</v>
      </c>
      <c r="B32" t="s">
        <v>503</v>
      </c>
      <c r="C32" s="69" t="s">
        <v>201</v>
      </c>
      <c r="D32" t="s">
        <v>501</v>
      </c>
      <c r="E32" t="s">
        <v>502</v>
      </c>
    </row>
    <row r="33" spans="1:9" x14ac:dyDescent="0.2">
      <c r="A33">
        <f>A29*A32</f>
        <v>5.9150233548782138E-4</v>
      </c>
      <c r="B33" t="s">
        <v>499</v>
      </c>
      <c r="C33" s="69"/>
    </row>
    <row r="34" spans="1:9" x14ac:dyDescent="0.2">
      <c r="A34" s="18">
        <f>A33*C4</f>
        <v>2.1530685011756697E-2</v>
      </c>
      <c r="B34" t="s">
        <v>488</v>
      </c>
      <c r="C34" s="69"/>
    </row>
    <row r="36" spans="1:9" x14ac:dyDescent="0.2">
      <c r="C36" t="s">
        <v>505</v>
      </c>
    </row>
    <row r="39" spans="1:9" ht="104" customHeight="1" x14ac:dyDescent="0.2">
      <c r="A39" s="82" t="s">
        <v>507</v>
      </c>
      <c r="B39" s="81"/>
      <c r="C39" s="81"/>
      <c r="D39" s="81"/>
      <c r="E39" s="81"/>
      <c r="F39" s="81"/>
      <c r="G39" s="81"/>
      <c r="H39" s="81"/>
      <c r="I39" s="81"/>
    </row>
    <row r="41" spans="1:9" x14ac:dyDescent="0.2">
      <c r="A41">
        <f>ROUND(47951850/5462141,1)</f>
        <v>8.8000000000000007</v>
      </c>
      <c r="B41" t="s">
        <v>508</v>
      </c>
    </row>
    <row r="42" spans="1:9" x14ac:dyDescent="0.2">
      <c r="A42" s="18">
        <f>1/A41</f>
        <v>0.11363636363636363</v>
      </c>
      <c r="B42" t="s">
        <v>488</v>
      </c>
    </row>
    <row r="44" spans="1:9" x14ac:dyDescent="0.2">
      <c r="A44" s="18">
        <f>A42*(A28/A34)</f>
        <v>2.247752247752248E-2</v>
      </c>
      <c r="B44" t="s">
        <v>509</v>
      </c>
    </row>
    <row r="46" spans="1:9" x14ac:dyDescent="0.2">
      <c r="A46" s="84"/>
      <c r="B46" s="84" t="s">
        <v>512</v>
      </c>
      <c r="C46" s="84" t="s">
        <v>513</v>
      </c>
      <c r="D46" s="84" t="s">
        <v>22</v>
      </c>
    </row>
    <row r="47" spans="1:9" x14ac:dyDescent="0.2">
      <c r="A47" s="85" t="s">
        <v>510</v>
      </c>
      <c r="B47" s="84">
        <f>ROUND(A42/D47,2)</f>
        <v>1.68</v>
      </c>
      <c r="C47" s="84">
        <f>ROUND(A34/D47,2)</f>
        <v>0.32</v>
      </c>
      <c r="D47" s="84">
        <f>AVERAGE(A42,A34)</f>
        <v>6.758352432406016E-2</v>
      </c>
    </row>
    <row r="48" spans="1:9" x14ac:dyDescent="0.2">
      <c r="A48" s="85" t="s">
        <v>511</v>
      </c>
      <c r="B48" s="84">
        <f>ROUND(A44/D48,2)</f>
        <v>1.68</v>
      </c>
      <c r="C48" s="84">
        <f>ROUND(A28/D48,2)</f>
        <v>0.32</v>
      </c>
      <c r="D48" s="84">
        <f>AVERAGE(A44,A28)</f>
        <v>1.3368169646517398E-2</v>
      </c>
    </row>
    <row r="52" spans="1:10" ht="26" x14ac:dyDescent="0.3">
      <c r="A52" s="78" t="s">
        <v>535</v>
      </c>
      <c r="B52" s="78"/>
      <c r="C52" s="78"/>
      <c r="D52" s="78"/>
      <c r="E52" s="78"/>
      <c r="F52" s="78"/>
      <c r="G52" s="78"/>
      <c r="H52" s="78"/>
      <c r="I52" s="78"/>
      <c r="J52" s="78"/>
    </row>
    <row r="53" spans="1:10" s="80" customFormat="1" ht="26" x14ac:dyDescent="0.3">
      <c r="A53" s="79"/>
      <c r="B53" s="79"/>
      <c r="C53" s="79"/>
      <c r="D53" s="79"/>
      <c r="E53" s="79"/>
      <c r="F53" s="79"/>
      <c r="G53" s="79"/>
      <c r="H53" s="79"/>
      <c r="I53" s="79"/>
      <c r="J53" s="79"/>
    </row>
    <row r="54" spans="1:10" ht="104" customHeight="1" x14ac:dyDescent="0.2">
      <c r="A54" s="82" t="s">
        <v>507</v>
      </c>
      <c r="B54" s="81"/>
      <c r="C54" s="81"/>
      <c r="D54" s="81"/>
      <c r="E54" s="81"/>
      <c r="F54" s="81"/>
      <c r="G54" s="81"/>
      <c r="H54" s="81"/>
      <c r="I54" s="81"/>
    </row>
    <row r="57" spans="1:10" x14ac:dyDescent="0.2">
      <c r="A57">
        <f>ROUND(7235100/2282156,1)</f>
        <v>3.2</v>
      </c>
      <c r="B57" t="s">
        <v>508</v>
      </c>
      <c r="C57" s="69" t="s">
        <v>201</v>
      </c>
    </row>
    <row r="58" spans="1:10" x14ac:dyDescent="0.2">
      <c r="A58">
        <f>1/A57</f>
        <v>0.3125</v>
      </c>
      <c r="B58" t="s">
        <v>488</v>
      </c>
      <c r="C58" s="69"/>
    </row>
    <row r="60" spans="1:10" x14ac:dyDescent="0.2">
      <c r="A60">
        <f>(A28/A34)*A58</f>
        <v>6.1813186813186816E-2</v>
      </c>
      <c r="C60" t="s">
        <v>536</v>
      </c>
    </row>
    <row r="64" spans="1:10" x14ac:dyDescent="0.2">
      <c r="A64" s="87"/>
      <c r="B64" s="84" t="s">
        <v>512</v>
      </c>
      <c r="C64" s="84" t="s">
        <v>513</v>
      </c>
      <c r="D64" s="84" t="s">
        <v>22</v>
      </c>
    </row>
    <row r="65" spans="1:4" x14ac:dyDescent="0.2">
      <c r="A65" s="85" t="s">
        <v>537</v>
      </c>
      <c r="B65" s="84">
        <f>B47</f>
        <v>1.68</v>
      </c>
      <c r="C65" s="84">
        <f>C47</f>
        <v>0.32</v>
      </c>
      <c r="D65" s="84">
        <f>AVERAGE(A58)</f>
        <v>0.3125</v>
      </c>
    </row>
    <row r="66" spans="1:4" x14ac:dyDescent="0.2">
      <c r="A66" s="85" t="s">
        <v>538</v>
      </c>
      <c r="B66" s="84">
        <f>B48</f>
        <v>1.68</v>
      </c>
      <c r="C66" s="84">
        <f>C48</f>
        <v>0.32</v>
      </c>
      <c r="D66" s="84">
        <f>AVERAGE(A60)</f>
        <v>6.1813186813186816E-2</v>
      </c>
    </row>
    <row r="71" spans="1:4" x14ac:dyDescent="0.2">
      <c r="A71" s="87"/>
      <c r="B71" s="84" t="s">
        <v>512</v>
      </c>
      <c r="C71" s="84" t="s">
        <v>513</v>
      </c>
      <c r="D71" s="84" t="s">
        <v>22</v>
      </c>
    </row>
    <row r="72" spans="1:4" x14ac:dyDescent="0.2">
      <c r="A72" s="85" t="s">
        <v>510</v>
      </c>
      <c r="B72" s="84">
        <v>1.68</v>
      </c>
      <c r="C72" s="84">
        <v>0.32</v>
      </c>
      <c r="D72" s="84">
        <v>6.758352432406016E-2</v>
      </c>
    </row>
    <row r="73" spans="1:4" x14ac:dyDescent="0.2">
      <c r="A73" s="85" t="s">
        <v>511</v>
      </c>
      <c r="B73" s="84">
        <v>1.68</v>
      </c>
      <c r="C73" s="84">
        <v>0.32</v>
      </c>
      <c r="D73" s="84">
        <v>1.3368169646517398E-2</v>
      </c>
    </row>
    <row r="74" spans="1:4" x14ac:dyDescent="0.2">
      <c r="A74" s="88" t="s">
        <v>537</v>
      </c>
      <c r="B74" s="86">
        <v>1.68</v>
      </c>
      <c r="C74" s="86">
        <v>0.32</v>
      </c>
      <c r="D74" s="86">
        <v>0.3125</v>
      </c>
    </row>
    <row r="75" spans="1:4" x14ac:dyDescent="0.2">
      <c r="A75" s="88" t="s">
        <v>538</v>
      </c>
      <c r="B75" s="86">
        <v>1.68</v>
      </c>
      <c r="C75" s="86">
        <v>0.32</v>
      </c>
      <c r="D75" s="86">
        <v>6.1813186813186816E-2</v>
      </c>
    </row>
  </sheetData>
  <mergeCells count="10">
    <mergeCell ref="A39:I39"/>
    <mergeCell ref="C32:C34"/>
    <mergeCell ref="A52:J52"/>
    <mergeCell ref="A54:I54"/>
    <mergeCell ref="C57:C58"/>
    <mergeCell ref="A21:D21"/>
    <mergeCell ref="C25:C29"/>
    <mergeCell ref="A13:J13"/>
    <mergeCell ref="A17:J17"/>
    <mergeCell ref="A19:I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496F-0260-FD4C-850F-564E18865F2A}">
  <dimension ref="A9:O32"/>
  <sheetViews>
    <sheetView topLeftCell="A5" workbookViewId="0">
      <selection activeCell="M23" sqref="M23"/>
    </sheetView>
  </sheetViews>
  <sheetFormatPr baseColWidth="10" defaultRowHeight="16" x14ac:dyDescent="0.2"/>
  <cols>
    <col min="2" max="2" width="17.33203125" customWidth="1"/>
    <col min="13" max="15" width="25.83203125" customWidth="1"/>
  </cols>
  <sheetData>
    <row r="9" spans="1:10" ht="26" x14ac:dyDescent="0.3">
      <c r="A9" s="78" t="s">
        <v>514</v>
      </c>
      <c r="B9" s="78"/>
      <c r="C9" s="78"/>
      <c r="D9" s="78"/>
      <c r="E9" s="78"/>
      <c r="F9" s="78"/>
      <c r="G9" s="78"/>
      <c r="H9" s="78"/>
      <c r="I9" s="78"/>
      <c r="J9" s="78"/>
    </row>
    <row r="10" spans="1:10" s="80" customFormat="1" ht="26" x14ac:dyDescent="0.3">
      <c r="A10" s="79"/>
      <c r="B10" s="79"/>
      <c r="C10" s="79"/>
      <c r="D10" s="79"/>
      <c r="E10" s="79"/>
      <c r="F10" s="79"/>
      <c r="G10" s="79"/>
      <c r="H10" s="79"/>
      <c r="I10" s="79"/>
      <c r="J10" s="79"/>
    </row>
    <row r="11" spans="1:10" ht="104" customHeight="1" x14ac:dyDescent="0.2">
      <c r="A11" s="82" t="s">
        <v>515</v>
      </c>
      <c r="B11" s="81"/>
      <c r="C11" s="81"/>
      <c r="D11" s="81"/>
      <c r="E11" s="81"/>
      <c r="F11" s="81"/>
      <c r="G11" s="81"/>
      <c r="H11" s="81"/>
      <c r="I11" s="81"/>
    </row>
    <row r="13" spans="1:10" x14ac:dyDescent="0.2">
      <c r="A13" t="s">
        <v>516</v>
      </c>
    </row>
    <row r="14" spans="1:10" x14ac:dyDescent="0.2">
      <c r="A14" t="s">
        <v>518</v>
      </c>
      <c r="B14" t="s">
        <v>517</v>
      </c>
    </row>
    <row r="16" spans="1:10" x14ac:dyDescent="0.2">
      <c r="A16" t="s">
        <v>519</v>
      </c>
    </row>
    <row r="17" spans="1:15" x14ac:dyDescent="0.2">
      <c r="A17">
        <v>0.19</v>
      </c>
      <c r="B17" t="s">
        <v>520</v>
      </c>
    </row>
    <row r="18" spans="1:15" x14ac:dyDescent="0.2">
      <c r="A18">
        <f>C32</f>
        <v>71.146490917702906</v>
      </c>
      <c r="B18" t="s">
        <v>534</v>
      </c>
      <c r="C18" t="s">
        <v>522</v>
      </c>
      <c r="D18" t="s">
        <v>523</v>
      </c>
      <c r="M18" s="65" t="s">
        <v>521</v>
      </c>
      <c r="N18" s="65"/>
      <c r="O18" s="65"/>
    </row>
    <row r="19" spans="1:15" x14ac:dyDescent="0.2">
      <c r="C19">
        <v>25.8</v>
      </c>
      <c r="D19">
        <v>0.5</v>
      </c>
      <c r="E19" t="s">
        <v>524</v>
      </c>
      <c r="M19" s="65"/>
      <c r="N19" s="65"/>
      <c r="O19" s="65"/>
    </row>
    <row r="20" spans="1:15" x14ac:dyDescent="0.2">
      <c r="C20">
        <v>59.7</v>
      </c>
      <c r="D20">
        <v>0.28999999999999998</v>
      </c>
      <c r="E20" t="s">
        <v>525</v>
      </c>
      <c r="M20" s="65"/>
      <c r="N20" s="65"/>
      <c r="O20" s="65"/>
    </row>
    <row r="21" spans="1:15" x14ac:dyDescent="0.2">
      <c r="C21">
        <v>82</v>
      </c>
      <c r="D21">
        <v>0.10199999999999999</v>
      </c>
      <c r="E21" t="s">
        <v>526</v>
      </c>
    </row>
    <row r="23" spans="1:15" x14ac:dyDescent="0.2">
      <c r="C23" t="s">
        <v>527</v>
      </c>
    </row>
    <row r="24" spans="1:15" x14ac:dyDescent="0.2">
      <c r="C24" t="s">
        <v>528</v>
      </c>
      <c r="D24" t="s">
        <v>529</v>
      </c>
    </row>
    <row r="25" spans="1:15" ht="17" x14ac:dyDescent="0.25">
      <c r="C25" s="83">
        <v>-7.0092399999999999E-3</v>
      </c>
      <c r="D25">
        <v>0.68868282999999997</v>
      </c>
    </row>
    <row r="27" spans="1:15" x14ac:dyDescent="0.2">
      <c r="C27" t="s">
        <v>530</v>
      </c>
    </row>
    <row r="28" spans="1:15" x14ac:dyDescent="0.2">
      <c r="C28">
        <f>1/C25</f>
        <v>-142.66882001472342</v>
      </c>
      <c r="D28">
        <f>D25/C25</f>
        <v>-98.253566720500359</v>
      </c>
    </row>
    <row r="30" spans="1:15" x14ac:dyDescent="0.2">
      <c r="C30">
        <f>D19*C28-D28</f>
        <v>26.919156713138648</v>
      </c>
      <c r="D30" t="s">
        <v>532</v>
      </c>
    </row>
    <row r="31" spans="1:15" x14ac:dyDescent="0.2">
      <c r="C31">
        <f>D20*C28-D28</f>
        <v>56.879608916230566</v>
      </c>
      <c r="D31" t="s">
        <v>533</v>
      </c>
    </row>
    <row r="32" spans="1:15" x14ac:dyDescent="0.2">
      <c r="B32" t="s">
        <v>531</v>
      </c>
      <c r="C32">
        <f>C28*A17-D28</f>
        <v>71.146490917702906</v>
      </c>
    </row>
  </sheetData>
  <mergeCells count="3">
    <mergeCell ref="A9:J9"/>
    <mergeCell ref="A11:I11"/>
    <mergeCell ref="M18:O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6503-80B4-134F-BEAF-440BF1CB0F2D}">
  <dimension ref="A1:V81"/>
  <sheetViews>
    <sheetView topLeftCell="A8" zoomScale="115" zoomScaleNormal="115" workbookViewId="0">
      <selection activeCell="I18" sqref="I18"/>
    </sheetView>
  </sheetViews>
  <sheetFormatPr baseColWidth="10" defaultRowHeight="16" x14ac:dyDescent="0.2"/>
  <cols>
    <col min="1" max="1" width="32.6640625" customWidth="1"/>
    <col min="2" max="2" width="15.83203125" customWidth="1"/>
    <col min="3" max="3" width="12.1640625" bestFit="1" customWidth="1"/>
    <col min="4" max="5" width="11.1640625" bestFit="1" customWidth="1"/>
    <col min="6" max="6" width="12.1640625" bestFit="1" customWidth="1"/>
    <col min="7" max="7" width="37.5" customWidth="1"/>
    <col min="8" max="8" width="18" customWidth="1"/>
    <col min="9" max="9" width="12.33203125" bestFit="1" customWidth="1"/>
    <col min="10" max="11" width="11" bestFit="1" customWidth="1"/>
    <col min="12" max="12" width="12.1640625" bestFit="1" customWidth="1"/>
    <col min="13" max="13" width="2.6640625" customWidth="1"/>
    <col min="14" max="14" width="12.33203125" bestFit="1" customWidth="1"/>
    <col min="15" max="16" width="11" bestFit="1" customWidth="1"/>
    <col min="17" max="17" width="9" customWidth="1"/>
    <col min="18" max="18" width="2.5" customWidth="1"/>
    <col min="19" max="19" width="20" customWidth="1"/>
    <col min="20" max="20" width="2.5" customWidth="1"/>
  </cols>
  <sheetData>
    <row r="1" spans="1:22" x14ac:dyDescent="0.2">
      <c r="B1" t="s">
        <v>6</v>
      </c>
      <c r="C1">
        <v>38</v>
      </c>
      <c r="E1" t="s">
        <v>3</v>
      </c>
      <c r="F1">
        <v>1000</v>
      </c>
    </row>
    <row r="2" spans="1:22" x14ac:dyDescent="0.2">
      <c r="B2" t="s">
        <v>2</v>
      </c>
      <c r="C2">
        <f>C1*F1/F2</f>
        <v>3.8000000000000002E-5</v>
      </c>
      <c r="E2" t="s">
        <v>4</v>
      </c>
      <c r="F2">
        <f>10^9</f>
        <v>1000000000</v>
      </c>
    </row>
    <row r="3" spans="1:22" x14ac:dyDescent="0.2">
      <c r="B3" t="s">
        <v>8</v>
      </c>
      <c r="C3">
        <f>C2*F3</f>
        <v>6.0415060000000003E-6</v>
      </c>
      <c r="E3" t="s">
        <v>5</v>
      </c>
      <c r="F3">
        <v>0.15898699999999999</v>
      </c>
      <c r="G3" t="s">
        <v>7</v>
      </c>
    </row>
    <row r="4" spans="1:22" x14ac:dyDescent="0.2">
      <c r="B4" t="s">
        <v>11</v>
      </c>
      <c r="C4">
        <f>C3/F4</f>
        <v>4.1783055496000004E-5</v>
      </c>
      <c r="E4" t="s">
        <v>9</v>
      </c>
      <c r="F4">
        <f>25/172.9</f>
        <v>0.14459224985540775</v>
      </c>
      <c r="G4" t="s">
        <v>10</v>
      </c>
    </row>
    <row r="6" spans="1:22" x14ac:dyDescent="0.2">
      <c r="E6" t="s">
        <v>25</v>
      </c>
      <c r="F6">
        <f>F3/F4</f>
        <v>1.099554092</v>
      </c>
    </row>
    <row r="7" spans="1:22" x14ac:dyDescent="0.2">
      <c r="E7" t="s">
        <v>44</v>
      </c>
      <c r="F7">
        <f>1000/F6</f>
        <v>909.45957754664062</v>
      </c>
    </row>
    <row r="9" spans="1:22" x14ac:dyDescent="0.2">
      <c r="E9" t="s">
        <v>45</v>
      </c>
      <c r="G9" t="s">
        <v>46</v>
      </c>
    </row>
    <row r="10" spans="1:22" x14ac:dyDescent="0.2">
      <c r="B10" s="1"/>
      <c r="C10" s="1"/>
    </row>
    <row r="11" spans="1:22" ht="36" customHeight="1" x14ac:dyDescent="0.2">
      <c r="A11" s="62" t="s">
        <v>142</v>
      </c>
      <c r="B11" s="62"/>
      <c r="C11" s="62"/>
      <c r="D11" s="62"/>
      <c r="E11" s="62"/>
      <c r="F11" s="62"/>
      <c r="G11" s="62"/>
      <c r="H11" s="62"/>
      <c r="I11" s="62"/>
      <c r="J11" s="62"/>
      <c r="K11" s="62"/>
      <c r="L11" t="s">
        <v>90</v>
      </c>
    </row>
    <row r="12" spans="1:22" ht="33" customHeight="1" x14ac:dyDescent="0.2">
      <c r="B12" s="2" t="s">
        <v>12</v>
      </c>
      <c r="C12" s="4">
        <f>C4</f>
        <v>4.1783055496000004E-5</v>
      </c>
    </row>
    <row r="13" spans="1:22" ht="33" customHeight="1" x14ac:dyDescent="0.2">
      <c r="B13" s="2" t="s">
        <v>13</v>
      </c>
      <c r="C13" s="4">
        <f>1/C4</f>
        <v>23933.14677754317</v>
      </c>
    </row>
    <row r="15" spans="1:22" ht="174" customHeight="1" x14ac:dyDescent="0.2">
      <c r="B15" s="65" t="s">
        <v>34</v>
      </c>
      <c r="C15" s="65"/>
      <c r="D15" s="65"/>
      <c r="E15" s="65"/>
      <c r="F15" s="65"/>
      <c r="N15" s="56"/>
      <c r="O15" s="56"/>
      <c r="P15" s="56"/>
      <c r="Q15" s="56"/>
      <c r="R15" s="56"/>
      <c r="S15" s="56"/>
      <c r="T15" s="56"/>
      <c r="U15" s="56"/>
      <c r="V15" s="56"/>
    </row>
    <row r="16" spans="1:22" ht="56" customHeight="1" x14ac:dyDescent="0.2">
      <c r="B16" s="56" t="s">
        <v>84</v>
      </c>
      <c r="C16" s="56"/>
      <c r="D16" s="56"/>
      <c r="E16" s="56"/>
      <c r="F16" s="56"/>
      <c r="I16" s="61"/>
      <c r="J16" s="61"/>
      <c r="K16" s="61"/>
      <c r="L16" s="61"/>
      <c r="M16" s="6"/>
      <c r="N16" s="57"/>
      <c r="O16" s="57"/>
      <c r="P16" s="57"/>
      <c r="Q16" s="57"/>
      <c r="R16" s="57"/>
      <c r="S16" s="57"/>
      <c r="T16" s="18"/>
      <c r="U16" s="18"/>
    </row>
    <row r="17" spans="1:19" x14ac:dyDescent="0.2">
      <c r="C17" t="s">
        <v>40</v>
      </c>
      <c r="D17" t="s">
        <v>41</v>
      </c>
      <c r="E17" t="s">
        <v>42</v>
      </c>
      <c r="F17" t="s">
        <v>43</v>
      </c>
      <c r="G17" t="s">
        <v>90</v>
      </c>
      <c r="H17" s="22"/>
      <c r="I17" s="22" t="s">
        <v>40</v>
      </c>
      <c r="J17" s="22" t="s">
        <v>41</v>
      </c>
      <c r="K17" s="22" t="s">
        <v>42</v>
      </c>
      <c r="L17" s="22" t="s">
        <v>43</v>
      </c>
      <c r="N17">
        <v>2.4677925358506131E-5</v>
      </c>
      <c r="O17">
        <v>3.997499218261337E-2</v>
      </c>
      <c r="P17">
        <v>6.2529992803453923E-3</v>
      </c>
      <c r="Q17">
        <v>6.3213922517116433E-7</v>
      </c>
    </row>
    <row r="18" spans="1:19" x14ac:dyDescent="0.2">
      <c r="A18" s="53" t="s">
        <v>88</v>
      </c>
      <c r="B18" t="s">
        <v>35</v>
      </c>
      <c r="C18">
        <v>3.3000000000000003E-5</v>
      </c>
      <c r="D18">
        <v>1E-4</v>
      </c>
      <c r="E18">
        <v>8.7000000000000003E-7</v>
      </c>
      <c r="F18">
        <v>0</v>
      </c>
      <c r="G18" t="s">
        <v>47</v>
      </c>
      <c r="H18" s="22" t="s">
        <v>94</v>
      </c>
      <c r="I18" s="21">
        <f>C23</f>
        <v>2.4677925358506131E-5</v>
      </c>
      <c r="J18" s="21">
        <f t="shared" ref="J18:L18" si="0">D23</f>
        <v>3.997499218261337E-2</v>
      </c>
      <c r="K18" s="21">
        <f t="shared" si="0"/>
        <v>6.2529992803453923E-3</v>
      </c>
      <c r="L18" s="21">
        <f t="shared" si="0"/>
        <v>6.3213922517116433E-7</v>
      </c>
      <c r="N18">
        <v>9.2441948549119683E-3</v>
      </c>
      <c r="O18">
        <v>1.0249070431975999E-2</v>
      </c>
      <c r="P18">
        <v>1.4026326198483102E-2</v>
      </c>
      <c r="Q18">
        <v>6.8E-8</v>
      </c>
    </row>
    <row r="19" spans="1:19" x14ac:dyDescent="0.2">
      <c r="A19" s="53"/>
      <c r="B19" t="s">
        <v>36</v>
      </c>
      <c r="C19">
        <v>5.1E-5</v>
      </c>
      <c r="D19">
        <v>8.9999999999999993E-3</v>
      </c>
      <c r="E19">
        <v>1.2E-5</v>
      </c>
      <c r="F19">
        <v>6.8E-8</v>
      </c>
      <c r="G19" t="s">
        <v>47</v>
      </c>
      <c r="H19" s="22" t="s">
        <v>59</v>
      </c>
      <c r="I19" s="21">
        <f>C18+C19+C20+C24+C21</f>
        <v>9.2441948549119683E-3</v>
      </c>
      <c r="J19" s="21">
        <f t="shared" ref="J19:L19" si="1">D18+D19+D20+D24+D21</f>
        <v>1.0249070431975999E-2</v>
      </c>
      <c r="K19" s="21">
        <f t="shared" si="1"/>
        <v>1.4026326198483102E-2</v>
      </c>
      <c r="L19" s="21">
        <f t="shared" si="1"/>
        <v>6.8E-8</v>
      </c>
      <c r="N19">
        <v>1.0217631819555839E-2</v>
      </c>
      <c r="O19">
        <v>2.1213203435596424E-3</v>
      </c>
      <c r="P19">
        <v>1.8761663039293718E-3</v>
      </c>
      <c r="Q19">
        <v>0</v>
      </c>
    </row>
    <row r="20" spans="1:19" x14ac:dyDescent="0.2">
      <c r="A20" s="53"/>
      <c r="B20" t="s">
        <v>37</v>
      </c>
      <c r="C20">
        <v>1.1E-4</v>
      </c>
      <c r="D20">
        <v>1.9E-6</v>
      </c>
      <c r="E20">
        <v>1.7E-5</v>
      </c>
      <c r="F20">
        <v>0</v>
      </c>
      <c r="G20" t="s">
        <v>47</v>
      </c>
      <c r="H20" s="22" t="s">
        <v>95</v>
      </c>
      <c r="I20" s="21">
        <f>C22</f>
        <v>1.0217631819555839E-2</v>
      </c>
      <c r="J20" s="21">
        <f t="shared" ref="J20:L20" si="2">D22</f>
        <v>2.1213203435596424E-3</v>
      </c>
      <c r="K20" s="21">
        <f t="shared" si="2"/>
        <v>1.8761663039293718E-3</v>
      </c>
      <c r="L20" s="21">
        <f t="shared" si="2"/>
        <v>0</v>
      </c>
      <c r="N20">
        <v>1.52E-5</v>
      </c>
      <c r="O20">
        <v>1.395E-6</v>
      </c>
      <c r="P20">
        <v>1.5200000000000001E-4</v>
      </c>
      <c r="Q20">
        <v>0</v>
      </c>
    </row>
    <row r="21" spans="1:19" x14ac:dyDescent="0.2">
      <c r="A21" s="53"/>
      <c r="B21" s="8" t="s">
        <v>85</v>
      </c>
      <c r="C21" s="8">
        <f>SQRT(0.0022*0.037)</f>
        <v>9.0221948549119683E-3</v>
      </c>
      <c r="D21" s="8">
        <f>SQRT(0.00028*0.0047)</f>
        <v>1.1471704319759989E-3</v>
      </c>
      <c r="E21" s="8">
        <f>SQRT(0.0031*0.052)</f>
        <v>1.2696456198483102E-2</v>
      </c>
      <c r="F21" s="8">
        <v>0</v>
      </c>
      <c r="G21" s="8" t="s">
        <v>47</v>
      </c>
      <c r="H21" s="22" t="s">
        <v>96</v>
      </c>
      <c r="I21" s="21">
        <f>AVERAGE(C26:C27)</f>
        <v>1.52E-5</v>
      </c>
      <c r="J21" s="21">
        <f t="shared" ref="J21:L21" si="3">AVERAGE(D26:D27)</f>
        <v>1.395E-6</v>
      </c>
      <c r="K21" s="21">
        <f t="shared" si="3"/>
        <v>1.5200000000000001E-4</v>
      </c>
      <c r="L21" s="21">
        <f t="shared" si="3"/>
        <v>0</v>
      </c>
      <c r="M21" s="8"/>
      <c r="N21" s="8"/>
      <c r="O21" s="8"/>
      <c r="P21" s="8"/>
      <c r="Q21" s="8"/>
      <c r="S21" s="8"/>
    </row>
    <row r="22" spans="1:19" x14ac:dyDescent="0.2">
      <c r="A22" s="53"/>
      <c r="B22" s="8" t="s">
        <v>86</v>
      </c>
      <c r="C22" s="8">
        <f>SQRT(0.0087*0.012)</f>
        <v>1.0217631819555839E-2</v>
      </c>
      <c r="D22" s="8">
        <f>SQRT(0.0018*0.0025)</f>
        <v>2.1213203435596424E-3</v>
      </c>
      <c r="E22" s="8">
        <f>SQRT(0.0016*0.0022)</f>
        <v>1.8761663039293718E-3</v>
      </c>
      <c r="F22" s="8">
        <v>0</v>
      </c>
      <c r="G22" s="8" t="s">
        <v>47</v>
      </c>
      <c r="H22" s="8"/>
      <c r="M22" s="8"/>
      <c r="N22" s="8"/>
      <c r="O22" s="8"/>
      <c r="P22" s="8"/>
      <c r="Q22" s="8"/>
      <c r="S22" s="8"/>
    </row>
    <row r="23" spans="1:19" x14ac:dyDescent="0.2">
      <c r="A23" s="53"/>
      <c r="B23" s="8" t="s">
        <v>87</v>
      </c>
      <c r="C23" s="8">
        <f>SQRT(0.000021*0.000029)</f>
        <v>2.4677925358506131E-5</v>
      </c>
      <c r="D23" s="8">
        <f>SQRT(0.034*0.047)</f>
        <v>3.997499218261337E-2</v>
      </c>
      <c r="E23" s="8">
        <f>SQRT(0.000017*2.3)</f>
        <v>6.2529992803453923E-3</v>
      </c>
      <c r="F23" s="8">
        <f>SQRT(0.00000054*0.00000074)</f>
        <v>6.3213922517116433E-7</v>
      </c>
      <c r="G23" s="8" t="s">
        <v>47</v>
      </c>
      <c r="H23" s="8"/>
      <c r="M23" s="8"/>
      <c r="N23" s="8"/>
      <c r="O23" s="8"/>
      <c r="P23" s="8"/>
      <c r="Q23" s="8"/>
      <c r="S23" s="8"/>
    </row>
    <row r="24" spans="1:19" x14ac:dyDescent="0.2">
      <c r="A24" s="53"/>
      <c r="B24" t="s">
        <v>39</v>
      </c>
      <c r="C24">
        <v>2.8E-5</v>
      </c>
      <c r="D24">
        <v>0</v>
      </c>
      <c r="E24">
        <v>1.2999999999999999E-3</v>
      </c>
      <c r="F24">
        <v>0</v>
      </c>
      <c r="G24" t="s">
        <v>47</v>
      </c>
    </row>
    <row r="25" spans="1:19" x14ac:dyDescent="0.2">
      <c r="A25" s="20"/>
    </row>
    <row r="26" spans="1:19" x14ac:dyDescent="0.2">
      <c r="A26" s="53" t="s">
        <v>89</v>
      </c>
      <c r="B26" t="s">
        <v>38</v>
      </c>
      <c r="C26">
        <v>5.4E-6</v>
      </c>
      <c r="D26">
        <v>4.8999999999999997E-7</v>
      </c>
      <c r="E26">
        <v>5.3999999999999998E-5</v>
      </c>
      <c r="F26">
        <v>0</v>
      </c>
      <c r="G26" t="s">
        <v>47</v>
      </c>
    </row>
    <row r="27" spans="1:19" x14ac:dyDescent="0.2">
      <c r="A27" s="53"/>
      <c r="B27" t="s">
        <v>91</v>
      </c>
      <c r="C27" s="8">
        <v>2.5000000000000001E-5</v>
      </c>
      <c r="D27">
        <v>2.3E-6</v>
      </c>
      <c r="E27">
        <v>2.5000000000000001E-4</v>
      </c>
      <c r="F27">
        <v>0</v>
      </c>
      <c r="G27" t="s">
        <v>47</v>
      </c>
      <c r="N27" s="17"/>
      <c r="O27" s="17"/>
      <c r="P27" s="17"/>
      <c r="Q27" s="17"/>
      <c r="S27" s="17"/>
    </row>
    <row r="28" spans="1:19" x14ac:dyDescent="0.2">
      <c r="C28" s="8"/>
      <c r="N28" s="61"/>
      <c r="O28" s="61"/>
      <c r="P28" s="61"/>
      <c r="Q28" s="61"/>
    </row>
    <row r="29" spans="1:19" x14ac:dyDescent="0.2">
      <c r="C29" s="8"/>
      <c r="N29" s="1" t="s">
        <v>40</v>
      </c>
      <c r="O29" s="1" t="s">
        <v>41</v>
      </c>
      <c r="P29" s="1" t="s">
        <v>42</v>
      </c>
      <c r="Q29" s="1" t="s">
        <v>43</v>
      </c>
    </row>
    <row r="30" spans="1:19" x14ac:dyDescent="0.2">
      <c r="J30" s="63" t="s">
        <v>56</v>
      </c>
      <c r="K30" s="50" t="s">
        <v>59</v>
      </c>
      <c r="L30" s="51"/>
      <c r="M30" s="58"/>
      <c r="N30" s="9">
        <v>7.0000000000000007E-2</v>
      </c>
      <c r="O30" s="10">
        <v>0</v>
      </c>
      <c r="P30" s="10">
        <v>7.0000000000000007E-2</v>
      </c>
      <c r="Q30" s="11">
        <v>0</v>
      </c>
    </row>
    <row r="31" spans="1:19" x14ac:dyDescent="0.2">
      <c r="J31" s="63"/>
      <c r="K31" s="52" t="s">
        <v>60</v>
      </c>
      <c r="L31" s="53"/>
      <c r="M31" s="59"/>
      <c r="N31" s="12">
        <v>0.83</v>
      </c>
      <c r="O31">
        <v>0.03</v>
      </c>
      <c r="P31">
        <v>0.83</v>
      </c>
      <c r="Q31" s="13">
        <v>0</v>
      </c>
    </row>
    <row r="32" spans="1:19" x14ac:dyDescent="0.2">
      <c r="C32">
        <f>(0.0022*0.037)^0.5</f>
        <v>9.0221948549119683E-3</v>
      </c>
      <c r="J32" s="63"/>
      <c r="K32" s="54" t="s">
        <v>61</v>
      </c>
      <c r="L32" s="55"/>
      <c r="M32" s="60"/>
      <c r="N32" s="14">
        <v>0.1</v>
      </c>
      <c r="O32" s="15">
        <v>0.97</v>
      </c>
      <c r="P32" s="15">
        <v>0.1</v>
      </c>
      <c r="Q32" s="16">
        <v>1</v>
      </c>
    </row>
    <row r="33" spans="2:17" x14ac:dyDescent="0.2">
      <c r="J33" s="49" t="s">
        <v>57</v>
      </c>
      <c r="K33" s="50" t="s">
        <v>59</v>
      </c>
      <c r="L33" s="51"/>
      <c r="M33" s="58"/>
      <c r="N33" s="9">
        <v>0.09</v>
      </c>
      <c r="O33" s="10">
        <v>0</v>
      </c>
      <c r="P33" s="10">
        <v>0.09</v>
      </c>
      <c r="Q33" s="11">
        <v>0</v>
      </c>
    </row>
    <row r="34" spans="2:17" x14ac:dyDescent="0.2">
      <c r="J34" s="49"/>
      <c r="K34" s="52" t="s">
        <v>60</v>
      </c>
      <c r="L34" s="53"/>
      <c r="M34" s="59"/>
      <c r="N34" s="12">
        <v>0.78</v>
      </c>
      <c r="O34">
        <v>0.01</v>
      </c>
      <c r="P34">
        <v>0.78</v>
      </c>
      <c r="Q34" s="13">
        <v>0</v>
      </c>
    </row>
    <row r="35" spans="2:17" x14ac:dyDescent="0.2">
      <c r="J35" s="49"/>
      <c r="K35" s="54" t="s">
        <v>61</v>
      </c>
      <c r="L35" s="55"/>
      <c r="M35" s="60"/>
      <c r="N35" s="14">
        <v>0.13</v>
      </c>
      <c r="O35" s="15">
        <v>0.99</v>
      </c>
      <c r="P35" s="15">
        <v>0.13</v>
      </c>
      <c r="Q35" s="16">
        <v>1</v>
      </c>
    </row>
    <row r="36" spans="2:17" x14ac:dyDescent="0.2">
      <c r="J36" s="49" t="s">
        <v>58</v>
      </c>
      <c r="K36" s="50" t="s">
        <v>59</v>
      </c>
      <c r="L36" s="51"/>
      <c r="M36" s="58"/>
      <c r="N36" s="9">
        <v>0.2</v>
      </c>
      <c r="O36" s="10">
        <v>0</v>
      </c>
      <c r="P36" s="10">
        <v>0.2</v>
      </c>
      <c r="Q36" s="11">
        <v>0</v>
      </c>
    </row>
    <row r="37" spans="2:17" x14ac:dyDescent="0.2">
      <c r="J37" s="49"/>
      <c r="K37" s="52" t="s">
        <v>60</v>
      </c>
      <c r="L37" s="53"/>
      <c r="M37" s="59"/>
      <c r="N37" s="12">
        <v>0.8</v>
      </c>
      <c r="O37">
        <v>0.03</v>
      </c>
      <c r="P37">
        <v>0.8</v>
      </c>
      <c r="Q37" s="13">
        <v>0</v>
      </c>
    </row>
    <row r="38" spans="2:17" x14ac:dyDescent="0.2">
      <c r="J38" s="49"/>
      <c r="K38" s="54" t="s">
        <v>61</v>
      </c>
      <c r="L38" s="55"/>
      <c r="M38" s="60"/>
      <c r="N38" s="12">
        <v>0</v>
      </c>
      <c r="O38">
        <v>0.97</v>
      </c>
      <c r="P38">
        <v>0</v>
      </c>
      <c r="Q38" s="13">
        <v>1</v>
      </c>
    </row>
    <row r="39" spans="2:17" x14ac:dyDescent="0.2">
      <c r="J39" s="49" t="s">
        <v>62</v>
      </c>
      <c r="K39" s="50" t="s">
        <v>59</v>
      </c>
      <c r="L39" s="51"/>
      <c r="M39" s="51"/>
      <c r="N39" s="9">
        <f>AVERAGE(N30,N33,N36)</f>
        <v>0.12</v>
      </c>
      <c r="O39" s="10">
        <f t="shared" ref="O39:Q39" si="4">AVERAGE(O30,O33,O36)</f>
        <v>0</v>
      </c>
      <c r="P39" s="10">
        <f t="shared" si="4"/>
        <v>0.12</v>
      </c>
      <c r="Q39" s="11">
        <f t="shared" si="4"/>
        <v>0</v>
      </c>
    </row>
    <row r="40" spans="2:17" x14ac:dyDescent="0.2">
      <c r="J40" s="49"/>
      <c r="K40" s="52" t="s">
        <v>60</v>
      </c>
      <c r="L40" s="53"/>
      <c r="M40" s="53"/>
      <c r="N40" s="12">
        <f t="shared" ref="N40:Q41" si="5">AVERAGE(N31,N34,N37)</f>
        <v>0.80333333333333334</v>
      </c>
      <c r="O40">
        <f t="shared" si="5"/>
        <v>2.3333333333333334E-2</v>
      </c>
      <c r="P40">
        <f t="shared" si="5"/>
        <v>0.80333333333333334</v>
      </c>
      <c r="Q40" s="13">
        <f t="shared" si="5"/>
        <v>0</v>
      </c>
    </row>
    <row r="41" spans="2:17" x14ac:dyDescent="0.2">
      <c r="J41" s="49"/>
      <c r="K41" s="54" t="s">
        <v>61</v>
      </c>
      <c r="L41" s="55"/>
      <c r="M41" s="55"/>
      <c r="N41" s="14">
        <f t="shared" si="5"/>
        <v>7.6666666666666675E-2</v>
      </c>
      <c r="O41" s="15">
        <f t="shared" si="5"/>
        <v>0.97666666666666657</v>
      </c>
      <c r="P41" s="15">
        <f t="shared" si="5"/>
        <v>7.6666666666666675E-2</v>
      </c>
      <c r="Q41" s="16">
        <f t="shared" si="5"/>
        <v>1</v>
      </c>
    </row>
    <row r="42" spans="2:17" x14ac:dyDescent="0.2">
      <c r="N42">
        <f>N40/0.88</f>
        <v>0.91287878787878785</v>
      </c>
    </row>
    <row r="43" spans="2:17" ht="16" customHeight="1" x14ac:dyDescent="0.2">
      <c r="B43" t="s">
        <v>49</v>
      </c>
      <c r="C43">
        <f>SUM(C18:C29)</f>
        <v>1.9516904599826315E-2</v>
      </c>
      <c r="D43">
        <f>SUM(D18:D24)</f>
        <v>5.2345382958149014E-2</v>
      </c>
      <c r="E43">
        <f>SUM(E18:E24)</f>
        <v>2.2155491782757865E-2</v>
      </c>
      <c r="F43">
        <f>SUM(F18:F24)</f>
        <v>7.0013922517116436E-7</v>
      </c>
      <c r="G43" t="s">
        <v>47</v>
      </c>
      <c r="I43" s="48" t="s">
        <v>97</v>
      </c>
      <c r="J43" s="48"/>
      <c r="K43" s="48"/>
      <c r="L43" s="48"/>
      <c r="M43" s="48"/>
      <c r="N43" s="47">
        <f>1-N42</f>
        <v>8.7121212121212155E-2</v>
      </c>
    </row>
    <row r="44" spans="2:17" x14ac:dyDescent="0.2">
      <c r="B44" t="s">
        <v>50</v>
      </c>
      <c r="C44">
        <f>C43-C22-C23</f>
        <v>9.2745948549119699E-3</v>
      </c>
      <c r="D44">
        <f>D43-D22-D23</f>
        <v>1.0249070431976003E-2</v>
      </c>
      <c r="E44">
        <f>E43-E22-E23</f>
        <v>1.40263261984831E-2</v>
      </c>
      <c r="F44">
        <f>F43-F22-F23</f>
        <v>6.8000000000000027E-8</v>
      </c>
      <c r="I44" s="48"/>
      <c r="J44" s="48"/>
      <c r="K44" s="48"/>
      <c r="L44" s="48"/>
      <c r="M44" s="48"/>
      <c r="N44" s="47"/>
    </row>
    <row r="45" spans="2:17" x14ac:dyDescent="0.2">
      <c r="B45" t="s">
        <v>51</v>
      </c>
      <c r="C45">
        <f>C43-C21-C23</f>
        <v>1.0470031819555841E-2</v>
      </c>
      <c r="D45">
        <f>D43-D21-D23</f>
        <v>1.1223220343559645E-2</v>
      </c>
      <c r="E45">
        <f>E43-E21-E23</f>
        <v>3.206036303929371E-3</v>
      </c>
      <c r="F45">
        <f>F43-F21-F23</f>
        <v>6.8000000000000027E-8</v>
      </c>
    </row>
    <row r="46" spans="2:17" x14ac:dyDescent="0.2">
      <c r="B46" t="s">
        <v>52</v>
      </c>
      <c r="C46">
        <f>C43-C21-C22</f>
        <v>2.7707792535850741E-4</v>
      </c>
      <c r="D46">
        <f>D43-D21-D22</f>
        <v>4.9076892182613373E-2</v>
      </c>
      <c r="E46">
        <f>E43-E21-E22</f>
        <v>7.5828692803453918E-3</v>
      </c>
      <c r="F46">
        <f>F43-F21-F22</f>
        <v>7.0013922517116436E-7</v>
      </c>
    </row>
    <row r="47" spans="2:17" x14ac:dyDescent="0.2">
      <c r="B47" s="7" t="s">
        <v>53</v>
      </c>
      <c r="C47" s="7">
        <f>C44*$F$6</f>
        <v>1.0197918724360603E-2</v>
      </c>
      <c r="D47" s="7">
        <f t="shared" ref="D47:F47" si="6">D44*$F$6</f>
        <v>1.1269407332675421E-2</v>
      </c>
      <c r="E47" s="7">
        <f t="shared" si="6"/>
        <v>1.5422704367268896E-2</v>
      </c>
      <c r="F47" s="7">
        <f t="shared" si="6"/>
        <v>7.4769678256000022E-8</v>
      </c>
      <c r="G47" t="s">
        <v>48</v>
      </c>
    </row>
    <row r="48" spans="2:17" x14ac:dyDescent="0.2">
      <c r="B48" s="7" t="s">
        <v>54</v>
      </c>
      <c r="C48" s="7">
        <f t="shared" ref="C48:F49" si="7">C45*$F$6</f>
        <v>1.151236633056283E-2</v>
      </c>
      <c r="D48" s="7">
        <f t="shared" si="7"/>
        <v>1.2340537854178654E-2</v>
      </c>
      <c r="E48" s="7">
        <f t="shared" si="7"/>
        <v>3.5252103370860956E-3</v>
      </c>
      <c r="F48" s="7">
        <f t="shared" si="7"/>
        <v>7.4769678256000022E-8</v>
      </c>
      <c r="G48" t="s">
        <v>48</v>
      </c>
    </row>
    <row r="49" spans="1:11" x14ac:dyDescent="0.2">
      <c r="B49" s="7" t="s">
        <v>55</v>
      </c>
      <c r="C49" s="7">
        <f t="shared" si="7"/>
        <v>3.0466216663081736E-4</v>
      </c>
      <c r="D49" s="7">
        <f t="shared" si="7"/>
        <v>5.3962697622035344E-2</v>
      </c>
      <c r="E49" s="7">
        <f t="shared" si="7"/>
        <v>8.3377749463048705E-3</v>
      </c>
      <c r="F49" s="7">
        <f t="shared" si="7"/>
        <v>7.6984095000666321E-7</v>
      </c>
      <c r="G49" t="s">
        <v>48</v>
      </c>
    </row>
    <row r="51" spans="1:11" ht="30" customHeight="1" x14ac:dyDescent="0.2">
      <c r="A51" s="62" t="s">
        <v>143</v>
      </c>
      <c r="B51" s="62"/>
      <c r="C51" s="62"/>
      <c r="D51" s="62"/>
      <c r="E51" s="62"/>
      <c r="F51" s="62"/>
      <c r="G51" s="62"/>
      <c r="H51" s="62"/>
      <c r="I51" s="62"/>
      <c r="J51" s="62"/>
      <c r="K51" s="62"/>
    </row>
    <row r="52" spans="1:11" ht="17" x14ac:dyDescent="0.2">
      <c r="A52" s="26" t="s">
        <v>151</v>
      </c>
    </row>
    <row r="54" spans="1:11" x14ac:dyDescent="0.2">
      <c r="A54" t="s">
        <v>152</v>
      </c>
    </row>
    <row r="55" spans="1:11" x14ac:dyDescent="0.2">
      <c r="A55" s="27" t="s">
        <v>153</v>
      </c>
    </row>
    <row r="56" spans="1:11" ht="33" customHeight="1" x14ac:dyDescent="0.2"/>
    <row r="57" spans="1:11" ht="30" customHeight="1" x14ac:dyDescent="0.2">
      <c r="A57" s="62" t="s">
        <v>144</v>
      </c>
      <c r="B57" s="62"/>
      <c r="C57" s="62"/>
      <c r="D57" s="62"/>
      <c r="E57" s="62"/>
      <c r="F57" s="62"/>
      <c r="G57" s="62"/>
      <c r="H57" s="62"/>
      <c r="I57" s="62"/>
      <c r="J57" s="62"/>
      <c r="K57" s="62"/>
    </row>
    <row r="58" spans="1:11" ht="17" x14ac:dyDescent="0.2">
      <c r="A58" s="26" t="s">
        <v>146</v>
      </c>
    </row>
    <row r="59" spans="1:11" ht="17" x14ac:dyDescent="0.2">
      <c r="A59" s="26" t="s">
        <v>154</v>
      </c>
    </row>
    <row r="60" spans="1:11" ht="17" x14ac:dyDescent="0.2">
      <c r="A60" s="26" t="s">
        <v>155</v>
      </c>
    </row>
    <row r="61" spans="1:11" x14ac:dyDescent="0.2">
      <c r="A61" t="s">
        <v>148</v>
      </c>
      <c r="B61" t="s">
        <v>149</v>
      </c>
    </row>
    <row r="64" spans="1:11" ht="21" x14ac:dyDescent="0.2">
      <c r="A64" s="62" t="s">
        <v>280</v>
      </c>
      <c r="B64" s="62"/>
      <c r="C64" s="62"/>
      <c r="D64" s="62"/>
      <c r="E64" s="62"/>
      <c r="F64" s="62"/>
      <c r="G64" s="62"/>
      <c r="H64" s="62"/>
      <c r="I64" s="62"/>
      <c r="J64" s="62"/>
      <c r="K64" s="62"/>
    </row>
    <row r="71" spans="1:11" ht="21" x14ac:dyDescent="0.2">
      <c r="A71" s="62" t="s">
        <v>315</v>
      </c>
      <c r="B71" s="62"/>
      <c r="C71" s="62"/>
      <c r="D71" s="62"/>
      <c r="E71" s="62"/>
      <c r="F71" s="62"/>
      <c r="G71" s="62"/>
      <c r="H71" s="62"/>
      <c r="I71" s="62"/>
      <c r="J71" s="62"/>
      <c r="K71" s="62"/>
    </row>
    <row r="72" spans="1:11" ht="17" x14ac:dyDescent="0.2">
      <c r="A72" s="26" t="s">
        <v>151</v>
      </c>
    </row>
    <row r="73" spans="1:11" x14ac:dyDescent="0.2">
      <c r="A73" t="s">
        <v>316</v>
      </c>
    </row>
    <row r="74" spans="1:11" x14ac:dyDescent="0.2">
      <c r="A74" s="64" t="s">
        <v>309</v>
      </c>
      <c r="B74" s="64"/>
      <c r="C74" s="42" t="s">
        <v>109</v>
      </c>
      <c r="D74" s="42" t="s">
        <v>108</v>
      </c>
      <c r="E74" s="42" t="s">
        <v>310</v>
      </c>
    </row>
    <row r="75" spans="1:11" x14ac:dyDescent="0.2">
      <c r="A75" s="42"/>
      <c r="B75" s="42"/>
      <c r="C75" s="41">
        <v>3.0000000000000001E-3</v>
      </c>
      <c r="D75" s="41">
        <v>73.3</v>
      </c>
      <c r="E75" s="41">
        <v>5.9999999999999995E-4</v>
      </c>
    </row>
    <row r="76" spans="1:11" x14ac:dyDescent="0.2">
      <c r="A76" s="64" t="s">
        <v>317</v>
      </c>
      <c r="B76" s="64"/>
      <c r="C76" s="41">
        <f>C75*$B$80</f>
        <v>2.6086956521739112E-4</v>
      </c>
      <c r="D76" s="41">
        <f t="shared" ref="D76:E76" si="8">D75*$B$80</f>
        <v>6.3739130434782565</v>
      </c>
      <c r="E76" s="41">
        <f t="shared" si="8"/>
        <v>5.2173913043478222E-5</v>
      </c>
    </row>
    <row r="78" spans="1:11" x14ac:dyDescent="0.2">
      <c r="A78" t="s">
        <v>318</v>
      </c>
      <c r="B78" t="s">
        <v>22</v>
      </c>
      <c r="C78" t="s">
        <v>298</v>
      </c>
      <c r="D78" t="s">
        <v>299</v>
      </c>
    </row>
    <row r="79" spans="1:11" x14ac:dyDescent="0.2">
      <c r="A79" t="s">
        <v>319</v>
      </c>
      <c r="B79">
        <v>0.08</v>
      </c>
      <c r="C79">
        <v>0.06</v>
      </c>
      <c r="D79">
        <v>0.1</v>
      </c>
    </row>
    <row r="80" spans="1:11" x14ac:dyDescent="0.2">
      <c r="A80" t="s">
        <v>320</v>
      </c>
      <c r="B80">
        <f>1/(1-B79)-1</f>
        <v>8.6956521739130377E-2</v>
      </c>
      <c r="C80">
        <f t="shared" ref="C80:D80" si="9">1/(1-C79)-1</f>
        <v>6.3829787234042534E-2</v>
      </c>
      <c r="D80">
        <f t="shared" si="9"/>
        <v>0.11111111111111116</v>
      </c>
    </row>
    <row r="81" spans="3:4" x14ac:dyDescent="0.2">
      <c r="C81">
        <f>ROUND(C80/B80,3)</f>
        <v>0.73399999999999999</v>
      </c>
      <c r="D81">
        <f>ROUND(D80/B80,3)</f>
        <v>1.278</v>
      </c>
    </row>
  </sheetData>
  <mergeCells count="34">
    <mergeCell ref="A71:K71"/>
    <mergeCell ref="A74:B74"/>
    <mergeCell ref="A76:B76"/>
    <mergeCell ref="B15:F15"/>
    <mergeCell ref="B16:F16"/>
    <mergeCell ref="I16:L16"/>
    <mergeCell ref="A64:K64"/>
    <mergeCell ref="A57:K57"/>
    <mergeCell ref="A11:K11"/>
    <mergeCell ref="A51:K51"/>
    <mergeCell ref="A18:A24"/>
    <mergeCell ref="A26:A27"/>
    <mergeCell ref="J36:J38"/>
    <mergeCell ref="J33:J35"/>
    <mergeCell ref="J30:J32"/>
    <mergeCell ref="N15:V15"/>
    <mergeCell ref="R16:S16"/>
    <mergeCell ref="K36:M36"/>
    <mergeCell ref="K37:M37"/>
    <mergeCell ref="K38:M38"/>
    <mergeCell ref="K32:M32"/>
    <mergeCell ref="K31:M31"/>
    <mergeCell ref="K30:M30"/>
    <mergeCell ref="K33:M33"/>
    <mergeCell ref="N16:Q16"/>
    <mergeCell ref="N28:Q28"/>
    <mergeCell ref="K34:M34"/>
    <mergeCell ref="K35:M35"/>
    <mergeCell ref="N43:N44"/>
    <mergeCell ref="I43:M44"/>
    <mergeCell ref="J39:J41"/>
    <mergeCell ref="K39:M39"/>
    <mergeCell ref="K40:M40"/>
    <mergeCell ref="K41:M41"/>
  </mergeCells>
  <hyperlinks>
    <hyperlink ref="A55" r:id="rId1" xr:uid="{939BE22A-9CE0-E745-AEFB-468D46C49282}"/>
  </hyperlinks>
  <pageMargins left="0.7" right="0.7" top="0.75" bottom="0.75" header="0.3" footer="0.3"/>
  <ignoredErrors>
    <ignoredError sqref="C2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D2F3C-B87F-3049-BD74-FE5E432B4B50}">
  <dimension ref="A1:G6"/>
  <sheetViews>
    <sheetView workbookViewId="0">
      <selection activeCell="F4" sqref="F4"/>
    </sheetView>
  </sheetViews>
  <sheetFormatPr baseColWidth="10" defaultRowHeight="16" x14ac:dyDescent="0.2"/>
  <sheetData>
    <row r="1" spans="1:7" x14ac:dyDescent="0.2">
      <c r="A1" t="s">
        <v>63</v>
      </c>
      <c r="B1">
        <v>69.069999999999993</v>
      </c>
      <c r="C1" t="s">
        <v>65</v>
      </c>
      <c r="E1" t="s">
        <v>3</v>
      </c>
      <c r="F1">
        <v>1000</v>
      </c>
    </row>
    <row r="2" spans="1:7" x14ac:dyDescent="0.2">
      <c r="A2" t="s">
        <v>64</v>
      </c>
      <c r="B2">
        <f>B1/F3</f>
        <v>434.43803581424896</v>
      </c>
      <c r="E2" t="s">
        <v>4</v>
      </c>
      <c r="F2">
        <f>10^9</f>
        <v>1000000000</v>
      </c>
    </row>
    <row r="3" spans="1:7" x14ac:dyDescent="0.2">
      <c r="E3" t="s">
        <v>5</v>
      </c>
      <c r="F3">
        <v>0.15898699999999999</v>
      </c>
      <c r="G3" t="s">
        <v>7</v>
      </c>
    </row>
    <row r="4" spans="1:7" x14ac:dyDescent="0.2">
      <c r="E4" t="s">
        <v>9</v>
      </c>
      <c r="F4">
        <f>25/172.9</f>
        <v>0.14459224985540775</v>
      </c>
      <c r="G4" t="s">
        <v>10</v>
      </c>
    </row>
    <row r="5" spans="1:7" x14ac:dyDescent="0.2">
      <c r="E5" t="s">
        <v>25</v>
      </c>
      <c r="F5">
        <f>F3/F4</f>
        <v>1.099554092</v>
      </c>
    </row>
    <row r="6" spans="1:7" x14ac:dyDescent="0.2">
      <c r="E6" t="s">
        <v>90</v>
      </c>
      <c r="F6">
        <f>1/F5</f>
        <v>0.90945957754664064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4F9D-2A07-B048-A8CA-76959E476A51}">
  <dimension ref="A1:O43"/>
  <sheetViews>
    <sheetView workbookViewId="0">
      <selection activeCell="L9" sqref="L9"/>
    </sheetView>
  </sheetViews>
  <sheetFormatPr baseColWidth="10" defaultRowHeight="16" x14ac:dyDescent="0.2"/>
  <cols>
    <col min="1" max="1" width="15" customWidth="1"/>
    <col min="2" max="6" width="12.1640625" bestFit="1" customWidth="1"/>
    <col min="8" max="8" width="12.1640625" bestFit="1" customWidth="1"/>
    <col min="11" max="11" width="12.1640625" bestFit="1" customWidth="1"/>
    <col min="12" max="12" width="12.33203125" bestFit="1" customWidth="1"/>
    <col min="13" max="15" width="12.1640625" bestFit="1" customWidth="1"/>
  </cols>
  <sheetData>
    <row r="1" spans="1:15" x14ac:dyDescent="0.2">
      <c r="A1" t="s">
        <v>6</v>
      </c>
      <c r="B1">
        <v>3.8300000000000001E-2</v>
      </c>
      <c r="D1" t="s">
        <v>3</v>
      </c>
      <c r="E1">
        <v>1000</v>
      </c>
      <c r="F1" t="s">
        <v>326</v>
      </c>
      <c r="G1">
        <f>intro!B8</f>
        <v>0.68020000000000003</v>
      </c>
      <c r="M1" s="67" t="s">
        <v>334</v>
      </c>
      <c r="N1" s="67"/>
    </row>
    <row r="2" spans="1:15" ht="16" customHeight="1" x14ac:dyDescent="0.2">
      <c r="A2" t="s">
        <v>332</v>
      </c>
      <c r="B2">
        <f>E4/E3</f>
        <v>4.780175705778127E-5</v>
      </c>
      <c r="D2" t="s">
        <v>4</v>
      </c>
      <c r="E2">
        <f>10^9</f>
        <v>1000000000</v>
      </c>
      <c r="F2" t="s">
        <v>328</v>
      </c>
      <c r="G2">
        <f>G1/E1</f>
        <v>6.8020000000000005E-4</v>
      </c>
      <c r="H2" t="s">
        <v>99</v>
      </c>
      <c r="I2">
        <v>36000</v>
      </c>
      <c r="J2" s="66" t="s">
        <v>327</v>
      </c>
      <c r="K2" s="66"/>
      <c r="L2" s="66"/>
      <c r="M2" s="44" t="s">
        <v>98</v>
      </c>
      <c r="N2" s="44">
        <f>B1*1000</f>
        <v>38.299999999999997</v>
      </c>
    </row>
    <row r="3" spans="1:15" x14ac:dyDescent="0.2">
      <c r="A3" t="s">
        <v>131</v>
      </c>
      <c r="B3">
        <f>B2*1000</f>
        <v>4.7801757057781273E-2</v>
      </c>
      <c r="D3" t="s">
        <v>14</v>
      </c>
      <c r="E3">
        <v>947813394500</v>
      </c>
      <c r="F3" s="66" t="s">
        <v>329</v>
      </c>
      <c r="G3">
        <f>I2/G2</f>
        <v>52925610.114672154</v>
      </c>
      <c r="J3" s="66"/>
      <c r="K3" s="66"/>
      <c r="L3" s="66"/>
      <c r="M3" s="44" t="s">
        <v>333</v>
      </c>
      <c r="N3" s="44">
        <f>N2/G1</f>
        <v>56.306968538665089</v>
      </c>
    </row>
    <row r="4" spans="1:15" x14ac:dyDescent="0.2">
      <c r="A4" t="s">
        <v>132</v>
      </c>
      <c r="B4">
        <f>B3*1000</f>
        <v>47.801757057781273</v>
      </c>
      <c r="D4" t="s">
        <v>15</v>
      </c>
      <c r="E4" s="3">
        <f>I4*I5</f>
        <v>45307145.619999997</v>
      </c>
      <c r="F4" s="66"/>
      <c r="H4" t="s">
        <v>330</v>
      </c>
      <c r="I4">
        <v>2204.62</v>
      </c>
      <c r="J4" s="66"/>
      <c r="K4" s="66"/>
      <c r="L4" s="66"/>
      <c r="M4" s="44" t="s">
        <v>335</v>
      </c>
      <c r="N4" s="44">
        <f>N3*(E4/G3)</f>
        <v>48.201768812388877</v>
      </c>
    </row>
    <row r="5" spans="1:15" ht="53" customHeight="1" x14ac:dyDescent="0.2">
      <c r="F5" s="66"/>
      <c r="H5" t="s">
        <v>331</v>
      </c>
      <c r="I5">
        <v>20551</v>
      </c>
      <c r="J5" s="66"/>
      <c r="K5" s="66"/>
      <c r="L5" s="66"/>
      <c r="M5" s="44"/>
      <c r="N5" s="44"/>
    </row>
    <row r="6" spans="1:15" ht="36" customHeight="1" x14ac:dyDescent="0.2">
      <c r="A6" s="62" t="s">
        <v>142</v>
      </c>
      <c r="B6" s="62"/>
      <c r="C6" s="62"/>
      <c r="D6" s="62"/>
      <c r="E6" s="62"/>
      <c r="F6" s="62"/>
      <c r="G6" s="62"/>
      <c r="H6" s="62"/>
      <c r="I6" s="62"/>
      <c r="J6" s="62"/>
      <c r="K6" s="62"/>
      <c r="L6" t="s">
        <v>90</v>
      </c>
    </row>
    <row r="7" spans="1:15" x14ac:dyDescent="0.2">
      <c r="B7" s="56" t="s">
        <v>84</v>
      </c>
      <c r="C7" s="56"/>
      <c r="D7" s="56"/>
      <c r="E7" s="56"/>
      <c r="F7" s="56"/>
    </row>
    <row r="8" spans="1:15" x14ac:dyDescent="0.2">
      <c r="C8" t="s">
        <v>40</v>
      </c>
      <c r="D8" t="s">
        <v>41</v>
      </c>
      <c r="E8" t="s">
        <v>42</v>
      </c>
      <c r="F8" t="s">
        <v>43</v>
      </c>
      <c r="K8" s="25"/>
      <c r="L8" s="25" t="s">
        <v>40</v>
      </c>
      <c r="M8" s="25" t="s">
        <v>41</v>
      </c>
      <c r="N8" s="25" t="s">
        <v>42</v>
      </c>
      <c r="O8" s="25" t="s">
        <v>43</v>
      </c>
    </row>
    <row r="9" spans="1:15" ht="16" customHeight="1" x14ac:dyDescent="0.2">
      <c r="A9" s="53" t="s">
        <v>88</v>
      </c>
      <c r="B9" t="s">
        <v>121</v>
      </c>
      <c r="C9">
        <f>SQRT(0.00038*0.024)</f>
        <v>3.0199337741082998E-3</v>
      </c>
      <c r="D9">
        <f>SQRT(0.000014*0.00018)</f>
        <v>5.019960159204453E-5</v>
      </c>
      <c r="E9">
        <f>SQRT(0.000091*0.0012)</f>
        <v>3.304542328371661E-4</v>
      </c>
      <c r="G9" t="s">
        <v>336</v>
      </c>
      <c r="K9" s="25" t="s">
        <v>59</v>
      </c>
      <c r="L9" s="21">
        <f>(C9+C11+C13)/1000</f>
        <v>3.2490625588560918E-6</v>
      </c>
      <c r="M9" s="21">
        <f t="shared" ref="M9:O9" si="0">(D9+D11+D13)/1000</f>
        <v>6.171266993406163E-5</v>
      </c>
      <c r="N9" s="21">
        <f t="shared" si="0"/>
        <v>5.4211433772233338E-7</v>
      </c>
      <c r="O9" s="21">
        <f t="shared" si="0"/>
        <v>0</v>
      </c>
    </row>
    <row r="10" spans="1:15" x14ac:dyDescent="0.2">
      <c r="A10" s="53"/>
      <c r="B10" t="s">
        <v>122</v>
      </c>
      <c r="C10">
        <f>SQRT(0.00000076*0.000001)</f>
        <v>8.717797887081347E-7</v>
      </c>
      <c r="D10">
        <f>SQRT(0.0012*0.0016)</f>
        <v>1.3856406460551018E-3</v>
      </c>
      <c r="E10">
        <f>SQRT(0.00000062*0.00000085)</f>
        <v>7.2594765651526145E-7</v>
      </c>
      <c r="F10">
        <f>SQRT(0.000000021*0.000000029)</f>
        <v>2.4677925358506133E-8</v>
      </c>
      <c r="G10" t="s">
        <v>336</v>
      </c>
      <c r="K10" s="25" t="s">
        <v>94</v>
      </c>
      <c r="L10" s="21">
        <f>(C10+C12)/1000</f>
        <v>3.2382117019479808E-9</v>
      </c>
      <c r="M10" s="21">
        <f t="shared" ref="M10:O10" si="1">(D10+D12)/1000</f>
        <v>4.8927762294051384E-6</v>
      </c>
      <c r="N10" s="21">
        <f t="shared" si="1"/>
        <v>2.6021139604446332E-9</v>
      </c>
      <c r="O10" s="21">
        <f t="shared" si="1"/>
        <v>6.3213623094501519E-11</v>
      </c>
    </row>
    <row r="11" spans="1:15" x14ac:dyDescent="0.2">
      <c r="A11" s="53"/>
      <c r="B11" t="s">
        <v>123</v>
      </c>
      <c r="C11">
        <f>SQRT(0.00015*0.00035)</f>
        <v>2.29128784747792E-4</v>
      </c>
      <c r="D11">
        <f>SQRT(0.000012*0.000028)</f>
        <v>1.8330302779823361E-5</v>
      </c>
      <c r="E11">
        <f>SQRT(0.00014*0.00032)</f>
        <v>2.1166010488516725E-4</v>
      </c>
      <c r="G11" t="s">
        <v>336</v>
      </c>
      <c r="K11" s="25" t="s">
        <v>96</v>
      </c>
      <c r="L11" s="21">
        <f>SUM(C14:C16)/1000</f>
        <v>6.4583997501198888E-7</v>
      </c>
      <c r="M11" s="21">
        <f t="shared" ref="M11:O11" si="2">SUM(D14:D16)/1000</f>
        <v>6.2528652183015554E-9</v>
      </c>
      <c r="N11" s="21">
        <f t="shared" si="2"/>
        <v>1.8242998956518513E-8</v>
      </c>
      <c r="O11" s="21">
        <f t="shared" si="2"/>
        <v>0</v>
      </c>
    </row>
    <row r="12" spans="1:15" x14ac:dyDescent="0.2">
      <c r="A12" s="53"/>
      <c r="B12" t="s">
        <v>124</v>
      </c>
      <c r="C12">
        <f>SQRT(0.000002*0.0000028)</f>
        <v>2.3664319132398462E-6</v>
      </c>
      <c r="D12">
        <f>SQRT(0.003*0.0041)</f>
        <v>3.5071355833500364E-3</v>
      </c>
      <c r="E12">
        <f>SQRT(0.0000016*0.0000022)</f>
        <v>1.8761663039293717E-6</v>
      </c>
      <c r="F12">
        <f>SQRT(0.000000033*0.000000045)</f>
        <v>3.8535697735995386E-8</v>
      </c>
      <c r="G12" t="s">
        <v>336</v>
      </c>
      <c r="K12" s="25" t="s">
        <v>127</v>
      </c>
      <c r="L12" s="21">
        <f>C17/1000</f>
        <v>1.6583123951777001E-6</v>
      </c>
      <c r="M12" s="21">
        <f t="shared" ref="M12:O12" si="3">D17/1000</f>
        <v>8.4498520697110432E-8</v>
      </c>
      <c r="N12" s="21">
        <f t="shared" si="3"/>
        <v>2.4E-8</v>
      </c>
      <c r="O12" s="21">
        <f t="shared" si="3"/>
        <v>0</v>
      </c>
    </row>
    <row r="13" spans="1:15" x14ac:dyDescent="0.2">
      <c r="A13" s="53"/>
      <c r="B13" t="s">
        <v>125</v>
      </c>
      <c r="C13">
        <v>0</v>
      </c>
      <c r="D13">
        <f>SQRT(0.04*0.095)</f>
        <v>6.1644140029689765E-2</v>
      </c>
      <c r="E13">
        <v>0</v>
      </c>
      <c r="F13">
        <v>0</v>
      </c>
      <c r="G13" t="s">
        <v>336</v>
      </c>
    </row>
    <row r="14" spans="1:15" ht="16" customHeight="1" x14ac:dyDescent="0.2">
      <c r="A14" s="53" t="s">
        <v>89</v>
      </c>
      <c r="B14" t="s">
        <v>128</v>
      </c>
      <c r="C14">
        <f>SQRT(0.000166*0.0011)</f>
        <v>4.2731721238442995E-4</v>
      </c>
      <c r="D14">
        <f>SQRT(0.00000088*0.000002)</f>
        <v>1.32664991614216E-6</v>
      </c>
      <c r="E14">
        <f>SQRT(0.000007*0.000016)</f>
        <v>1.0583005244258361E-5</v>
      </c>
      <c r="F14">
        <v>0</v>
      </c>
      <c r="G14" t="s">
        <v>336</v>
      </c>
      <c r="L14">
        <v>3.2490625588560918E-6</v>
      </c>
      <c r="M14">
        <v>6.171266993406163E-5</v>
      </c>
      <c r="N14">
        <v>5.4211433772233338E-7</v>
      </c>
      <c r="O14">
        <v>0</v>
      </c>
    </row>
    <row r="15" spans="1:15" x14ac:dyDescent="0.2">
      <c r="A15" s="53"/>
      <c r="B15" t="s">
        <v>129</v>
      </c>
      <c r="C15" s="8">
        <f>SQRT(0.000044*0.00074)</f>
        <v>1.8044389709823938E-4</v>
      </c>
      <c r="D15">
        <f>SQRT(0.0000031*0.0000073)</f>
        <v>4.7570999569065184E-6</v>
      </c>
      <c r="E15">
        <f>SQRT(0.0000046*0.000011)</f>
        <v>7.1133676975114956E-6</v>
      </c>
      <c r="F15">
        <v>0</v>
      </c>
      <c r="G15" t="s">
        <v>336</v>
      </c>
      <c r="L15">
        <v>3.2382117019479808E-9</v>
      </c>
      <c r="M15">
        <v>4.8927762294051384E-6</v>
      </c>
      <c r="N15">
        <v>2.6021139604446332E-9</v>
      </c>
      <c r="O15" t="s">
        <v>130</v>
      </c>
    </row>
    <row r="16" spans="1:15" x14ac:dyDescent="0.2">
      <c r="A16" s="53"/>
      <c r="B16" t="s">
        <v>126</v>
      </c>
      <c r="C16">
        <f>SQRT(0.000025*0.000058)</f>
        <v>3.8078865529319545E-5</v>
      </c>
      <c r="D16">
        <f>SQRT(0.00000011*0.00000026)</f>
        <v>1.6911534525287763E-7</v>
      </c>
      <c r="E16">
        <f>SQRT(0.00000036*0.00000083)</f>
        <v>5.4662601474865792E-7</v>
      </c>
      <c r="F16">
        <v>0</v>
      </c>
      <c r="G16" t="s">
        <v>336</v>
      </c>
      <c r="L16">
        <v>6.4583997501198888E-7</v>
      </c>
      <c r="M16">
        <v>6.2528652183015554E-9</v>
      </c>
      <c r="N16">
        <v>1.8242998956518513E-8</v>
      </c>
      <c r="O16">
        <v>0</v>
      </c>
    </row>
    <row r="17" spans="1:15" x14ac:dyDescent="0.2">
      <c r="A17" s="53"/>
      <c r="B17" t="s">
        <v>127</v>
      </c>
      <c r="C17">
        <f>SQRT(0.0011*0.0025)</f>
        <v>1.6583123951777001E-3</v>
      </c>
      <c r="D17">
        <f>SQRT(0.000051*0.00014)</f>
        <v>8.4498520697110432E-5</v>
      </c>
      <c r="E17">
        <f>SQRT(0.000016*0.000036)</f>
        <v>2.4000000000000001E-5</v>
      </c>
      <c r="F17">
        <v>0</v>
      </c>
      <c r="G17" t="s">
        <v>336</v>
      </c>
      <c r="L17">
        <v>1.6583123951777001E-6</v>
      </c>
      <c r="M17">
        <v>8.4498520697110432E-8</v>
      </c>
      <c r="N17">
        <v>2.4E-8</v>
      </c>
      <c r="O17">
        <v>0</v>
      </c>
    </row>
    <row r="18" spans="1:15" ht="49" customHeight="1" x14ac:dyDescent="0.2"/>
    <row r="19" spans="1:15" ht="30" customHeight="1" x14ac:dyDescent="0.2">
      <c r="A19" s="62" t="s">
        <v>303</v>
      </c>
      <c r="B19" s="62"/>
      <c r="C19" s="62"/>
      <c r="D19" s="62"/>
      <c r="E19" s="62"/>
      <c r="F19" s="62"/>
      <c r="G19" s="62"/>
      <c r="H19" s="62"/>
      <c r="I19" s="62"/>
      <c r="J19" s="62"/>
      <c r="K19" s="62"/>
    </row>
    <row r="20" spans="1:15" ht="17" x14ac:dyDescent="0.2">
      <c r="A20" s="26" t="s">
        <v>133</v>
      </c>
      <c r="B20">
        <v>3.8300000000000001E-2</v>
      </c>
    </row>
    <row r="21" spans="1:15" x14ac:dyDescent="0.2">
      <c r="A21" t="s">
        <v>134</v>
      </c>
      <c r="B21">
        <v>38.299999999999997</v>
      </c>
      <c r="C21" t="s">
        <v>150</v>
      </c>
    </row>
    <row r="22" spans="1:15" x14ac:dyDescent="0.2">
      <c r="A22" t="s">
        <v>136</v>
      </c>
      <c r="B22">
        <v>0.8</v>
      </c>
      <c r="C22" s="27" t="s">
        <v>135</v>
      </c>
    </row>
    <row r="23" spans="1:15" x14ac:dyDescent="0.2">
      <c r="A23" t="s">
        <v>137</v>
      </c>
      <c r="B23">
        <f>B21/B22</f>
        <v>47.874999999999993</v>
      </c>
    </row>
    <row r="25" spans="1:15" x14ac:dyDescent="0.2">
      <c r="A25" t="s">
        <v>140</v>
      </c>
    </row>
    <row r="26" spans="1:15" x14ac:dyDescent="0.2">
      <c r="A26" t="s">
        <v>138</v>
      </c>
      <c r="B26">
        <v>8.5900000000000004E-2</v>
      </c>
      <c r="C26">
        <v>0.1502</v>
      </c>
      <c r="E26" s="27" t="s">
        <v>278</v>
      </c>
    </row>
    <row r="27" spans="1:15" x14ac:dyDescent="0.2">
      <c r="A27" t="s">
        <v>139</v>
      </c>
      <c r="B27">
        <v>3.6</v>
      </c>
      <c r="E27" t="s">
        <v>279</v>
      </c>
    </row>
    <row r="28" spans="1:15" x14ac:dyDescent="0.2">
      <c r="A28" t="s">
        <v>137</v>
      </c>
      <c r="B28">
        <f>B27*B26</f>
        <v>0.30924000000000001</v>
      </c>
      <c r="C28">
        <f>C26*B27</f>
        <v>0.54071999999999998</v>
      </c>
    </row>
    <row r="29" spans="1:15" x14ac:dyDescent="0.2">
      <c r="A29" t="s">
        <v>141</v>
      </c>
      <c r="B29">
        <f>(B28+C28)/2</f>
        <v>0.42498000000000002</v>
      </c>
      <c r="C29">
        <f>B28/B29</f>
        <v>0.72765777213045324</v>
      </c>
      <c r="D29">
        <f>C28/B29</f>
        <v>1.2723422278695466</v>
      </c>
    </row>
    <row r="31" spans="1:15" ht="85" x14ac:dyDescent="0.2">
      <c r="A31" s="5" t="s">
        <v>145</v>
      </c>
      <c r="B31">
        <f>B29/B23</f>
        <v>8.8768668407310722E-3</v>
      </c>
    </row>
    <row r="32" spans="1:15" x14ac:dyDescent="0.2">
      <c r="A32" s="5"/>
    </row>
    <row r="33" spans="1:11" ht="34" x14ac:dyDescent="0.2">
      <c r="A33" s="5" t="s">
        <v>304</v>
      </c>
      <c r="B33" t="s">
        <v>305</v>
      </c>
    </row>
    <row r="34" spans="1:11" ht="102" x14ac:dyDescent="0.2">
      <c r="A34" s="5" t="s">
        <v>306</v>
      </c>
      <c r="B34">
        <v>408.31599999999997</v>
      </c>
      <c r="D34" s="64" t="s">
        <v>309</v>
      </c>
      <c r="E34" s="64"/>
      <c r="F34" s="42" t="s">
        <v>109</v>
      </c>
      <c r="G34" s="42" t="s">
        <v>108</v>
      </c>
      <c r="H34" s="42" t="s">
        <v>310</v>
      </c>
    </row>
    <row r="35" spans="1:11" ht="49" customHeight="1" x14ac:dyDescent="0.2">
      <c r="A35" s="5" t="s">
        <v>307</v>
      </c>
      <c r="B35">
        <v>24319</v>
      </c>
      <c r="C35" t="s">
        <v>308</v>
      </c>
      <c r="D35" s="42"/>
      <c r="E35" s="42"/>
      <c r="F35" s="41">
        <v>2E-3</v>
      </c>
      <c r="G35" s="41">
        <v>60.15</v>
      </c>
      <c r="H35" s="41">
        <v>3.5E-4</v>
      </c>
    </row>
    <row r="36" spans="1:11" ht="49" customHeight="1" x14ac:dyDescent="0.2">
      <c r="A36" s="5" t="s">
        <v>311</v>
      </c>
      <c r="B36">
        <f>B34/B35</f>
        <v>1.6789999588798881E-2</v>
      </c>
      <c r="D36" s="64" t="s">
        <v>313</v>
      </c>
      <c r="E36" s="64"/>
      <c r="F36" s="41">
        <f>F35*B36</f>
        <v>3.3579999177597762E-5</v>
      </c>
      <c r="G36" s="41">
        <f>G35*B36</f>
        <v>1.0099184752662527</v>
      </c>
      <c r="H36" s="41">
        <f>H35*B36</f>
        <v>5.8764998560796083E-6</v>
      </c>
    </row>
    <row r="37" spans="1:11" ht="49" customHeight="1" x14ac:dyDescent="0.2">
      <c r="A37" s="5" t="s">
        <v>215</v>
      </c>
      <c r="B37">
        <f>B23/1000</f>
        <v>4.7874999999999994E-2</v>
      </c>
    </row>
    <row r="38" spans="1:11" ht="49" customHeight="1" x14ac:dyDescent="0.2">
      <c r="A38" s="5" t="s">
        <v>312</v>
      </c>
      <c r="B38">
        <f>B36*B37</f>
        <v>8.0382123031374629E-4</v>
      </c>
      <c r="F38">
        <f>F35*B38</f>
        <v>1.6076424606274925E-6</v>
      </c>
      <c r="G38">
        <f>G35*B38</f>
        <v>4.8349847003371839E-2</v>
      </c>
      <c r="H38">
        <f>H35*B38</f>
        <v>2.813374306098112E-7</v>
      </c>
    </row>
    <row r="40" spans="1:11" ht="30" customHeight="1" x14ac:dyDescent="0.2">
      <c r="A40" s="62" t="s">
        <v>144</v>
      </c>
      <c r="B40" s="62"/>
      <c r="C40" s="62"/>
      <c r="D40" s="62"/>
      <c r="E40" s="62"/>
      <c r="F40" s="62"/>
      <c r="G40" s="62"/>
      <c r="H40" s="62"/>
      <c r="I40" s="62"/>
      <c r="J40" s="62"/>
      <c r="K40" s="62"/>
    </row>
    <row r="41" spans="1:11" ht="17" x14ac:dyDescent="0.2">
      <c r="A41" s="26" t="s">
        <v>146</v>
      </c>
    </row>
    <row r="42" spans="1:11" ht="17" x14ac:dyDescent="0.2">
      <c r="A42" s="26" t="s">
        <v>147</v>
      </c>
    </row>
    <row r="43" spans="1:11" x14ac:dyDescent="0.2">
      <c r="A43" t="s">
        <v>148</v>
      </c>
      <c r="B43" t="s">
        <v>149</v>
      </c>
    </row>
  </sheetData>
  <mergeCells count="11">
    <mergeCell ref="F3:F5"/>
    <mergeCell ref="J2:L5"/>
    <mergeCell ref="M1:N1"/>
    <mergeCell ref="A40:K40"/>
    <mergeCell ref="B7:F7"/>
    <mergeCell ref="A9:A13"/>
    <mergeCell ref="A14:A17"/>
    <mergeCell ref="A6:K6"/>
    <mergeCell ref="A19:K19"/>
    <mergeCell ref="D36:E36"/>
    <mergeCell ref="D34:E34"/>
  </mergeCells>
  <hyperlinks>
    <hyperlink ref="C22" r:id="rId1" xr:uid="{7E194DE2-4489-0042-AE59-FD5DE1D1D4EC}"/>
    <hyperlink ref="E26" r:id="rId2" xr:uid="{460113EC-DF0F-814B-8472-57BA0BE4176D}"/>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770E-8AC3-3448-87FF-4EA9A47180A6}">
  <dimension ref="A1:Z52"/>
  <sheetViews>
    <sheetView zoomScale="86" workbookViewId="0">
      <selection activeCell="F16" sqref="F16"/>
    </sheetView>
  </sheetViews>
  <sheetFormatPr baseColWidth="10" defaultRowHeight="16" x14ac:dyDescent="0.2"/>
  <cols>
    <col min="1" max="1" width="22.83203125" customWidth="1"/>
    <col min="2" max="2" width="15.33203125" customWidth="1"/>
    <col min="5" max="5" width="12.1640625" bestFit="1" customWidth="1"/>
    <col min="6" max="6" width="2.33203125" customWidth="1"/>
    <col min="7" max="7" width="12.1640625" bestFit="1" customWidth="1"/>
    <col min="8" max="8" width="10.6640625" customWidth="1"/>
    <col min="9" max="9" width="2.1640625" customWidth="1"/>
    <col min="12" max="12" width="11.1640625" bestFit="1" customWidth="1"/>
    <col min="13" max="13" width="11.83203125" customWidth="1"/>
    <col min="14" max="14" width="12.1640625" bestFit="1" customWidth="1"/>
    <col min="17" max="17" width="2.33203125" customWidth="1"/>
    <col min="22" max="22" width="2.6640625" customWidth="1"/>
    <col min="23" max="23" width="15.6640625" customWidth="1"/>
    <col min="24" max="24" width="12.1640625" bestFit="1" customWidth="1"/>
    <col min="27" max="27" width="1.1640625" customWidth="1"/>
  </cols>
  <sheetData>
    <row r="1" spans="1:25" x14ac:dyDescent="0.2">
      <c r="A1" t="s">
        <v>6</v>
      </c>
      <c r="B1">
        <f>22.96</f>
        <v>22.96</v>
      </c>
      <c r="D1" t="s">
        <v>3</v>
      </c>
      <c r="E1">
        <v>1000</v>
      </c>
    </row>
    <row r="2" spans="1:25" x14ac:dyDescent="0.2">
      <c r="A2" t="s">
        <v>17</v>
      </c>
      <c r="B2">
        <f>E3/E4</f>
        <v>41430.140298359234</v>
      </c>
      <c r="D2" t="s">
        <v>4</v>
      </c>
      <c r="E2">
        <f>10^9</f>
        <v>1000000000</v>
      </c>
    </row>
    <row r="3" spans="1:25" x14ac:dyDescent="0.2">
      <c r="D3" t="s">
        <v>14</v>
      </c>
      <c r="E3">
        <v>947813394500</v>
      </c>
    </row>
    <row r="4" spans="1:25" x14ac:dyDescent="0.2">
      <c r="A4" t="s">
        <v>98</v>
      </c>
      <c r="B4">
        <f>B1*E1</f>
        <v>22960</v>
      </c>
      <c r="D4" t="s">
        <v>15</v>
      </c>
      <c r="E4" s="3">
        <v>22877388</v>
      </c>
      <c r="F4" t="s">
        <v>16</v>
      </c>
    </row>
    <row r="5" spans="1:25" x14ac:dyDescent="0.2">
      <c r="A5" t="s">
        <v>2</v>
      </c>
      <c r="B5">
        <f>B4/E2</f>
        <v>2.296E-5</v>
      </c>
      <c r="D5" t="s">
        <v>11</v>
      </c>
      <c r="E5">
        <f>E4/E3</f>
        <v>2.4137016983251759E-5</v>
      </c>
    </row>
    <row r="6" spans="1:25" x14ac:dyDescent="0.2">
      <c r="A6" t="s">
        <v>99</v>
      </c>
      <c r="B6">
        <f>E3*B5</f>
        <v>21761795.537720002</v>
      </c>
      <c r="P6">
        <v>2206</v>
      </c>
      <c r="Q6" t="s">
        <v>324</v>
      </c>
    </row>
    <row r="7" spans="1:25" x14ac:dyDescent="0.2">
      <c r="A7" t="s">
        <v>337</v>
      </c>
      <c r="B7">
        <f>B6/E4</f>
        <v>0.95123602125032813</v>
      </c>
      <c r="P7">
        <f>P6/B5</f>
        <v>96080139.3728223</v>
      </c>
      <c r="R7">
        <f>Z18*P7</f>
        <v>677618.16181961983</v>
      </c>
      <c r="S7">
        <f>R7*25/1000000</f>
        <v>16.940454045490497</v>
      </c>
      <c r="T7" t="s">
        <v>325</v>
      </c>
    </row>
    <row r="8" spans="1:25" x14ac:dyDescent="0.2">
      <c r="P8">
        <v>6200000</v>
      </c>
      <c r="R8">
        <f>P8*Z18</f>
        <v>43726.3375210093</v>
      </c>
      <c r="S8">
        <f>R8*25/1000000</f>
        <v>1.0931584380252324</v>
      </c>
    </row>
    <row r="9" spans="1:25" x14ac:dyDescent="0.2">
      <c r="A9" t="s">
        <v>116</v>
      </c>
      <c r="B9">
        <v>0.98</v>
      </c>
    </row>
    <row r="10" spans="1:25" x14ac:dyDescent="0.2">
      <c r="K10" t="s">
        <v>321</v>
      </c>
      <c r="L10" t="s">
        <v>322</v>
      </c>
      <c r="M10" t="s">
        <v>323</v>
      </c>
    </row>
    <row r="11" spans="1:25" ht="37" customHeight="1" x14ac:dyDescent="0.2">
      <c r="A11" s="2" t="s">
        <v>12</v>
      </c>
      <c r="B11" s="4">
        <f>1/B2</f>
        <v>2.4137016983251759E-5</v>
      </c>
      <c r="K11">
        <v>10</v>
      </c>
      <c r="L11">
        <f>K11*intro!B8/1000</f>
        <v>6.8020000000000008E-3</v>
      </c>
      <c r="M11">
        <f>L11/B7</f>
        <v>7.1506964076689227E-3</v>
      </c>
    </row>
    <row r="12" spans="1:25" ht="37" customHeight="1" x14ac:dyDescent="0.2">
      <c r="A12" s="2" t="s">
        <v>13</v>
      </c>
      <c r="B12" s="4">
        <f>B2</f>
        <v>41430.140298359234</v>
      </c>
    </row>
    <row r="15" spans="1:25" ht="36" customHeight="1" x14ac:dyDescent="0.2">
      <c r="A15" s="62" t="s">
        <v>142</v>
      </c>
      <c r="B15" s="62"/>
      <c r="C15" s="62"/>
      <c r="D15" s="62"/>
      <c r="E15" s="62"/>
      <c r="F15" s="62"/>
      <c r="G15" s="62"/>
      <c r="H15" s="62"/>
      <c r="I15" s="62"/>
      <c r="J15" s="62"/>
      <c r="K15" s="62"/>
    </row>
    <row r="16" spans="1:25" x14ac:dyDescent="0.2">
      <c r="G16" s="61" t="s">
        <v>100</v>
      </c>
      <c r="H16" s="61"/>
      <c r="I16" s="61"/>
      <c r="J16" s="61"/>
      <c r="K16" s="61"/>
      <c r="L16" s="61"/>
      <c r="N16" s="61" t="s">
        <v>101</v>
      </c>
      <c r="O16" s="61"/>
      <c r="P16" s="61"/>
      <c r="S16" s="23"/>
      <c r="T16" s="23"/>
      <c r="U16" s="23"/>
      <c r="V16" s="24" t="s">
        <v>105</v>
      </c>
      <c r="W16" s="24"/>
      <c r="X16" s="23">
        <v>0.5</v>
      </c>
      <c r="Y16" t="s">
        <v>120</v>
      </c>
    </row>
    <row r="17" spans="1:26" x14ac:dyDescent="0.2">
      <c r="A17" t="s">
        <v>18</v>
      </c>
      <c r="B17" t="s">
        <v>26</v>
      </c>
      <c r="C17" t="s">
        <v>21</v>
      </c>
      <c r="D17" t="s">
        <v>22</v>
      </c>
      <c r="E17" t="s">
        <v>23</v>
      </c>
      <c r="G17" t="s">
        <v>29</v>
      </c>
      <c r="H17" t="s">
        <v>30</v>
      </c>
      <c r="J17" t="s">
        <v>27</v>
      </c>
      <c r="K17" t="s">
        <v>28</v>
      </c>
      <c r="L17" t="s">
        <v>22</v>
      </c>
      <c r="S17" t="s">
        <v>21</v>
      </c>
      <c r="T17" t="s">
        <v>23</v>
      </c>
      <c r="U17" t="s">
        <v>104</v>
      </c>
      <c r="W17" s="25"/>
      <c r="X17" s="25" t="s">
        <v>106</v>
      </c>
      <c r="Y17" s="25" t="s">
        <v>107</v>
      </c>
      <c r="Z17" s="25" t="s">
        <v>104</v>
      </c>
    </row>
    <row r="18" spans="1:26" ht="65" customHeight="1" x14ac:dyDescent="0.2">
      <c r="A18" s="5" t="s">
        <v>24</v>
      </c>
      <c r="B18" t="s">
        <v>25</v>
      </c>
      <c r="C18">
        <v>10</v>
      </c>
      <c r="D18">
        <v>18</v>
      </c>
      <c r="E18">
        <v>25</v>
      </c>
      <c r="G18">
        <f>C18*(intro!$B$8/1000)</f>
        <v>6.8020000000000008E-3</v>
      </c>
      <c r="H18">
        <f>E18*(intro!$B$8/1000)</f>
        <v>1.7005000000000003E-2</v>
      </c>
      <c r="J18">
        <f>ROUND(G18/L18,3)</f>
        <v>0.55600000000000005</v>
      </c>
      <c r="K18">
        <f>ROUND(H18/L18,3)</f>
        <v>1.389</v>
      </c>
      <c r="L18">
        <f>D18*(intro!$B$8/1000)</f>
        <v>1.22436E-2</v>
      </c>
      <c r="N18">
        <f>G18*$B$7</f>
        <v>6.4703074165447325E-3</v>
      </c>
      <c r="O18">
        <f>H18*$B$7</f>
        <v>1.6175768541361834E-2</v>
      </c>
      <c r="P18">
        <f>L18*$B$7</f>
        <v>1.1646553349780518E-2</v>
      </c>
      <c r="R18" t="s">
        <v>102</v>
      </c>
      <c r="S18">
        <f>N18+N19</f>
        <v>7.0526350840337589E-3</v>
      </c>
      <c r="T18">
        <f>O18+O19</f>
        <v>1.8763891507979726E-2</v>
      </c>
      <c r="U18">
        <f>P18+P19</f>
        <v>1.32641302039167E-2</v>
      </c>
      <c r="W18" s="25" t="s">
        <v>110</v>
      </c>
      <c r="X18" s="21">
        <f>MIN(S18:S19)/Z18</f>
        <v>2.7522935779816515E-2</v>
      </c>
      <c r="Y18" s="21">
        <f>MAX(T18:T19)/Z18</f>
        <v>2.6605504587155968</v>
      </c>
      <c r="Z18" s="21">
        <f>$X$16*U18+(1-$X$16)*U19</f>
        <v>7.0526350840337581E-3</v>
      </c>
    </row>
    <row r="19" spans="1:26" x14ac:dyDescent="0.2">
      <c r="A19" t="s">
        <v>31</v>
      </c>
      <c r="B19" t="s">
        <v>25</v>
      </c>
      <c r="C19">
        <v>0.9</v>
      </c>
      <c r="D19">
        <v>2.5</v>
      </c>
      <c r="E19">
        <v>4</v>
      </c>
      <c r="G19">
        <f>C19*(intro!$B$8/1000)</f>
        <v>6.1218000000000004E-4</v>
      </c>
      <c r="H19">
        <f>E19*(intro!$B$8/1000)</f>
        <v>2.7208000000000002E-3</v>
      </c>
      <c r="J19">
        <f>ROUND(G19/L19,3)</f>
        <v>0.36</v>
      </c>
      <c r="K19">
        <f>ROUND(H19/L19,3)</f>
        <v>1.6</v>
      </c>
      <c r="L19">
        <f>D19*(intro!$B$8/1000)</f>
        <v>1.7005000000000002E-3</v>
      </c>
      <c r="N19">
        <f t="shared" ref="N19:N21" si="0">G19*$B$7</f>
        <v>5.8232766748902596E-4</v>
      </c>
      <c r="O19">
        <f t="shared" ref="O19:O21" si="1">H19*$B$7</f>
        <v>2.5881229666178929E-3</v>
      </c>
      <c r="P19">
        <f>L19*$B$7</f>
        <v>1.6175768541361831E-3</v>
      </c>
      <c r="R19" t="s">
        <v>103</v>
      </c>
      <c r="S19">
        <f>N20+N21</f>
        <v>1.9410922249634197E-4</v>
      </c>
      <c r="T19">
        <f t="shared" ref="T19:U19" si="2">O20+O21</f>
        <v>1.423467631639841E-3</v>
      </c>
      <c r="U19">
        <f t="shared" si="2"/>
        <v>8.4113996415081525E-4</v>
      </c>
      <c r="W19" s="25" t="s">
        <v>111</v>
      </c>
      <c r="X19" s="21">
        <v>0</v>
      </c>
      <c r="Y19" s="21">
        <f>O22/Z19</f>
        <v>4.1694915254237284</v>
      </c>
      <c r="Z19" s="21">
        <f>$X$16*P22</f>
        <v>1.9087406878806963E-3</v>
      </c>
    </row>
    <row r="20" spans="1:26" ht="51" x14ac:dyDescent="0.2">
      <c r="A20" s="5" t="s">
        <v>32</v>
      </c>
      <c r="B20" t="s">
        <v>25</v>
      </c>
      <c r="C20">
        <v>0.3</v>
      </c>
      <c r="D20">
        <v>1.2</v>
      </c>
      <c r="E20">
        <v>2</v>
      </c>
      <c r="G20">
        <f>C20*(intro!$B$8/1000)</f>
        <v>2.0406000000000002E-4</v>
      </c>
      <c r="H20">
        <f>E20*(intro!$B$8/1000)</f>
        <v>1.3604000000000001E-3</v>
      </c>
      <c r="J20">
        <f t="shared" ref="J20:J21" si="3">ROUND(G20/L20,3)</f>
        <v>0.25</v>
      </c>
      <c r="K20">
        <f t="shared" ref="K20" si="4">ROUND(H20/L20,3)</f>
        <v>1.667</v>
      </c>
      <c r="L20">
        <f>D20*(intro!$B$8/1000)</f>
        <v>8.1624000000000009E-4</v>
      </c>
      <c r="N20">
        <f t="shared" si="0"/>
        <v>1.9410922249634197E-4</v>
      </c>
      <c r="O20">
        <f t="shared" si="1"/>
        <v>1.2940614833089465E-3</v>
      </c>
      <c r="P20">
        <f t="shared" ref="P20:P21" si="5">L20*$B$7</f>
        <v>7.7643688998536788E-4</v>
      </c>
      <c r="W20" s="25" t="s">
        <v>118</v>
      </c>
      <c r="X20" s="21">
        <f>N31/Z20</f>
        <v>0.51376146788990829</v>
      </c>
      <c r="Y20" s="21">
        <f>O31/Z20</f>
        <v>1.4311926605504586</v>
      </c>
      <c r="Z20" s="21">
        <f>P31</f>
        <v>1.4105270168067531E-4</v>
      </c>
    </row>
    <row r="21" spans="1:26" x14ac:dyDescent="0.2">
      <c r="A21" t="s">
        <v>33</v>
      </c>
      <c r="B21" t="s">
        <v>25</v>
      </c>
      <c r="C21">
        <v>0</v>
      </c>
      <c r="D21">
        <v>0.1</v>
      </c>
      <c r="E21">
        <v>0.2</v>
      </c>
      <c r="G21">
        <f>C21*(intro!$B$8/1000)</f>
        <v>0</v>
      </c>
      <c r="H21">
        <f>E21*(intro!$B$8/1000)</f>
        <v>1.3604000000000001E-4</v>
      </c>
      <c r="J21">
        <f t="shared" si="3"/>
        <v>0</v>
      </c>
      <c r="K21">
        <f>ROUND(H21/L21,3)</f>
        <v>2</v>
      </c>
      <c r="L21">
        <f>D21*(intro!$B$8/1000)</f>
        <v>6.8020000000000003E-5</v>
      </c>
      <c r="N21">
        <f t="shared" si="0"/>
        <v>0</v>
      </c>
      <c r="O21">
        <f t="shared" si="1"/>
        <v>1.2940614833089465E-4</v>
      </c>
      <c r="P21">
        <f t="shared" si="5"/>
        <v>6.4703074165447323E-5</v>
      </c>
      <c r="W21" s="25" t="s">
        <v>119</v>
      </c>
      <c r="X21" s="21">
        <f>N30/Z21</f>
        <v>0.51376146788990817</v>
      </c>
      <c r="Y21" s="21">
        <f>O30/Z21</f>
        <v>1.4311926605504584</v>
      </c>
      <c r="Z21" s="21">
        <f t="shared" ref="Z21" si="6">P30</f>
        <v>5.1415182085719796E-2</v>
      </c>
    </row>
    <row r="22" spans="1:26" x14ac:dyDescent="0.2">
      <c r="A22" t="s">
        <v>92</v>
      </c>
      <c r="B22" t="s">
        <v>25</v>
      </c>
      <c r="C22">
        <v>0.05</v>
      </c>
      <c r="D22">
        <v>5.9</v>
      </c>
      <c r="E22">
        <v>12.3</v>
      </c>
      <c r="G22">
        <f>C22*(intro!$B$8/1000)</f>
        <v>3.4010000000000001E-5</v>
      </c>
      <c r="H22">
        <f>E22*(intro!$B$8/1000)</f>
        <v>8.3664600000000009E-3</v>
      </c>
      <c r="J22">
        <f t="shared" ref="J22" si="7">ROUND(G22/L22,3)</f>
        <v>8.0000000000000002E-3</v>
      </c>
      <c r="K22">
        <f t="shared" ref="K22" si="8">ROUND(H22/L22,3)</f>
        <v>2.085</v>
      </c>
      <c r="L22">
        <f>D22*(intro!$B$8/1000)</f>
        <v>4.0131800000000007E-3</v>
      </c>
      <c r="N22">
        <f>G22*$B$7</f>
        <v>3.2351537082723662E-5</v>
      </c>
      <c r="O22">
        <f>H22*$B$7</f>
        <v>7.9584781223500205E-3</v>
      </c>
      <c r="P22">
        <f>L22*$B$7</f>
        <v>3.8174813757613927E-3</v>
      </c>
    </row>
    <row r="25" spans="1:26" x14ac:dyDescent="0.2">
      <c r="A25" t="s">
        <v>112</v>
      </c>
      <c r="C25">
        <f>C18+C19</f>
        <v>10.9</v>
      </c>
      <c r="D25">
        <f t="shared" ref="D25:E25" si="9">D18+D19</f>
        <v>20.5</v>
      </c>
      <c r="E25">
        <f t="shared" si="9"/>
        <v>29</v>
      </c>
    </row>
    <row r="26" spans="1:26" x14ac:dyDescent="0.2">
      <c r="A26" t="s">
        <v>113</v>
      </c>
      <c r="C26">
        <f>C20+C21</f>
        <v>0.3</v>
      </c>
      <c r="D26">
        <f t="shared" ref="D26:E26" si="10">D20+D21</f>
        <v>1.3</v>
      </c>
      <c r="E26">
        <f t="shared" si="10"/>
        <v>2.2000000000000002</v>
      </c>
      <c r="W26" t="s">
        <v>118</v>
      </c>
      <c r="X26">
        <v>0.51376146788990829</v>
      </c>
      <c r="Y26">
        <v>1.4311926605504586</v>
      </c>
      <c r="Z26">
        <v>1.4105270168067531E-4</v>
      </c>
    </row>
    <row r="27" spans="1:26" x14ac:dyDescent="0.2">
      <c r="A27" t="s">
        <v>114</v>
      </c>
      <c r="C27">
        <f>C25*$X$16+C26*(1-$X$16)</f>
        <v>5.6000000000000005</v>
      </c>
      <c r="D27">
        <f t="shared" ref="D27:E27" si="11">D25*$X$16+D26*(1-$X$16)</f>
        <v>10.9</v>
      </c>
      <c r="E27">
        <f t="shared" si="11"/>
        <v>15.6</v>
      </c>
      <c r="W27" t="s">
        <v>119</v>
      </c>
      <c r="X27">
        <v>0.51376146788990817</v>
      </c>
      <c r="Y27">
        <v>1.4311926605504584</v>
      </c>
      <c r="Z27">
        <v>5.1415182085719796E-2</v>
      </c>
    </row>
    <row r="28" spans="1:26" x14ac:dyDescent="0.2">
      <c r="W28" t="s">
        <v>110</v>
      </c>
      <c r="X28">
        <v>2.7522935779816501E-2</v>
      </c>
      <c r="Y28">
        <v>2.6605504587155964</v>
      </c>
      <c r="Z28">
        <v>1.5243270555172855E-2</v>
      </c>
    </row>
    <row r="29" spans="1:26" x14ac:dyDescent="0.2">
      <c r="A29" t="s">
        <v>115</v>
      </c>
      <c r="W29" t="s">
        <v>111</v>
      </c>
      <c r="X29">
        <v>0</v>
      </c>
      <c r="Y29">
        <v>4.1694915254237284</v>
      </c>
      <c r="Z29">
        <v>5.163309123346782E-3</v>
      </c>
    </row>
    <row r="30" spans="1:26" x14ac:dyDescent="0.2">
      <c r="A30" t="s">
        <v>108</v>
      </c>
      <c r="C30">
        <f>$B$9*C27*2.75</f>
        <v>15.092000000000001</v>
      </c>
      <c r="D30">
        <f t="shared" ref="D30:E30" si="12">$B$9*D27*2.75</f>
        <v>29.375500000000002</v>
      </c>
      <c r="E30">
        <f t="shared" si="12"/>
        <v>42.042000000000002</v>
      </c>
      <c r="G30">
        <f>C30*intro!$B$9</f>
        <v>2.776928E-2</v>
      </c>
      <c r="H30">
        <f>E30*intro!$B$9</f>
        <v>7.735728E-2</v>
      </c>
      <c r="J30">
        <f t="shared" ref="J30" si="13">ROUND(G30/L30,3)</f>
        <v>0.51400000000000001</v>
      </c>
      <c r="K30">
        <f t="shared" ref="K30" si="14">ROUND(H30/L30,3)</f>
        <v>1.431</v>
      </c>
      <c r="L30">
        <f>D30*intro!$B$9</f>
        <v>5.4050920000000009E-2</v>
      </c>
      <c r="N30">
        <f>G30*$B$7</f>
        <v>2.6415139420186314E-2</v>
      </c>
      <c r="O30">
        <f t="shared" ref="O30" si="15">H30*$B$7</f>
        <v>7.3585031241947582E-2</v>
      </c>
      <c r="P30">
        <f>L30*$B$7</f>
        <v>5.1415182085719796E-2</v>
      </c>
    </row>
    <row r="31" spans="1:26" x14ac:dyDescent="0.2">
      <c r="A31" t="s">
        <v>109</v>
      </c>
      <c r="C31">
        <f>(1-$B$9)*C27</f>
        <v>0.11200000000000011</v>
      </c>
      <c r="D31">
        <f t="shared" ref="D31:E31" si="16">(1-$B$9)*D27</f>
        <v>0.21800000000000019</v>
      </c>
      <c r="E31">
        <f t="shared" si="16"/>
        <v>0.31200000000000028</v>
      </c>
      <c r="G31">
        <f>C31*(intro!$B$8/1000)</f>
        <v>7.6182400000000079E-5</v>
      </c>
      <c r="H31">
        <f>E31*(intro!$B$8/1000)</f>
        <v>2.1222240000000019E-4</v>
      </c>
      <c r="J31">
        <f>ROUND(G31/L31,3)</f>
        <v>0.51400000000000001</v>
      </c>
      <c r="K31">
        <f>ROUND(H31/L31,3)</f>
        <v>1.431</v>
      </c>
      <c r="L31">
        <f>D31*(intro!$B$8/1000)</f>
        <v>1.4828360000000015E-4</v>
      </c>
      <c r="N31">
        <f>G31*$B$7</f>
        <v>7.2467443065301078E-5</v>
      </c>
      <c r="O31">
        <f>H31*$B$7</f>
        <v>2.0187359139619583E-4</v>
      </c>
      <c r="P31">
        <f>L31*$B$7</f>
        <v>1.4105270168067531E-4</v>
      </c>
    </row>
    <row r="34" spans="1:11" ht="30" customHeight="1" x14ac:dyDescent="0.2">
      <c r="A34" s="62" t="s">
        <v>143</v>
      </c>
      <c r="B34" s="62"/>
      <c r="C34" s="62"/>
      <c r="D34" s="62"/>
      <c r="E34" s="62"/>
      <c r="F34" s="62"/>
      <c r="G34" s="62"/>
      <c r="H34" s="62"/>
      <c r="I34" s="62"/>
      <c r="J34" s="62"/>
      <c r="K34" s="62"/>
    </row>
    <row r="35" spans="1:11" ht="17" x14ac:dyDescent="0.2">
      <c r="A35" s="26"/>
    </row>
    <row r="38" spans="1:11" x14ac:dyDescent="0.2">
      <c r="A38" s="27"/>
    </row>
    <row r="39" spans="1:11" ht="33" customHeight="1" x14ac:dyDescent="0.2"/>
    <row r="40" spans="1:11" ht="30" customHeight="1" x14ac:dyDescent="0.2">
      <c r="A40" s="62" t="s">
        <v>144</v>
      </c>
      <c r="B40" s="62"/>
      <c r="C40" s="62"/>
      <c r="D40" s="62"/>
      <c r="E40" s="62"/>
      <c r="F40" s="62"/>
      <c r="G40" s="62"/>
      <c r="H40" s="62"/>
      <c r="I40" s="62"/>
      <c r="J40" s="62"/>
      <c r="K40" s="62"/>
    </row>
    <row r="42" spans="1:11" ht="17" x14ac:dyDescent="0.2">
      <c r="A42" s="26"/>
    </row>
    <row r="43" spans="1:11" ht="17" x14ac:dyDescent="0.2">
      <c r="A43" s="26" t="s">
        <v>146</v>
      </c>
    </row>
    <row r="44" spans="1:11" ht="17" x14ac:dyDescent="0.2">
      <c r="A44" s="26" t="s">
        <v>163</v>
      </c>
    </row>
    <row r="45" spans="1:11" x14ac:dyDescent="0.2">
      <c r="A45" t="s">
        <v>148</v>
      </c>
      <c r="B45" t="s">
        <v>149</v>
      </c>
    </row>
    <row r="47" spans="1:11" ht="17" x14ac:dyDescent="0.2">
      <c r="A47" s="26" t="s">
        <v>157</v>
      </c>
      <c r="B47" s="27" t="s">
        <v>156</v>
      </c>
    </row>
    <row r="48" spans="1:11" x14ac:dyDescent="0.2">
      <c r="A48" t="s">
        <v>159</v>
      </c>
      <c r="B48">
        <v>0.1</v>
      </c>
    </row>
    <row r="49" spans="1:2" x14ac:dyDescent="0.2">
      <c r="A49" t="s">
        <v>158</v>
      </c>
      <c r="B49">
        <v>0.34</v>
      </c>
    </row>
    <row r="50" spans="1:2" x14ac:dyDescent="0.2">
      <c r="A50" t="s">
        <v>160</v>
      </c>
      <c r="B50">
        <v>0.32</v>
      </c>
    </row>
    <row r="51" spans="1:2" x14ac:dyDescent="0.2">
      <c r="A51" t="s">
        <v>161</v>
      </c>
      <c r="B51">
        <v>0.2</v>
      </c>
    </row>
    <row r="52" spans="1:2" x14ac:dyDescent="0.2">
      <c r="A52" t="s">
        <v>162</v>
      </c>
      <c r="B52">
        <v>0.22</v>
      </c>
    </row>
  </sheetData>
  <mergeCells count="5">
    <mergeCell ref="G16:L16"/>
    <mergeCell ref="N16:P16"/>
    <mergeCell ref="A34:K34"/>
    <mergeCell ref="A40:K40"/>
    <mergeCell ref="A15:K15"/>
  </mergeCells>
  <hyperlinks>
    <hyperlink ref="B47" r:id="rId1" xr:uid="{9BFEDCBC-577C-B147-9E92-DFB2D137DA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7976-2F41-4B45-9E06-DF816EE7FE08}">
  <dimension ref="A1:D9"/>
  <sheetViews>
    <sheetView workbookViewId="0">
      <selection activeCell="D9" sqref="D9"/>
    </sheetView>
  </sheetViews>
  <sheetFormatPr baseColWidth="10" defaultRowHeight="16" x14ac:dyDescent="0.2"/>
  <sheetData>
    <row r="1" spans="1:4" x14ac:dyDescent="0.2">
      <c r="A1" t="s">
        <v>78</v>
      </c>
      <c r="B1">
        <v>128.94499999999999</v>
      </c>
      <c r="C1" t="s">
        <v>67</v>
      </c>
    </row>
    <row r="2" spans="1:4" x14ac:dyDescent="0.2">
      <c r="A2" s="18" t="s">
        <v>79</v>
      </c>
    </row>
    <row r="3" spans="1:4" x14ac:dyDescent="0.2">
      <c r="A3" t="s">
        <v>6</v>
      </c>
      <c r="B3">
        <f>22.96</f>
        <v>22.96</v>
      </c>
    </row>
    <row r="4" spans="1:4" x14ac:dyDescent="0.2">
      <c r="A4" t="s">
        <v>17</v>
      </c>
      <c r="B4">
        <v>41430.140298359234</v>
      </c>
    </row>
    <row r="6" spans="1:4" x14ac:dyDescent="0.2">
      <c r="A6" t="s">
        <v>80</v>
      </c>
      <c r="B6">
        <f>B1*B4</f>
        <v>5342209.4407719309</v>
      </c>
    </row>
    <row r="7" spans="1:4" x14ac:dyDescent="0.2">
      <c r="A7" t="s">
        <v>81</v>
      </c>
      <c r="B7">
        <f>B6/1000000000</f>
        <v>5.3422094407719308E-3</v>
      </c>
    </row>
    <row r="8" spans="1:4" x14ac:dyDescent="0.2">
      <c r="A8" t="s">
        <v>82</v>
      </c>
      <c r="B8">
        <f>B7*B3</f>
        <v>0.12265712876012354</v>
      </c>
      <c r="D8">
        <f>B9/B1</f>
        <v>0.95123602125032802</v>
      </c>
    </row>
    <row r="9" spans="1:4" x14ac:dyDescent="0.2">
      <c r="A9" t="s">
        <v>83</v>
      </c>
      <c r="B9">
        <f>B8*1000</f>
        <v>122.65712876012354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CDCF-BF68-B44A-A3EA-06F3A7228FFF}">
  <dimension ref="A1:M62"/>
  <sheetViews>
    <sheetView zoomScale="109" workbookViewId="0">
      <selection activeCell="J7" sqref="J7"/>
    </sheetView>
  </sheetViews>
  <sheetFormatPr baseColWidth="10" defaultRowHeight="16" x14ac:dyDescent="0.2"/>
  <cols>
    <col min="1" max="1" width="34.5" customWidth="1"/>
    <col min="2" max="2" width="11.1640625" bestFit="1" customWidth="1"/>
    <col min="3" max="3" width="17" customWidth="1"/>
    <col min="4" max="4" width="19.5" customWidth="1"/>
    <col min="5" max="6" width="18.1640625" customWidth="1"/>
    <col min="7" max="7" width="8.83203125" customWidth="1"/>
  </cols>
  <sheetData>
    <row r="1" spans="1:13" ht="30" customHeight="1" x14ac:dyDescent="0.2">
      <c r="A1" s="62" t="s">
        <v>143</v>
      </c>
      <c r="B1" s="62"/>
      <c r="C1" s="62"/>
      <c r="D1" s="62"/>
      <c r="E1" s="62"/>
      <c r="F1" s="62"/>
      <c r="G1" s="62"/>
      <c r="H1" s="62"/>
      <c r="I1" s="62"/>
      <c r="J1" s="62"/>
      <c r="K1" s="62"/>
      <c r="L1" s="62"/>
      <c r="M1" s="62"/>
    </row>
    <row r="2" spans="1:13" ht="17" x14ac:dyDescent="0.2">
      <c r="A2" s="29" t="s">
        <v>164</v>
      </c>
      <c r="F2">
        <v>15</v>
      </c>
      <c r="G2" t="s">
        <v>71</v>
      </c>
      <c r="H2" t="s">
        <v>479</v>
      </c>
    </row>
    <row r="3" spans="1:13" ht="17" x14ac:dyDescent="0.2">
      <c r="A3" s="30" t="s">
        <v>177</v>
      </c>
      <c r="B3" s="27" t="s">
        <v>174</v>
      </c>
      <c r="F3">
        <f>F2*8.07/1.06</f>
        <v>114.19811320754718</v>
      </c>
      <c r="G3" t="s">
        <v>480</v>
      </c>
      <c r="H3">
        <f>F3*1000000</f>
        <v>114198113.20754719</v>
      </c>
      <c r="I3" t="s">
        <v>481</v>
      </c>
    </row>
    <row r="4" spans="1:13" ht="17" x14ac:dyDescent="0.2">
      <c r="A4" s="26" t="s">
        <v>165</v>
      </c>
      <c r="H4">
        <f>H3/K4</f>
        <v>120.46214473369956</v>
      </c>
      <c r="I4" t="s">
        <v>483</v>
      </c>
      <c r="J4" t="s">
        <v>482</v>
      </c>
      <c r="K4" s="19">
        <v>948000</v>
      </c>
    </row>
    <row r="5" spans="1:13" ht="17" x14ac:dyDescent="0.2">
      <c r="A5" s="26" t="s">
        <v>166</v>
      </c>
    </row>
    <row r="6" spans="1:13" ht="17" x14ac:dyDescent="0.2">
      <c r="A6" s="26" t="s">
        <v>167</v>
      </c>
    </row>
    <row r="7" spans="1:13" ht="17" x14ac:dyDescent="0.2">
      <c r="A7" s="26" t="s">
        <v>168</v>
      </c>
      <c r="G7" t="s">
        <v>474</v>
      </c>
      <c r="H7" t="s">
        <v>475</v>
      </c>
    </row>
    <row r="8" spans="1:13" ht="17" x14ac:dyDescent="0.2">
      <c r="A8" s="26" t="s">
        <v>169</v>
      </c>
    </row>
    <row r="9" spans="1:13" s="18" customFormat="1" x14ac:dyDescent="0.2">
      <c r="A9" s="37" t="s">
        <v>178</v>
      </c>
    </row>
    <row r="10" spans="1:13" ht="17" x14ac:dyDescent="0.2">
      <c r="A10" s="28" t="s">
        <v>179</v>
      </c>
      <c r="B10" s="32">
        <f>1000*1.06/8.07</f>
        <v>131.35068153655513</v>
      </c>
      <c r="C10" s="32" t="s">
        <v>180</v>
      </c>
      <c r="D10" s="33"/>
      <c r="E10" s="33"/>
      <c r="F10" s="33"/>
      <c r="G10" s="68" t="s">
        <v>185</v>
      </c>
      <c r="J10" t="s">
        <v>473</v>
      </c>
    </row>
    <row r="11" spans="1:13" ht="17" x14ac:dyDescent="0.2">
      <c r="A11" s="28" t="s">
        <v>181</v>
      </c>
      <c r="B11" s="33">
        <v>180</v>
      </c>
      <c r="C11" s="33">
        <v>198</v>
      </c>
      <c r="D11" s="33"/>
      <c r="E11" s="33"/>
      <c r="F11" s="33"/>
      <c r="G11" s="68"/>
    </row>
    <row r="12" spans="1:13" ht="17" x14ac:dyDescent="0.2">
      <c r="A12" s="28"/>
      <c r="B12" s="33">
        <f>1-$B10/B11</f>
        <v>0.27027399146358266</v>
      </c>
      <c r="C12" s="33">
        <f>1-$B10/C11</f>
        <v>0.33661271951234784</v>
      </c>
      <c r="D12" s="33"/>
      <c r="E12" s="33"/>
      <c r="F12" s="33"/>
      <c r="G12" s="68"/>
      <c r="J12">
        <v>0.09</v>
      </c>
      <c r="K12" t="s">
        <v>136</v>
      </c>
      <c r="L12">
        <f>1/J12</f>
        <v>11.111111111111111</v>
      </c>
      <c r="M12" t="s">
        <v>476</v>
      </c>
    </row>
    <row r="13" spans="1:13" ht="17" x14ac:dyDescent="0.2">
      <c r="A13" s="28"/>
      <c r="B13" s="32">
        <f>AVERAGE(B12:C12)</f>
        <v>0.30344335548796525</v>
      </c>
      <c r="C13" s="32">
        <f>B12/B13</f>
        <v>0.89069009611021754</v>
      </c>
      <c r="D13" s="32">
        <f>C12/B13</f>
        <v>1.1093099038897825</v>
      </c>
      <c r="E13" s="33"/>
      <c r="F13" s="33"/>
      <c r="G13" s="68"/>
      <c r="J13">
        <f>8.07/0.09</f>
        <v>89.666666666666671</v>
      </c>
      <c r="L13">
        <f>L12*8.07/1.06</f>
        <v>84.591194968553452</v>
      </c>
      <c r="M13" t="s">
        <v>477</v>
      </c>
    </row>
    <row r="14" spans="1:13" ht="17" x14ac:dyDescent="0.2">
      <c r="A14" s="28"/>
      <c r="B14" s="31" t="s">
        <v>182</v>
      </c>
      <c r="C14" s="31" t="s">
        <v>183</v>
      </c>
      <c r="D14" s="31" t="s">
        <v>184</v>
      </c>
      <c r="E14" s="33"/>
      <c r="F14" s="33"/>
      <c r="G14" s="68"/>
      <c r="J14">
        <f>1060/J13</f>
        <v>11.821561338289962</v>
      </c>
      <c r="M14" t="s">
        <v>478</v>
      </c>
    </row>
    <row r="15" spans="1:13" ht="17" x14ac:dyDescent="0.2">
      <c r="A15" s="28"/>
    </row>
    <row r="16" spans="1:13" ht="17" x14ac:dyDescent="0.2">
      <c r="A16" s="26" t="s">
        <v>176</v>
      </c>
    </row>
    <row r="17" spans="1:6" ht="17" x14ac:dyDescent="0.2">
      <c r="A17" s="26" t="s">
        <v>170</v>
      </c>
    </row>
    <row r="18" spans="1:6" ht="17" x14ac:dyDescent="0.2">
      <c r="A18" s="26" t="s">
        <v>175</v>
      </c>
    </row>
    <row r="19" spans="1:6" ht="17" x14ac:dyDescent="0.2">
      <c r="A19" s="26" t="s">
        <v>171</v>
      </c>
    </row>
    <row r="20" spans="1:6" ht="17" x14ac:dyDescent="0.2">
      <c r="A20" s="26" t="s">
        <v>172</v>
      </c>
    </row>
    <row r="21" spans="1:6" ht="17" x14ac:dyDescent="0.2">
      <c r="A21" s="26"/>
    </row>
    <row r="22" spans="1:6" ht="17" x14ac:dyDescent="0.2">
      <c r="A22" s="26" t="s">
        <v>173</v>
      </c>
    </row>
    <row r="23" spans="1:6" x14ac:dyDescent="0.2">
      <c r="A23" s="27" t="s">
        <v>187</v>
      </c>
      <c r="B23" s="27" t="s">
        <v>186</v>
      </c>
    </row>
    <row r="28" spans="1:6" ht="17" x14ac:dyDescent="0.2">
      <c r="E28" s="26"/>
      <c r="F28" s="26"/>
    </row>
    <row r="38" spans="1:11" x14ac:dyDescent="0.2">
      <c r="J38" t="s">
        <v>287</v>
      </c>
    </row>
    <row r="39" spans="1:11" x14ac:dyDescent="0.2">
      <c r="J39" t="s">
        <v>288</v>
      </c>
    </row>
    <row r="41" spans="1:11" ht="21" x14ac:dyDescent="0.2">
      <c r="A41" s="62" t="s">
        <v>314</v>
      </c>
      <c r="B41" s="62"/>
      <c r="C41" s="62"/>
      <c r="D41" s="62"/>
      <c r="E41" s="62"/>
      <c r="F41" s="62"/>
      <c r="G41" s="62"/>
      <c r="H41" s="62"/>
      <c r="I41" s="62"/>
      <c r="J41" s="62"/>
      <c r="K41" s="62"/>
    </row>
    <row r="43" spans="1:11" x14ac:dyDescent="0.2">
      <c r="A43" t="s">
        <v>206</v>
      </c>
    </row>
    <row r="44" spans="1:11" x14ac:dyDescent="0.2">
      <c r="A44" t="s">
        <v>207</v>
      </c>
      <c r="B44" t="s">
        <v>209</v>
      </c>
    </row>
    <row r="45" spans="1:11" x14ac:dyDescent="0.2">
      <c r="A45" t="s">
        <v>208</v>
      </c>
    </row>
    <row r="47" spans="1:11" x14ac:dyDescent="0.2">
      <c r="A47" t="s">
        <v>210</v>
      </c>
      <c r="B47">
        <f>natural_gas_production!B2</f>
        <v>4.780175705778127E-5</v>
      </c>
      <c r="D47" s="37" t="s">
        <v>283</v>
      </c>
      <c r="E47">
        <f>1/8.07</f>
        <v>0.12391573729863692</v>
      </c>
      <c r="G47" s="61" t="s">
        <v>289</v>
      </c>
    </row>
    <row r="48" spans="1:11" x14ac:dyDescent="0.2">
      <c r="A48" t="s">
        <v>215</v>
      </c>
      <c r="B48">
        <f>1000/B47</f>
        <v>20919733.113392282</v>
      </c>
      <c r="D48" t="s">
        <v>214</v>
      </c>
      <c r="E48">
        <f>1.06*E47</f>
        <v>0.13135068153655513</v>
      </c>
      <c r="G48" s="61"/>
    </row>
    <row r="49" spans="1:10" x14ac:dyDescent="0.2">
      <c r="A49" t="s">
        <v>217</v>
      </c>
      <c r="B49">
        <f>5.7/B55</f>
        <v>20.503597122302157</v>
      </c>
      <c r="D49" t="s">
        <v>284</v>
      </c>
      <c r="E49">
        <f>E48*1.1</f>
        <v>0.14448574969021066</v>
      </c>
      <c r="G49" s="61"/>
    </row>
    <row r="50" spans="1:10" x14ac:dyDescent="0.2">
      <c r="A50" t="s">
        <v>218</v>
      </c>
      <c r="B50">
        <f>B49/1000</f>
        <v>2.0503597122302156E-2</v>
      </c>
      <c r="D50" t="s">
        <v>285</v>
      </c>
      <c r="E50">
        <v>6</v>
      </c>
      <c r="G50" s="61"/>
    </row>
    <row r="51" spans="1:10" x14ac:dyDescent="0.2">
      <c r="A51" t="s">
        <v>216</v>
      </c>
      <c r="B51">
        <f>B48*2.2</f>
        <v>46023412.849463023</v>
      </c>
    </row>
    <row r="52" spans="1:10" x14ac:dyDescent="0.2">
      <c r="E52" s="18" t="s">
        <v>291</v>
      </c>
      <c r="F52" s="18"/>
      <c r="G52" s="38" t="s">
        <v>187</v>
      </c>
    </row>
    <row r="53" spans="1:10" ht="17" x14ac:dyDescent="0.2">
      <c r="E53" s="30" t="s">
        <v>292</v>
      </c>
      <c r="F53" s="30"/>
      <c r="G53" s="18" t="s">
        <v>174</v>
      </c>
    </row>
    <row r="54" spans="1:10" x14ac:dyDescent="0.2">
      <c r="D54" s="39"/>
      <c r="E54" s="69" t="s">
        <v>290</v>
      </c>
      <c r="F54" s="69"/>
      <c r="G54" s="69"/>
      <c r="H54" s="70" t="s">
        <v>294</v>
      </c>
      <c r="I54" s="70"/>
      <c r="J54" s="70"/>
    </row>
    <row r="55" spans="1:10" x14ac:dyDescent="0.2">
      <c r="A55" t="s">
        <v>211</v>
      </c>
      <c r="B55">
        <v>0.27800000000000002</v>
      </c>
      <c r="D55" s="39"/>
      <c r="E55" s="40" t="s">
        <v>293</v>
      </c>
      <c r="F55" s="40" t="s">
        <v>292</v>
      </c>
      <c r="G55" s="39" t="s">
        <v>295</v>
      </c>
      <c r="H55" s="40" t="s">
        <v>293</v>
      </c>
      <c r="I55" s="40" t="s">
        <v>292</v>
      </c>
      <c r="J55" s="40" t="s">
        <v>295</v>
      </c>
    </row>
    <row r="56" spans="1:10" x14ac:dyDescent="0.2">
      <c r="A56" t="s">
        <v>212</v>
      </c>
      <c r="B56">
        <f>B48*B55</f>
        <v>5815685.8055230547</v>
      </c>
      <c r="D56" s="39" t="s">
        <v>286</v>
      </c>
      <c r="E56" s="40">
        <v>72.400000000000006</v>
      </c>
      <c r="F56" s="40">
        <f>10/E48</f>
        <v>76.132075471698116</v>
      </c>
      <c r="G56" s="39">
        <f>AVERAGE(E56:F56)</f>
        <v>74.266037735849068</v>
      </c>
      <c r="H56" s="39">
        <v>189.4</v>
      </c>
      <c r="I56" s="39">
        <f>19/E48</f>
        <v>144.65094339622644</v>
      </c>
      <c r="J56" s="39">
        <f>AVERAGE(H56:I56)</f>
        <v>167.02547169811322</v>
      </c>
    </row>
    <row r="57" spans="1:10" x14ac:dyDescent="0.2">
      <c r="A57" t="s">
        <v>213</v>
      </c>
      <c r="B57">
        <f>B56*1000</f>
        <v>5815685805.5230551</v>
      </c>
      <c r="D57" s="39" t="s">
        <v>296</v>
      </c>
      <c r="E57" s="39"/>
      <c r="F57" s="39">
        <f>8/E48</f>
        <v>60.905660377358494</v>
      </c>
      <c r="G57" s="39"/>
      <c r="H57" s="39"/>
      <c r="I57" s="39">
        <f>18/E48</f>
        <v>137.03773584905662</v>
      </c>
      <c r="J57" s="39"/>
    </row>
    <row r="58" spans="1:10" x14ac:dyDescent="0.2">
      <c r="D58" s="39" t="s">
        <v>297</v>
      </c>
      <c r="E58" s="39"/>
      <c r="F58" s="39">
        <f>12/E48</f>
        <v>91.358490566037744</v>
      </c>
      <c r="G58" s="39"/>
      <c r="H58" s="39"/>
      <c r="I58" s="39">
        <f>20/E48</f>
        <v>152.26415094339623</v>
      </c>
      <c r="J58" s="39"/>
    </row>
    <row r="60" spans="1:10" x14ac:dyDescent="0.2">
      <c r="C60" s="41"/>
      <c r="D60" s="42" t="s">
        <v>298</v>
      </c>
      <c r="E60" s="42" t="s">
        <v>299</v>
      </c>
      <c r="F60" s="42" t="s">
        <v>302</v>
      </c>
    </row>
    <row r="61" spans="1:10" ht="68" x14ac:dyDescent="0.2">
      <c r="C61" s="43" t="s">
        <v>301</v>
      </c>
      <c r="D61" s="41">
        <f>ROUND(F57/G56,2)</f>
        <v>0.82</v>
      </c>
      <c r="E61" s="41">
        <f>ROUND(F58/G56,2)</f>
        <v>1.23</v>
      </c>
      <c r="F61" s="41">
        <f>G56</f>
        <v>74.266037735849068</v>
      </c>
    </row>
    <row r="62" spans="1:10" ht="68" x14ac:dyDescent="0.2">
      <c r="C62" s="43" t="s">
        <v>300</v>
      </c>
      <c r="D62" s="41">
        <v>0.95</v>
      </c>
      <c r="E62" s="41">
        <v>1.05</v>
      </c>
      <c r="F62" s="41">
        <v>167.02547200000001</v>
      </c>
    </row>
  </sheetData>
  <mergeCells count="6">
    <mergeCell ref="A1:M1"/>
    <mergeCell ref="G10:G14"/>
    <mergeCell ref="G47:G50"/>
    <mergeCell ref="E54:G54"/>
    <mergeCell ref="H54:J54"/>
    <mergeCell ref="A41:K41"/>
  </mergeCells>
  <hyperlinks>
    <hyperlink ref="A23" r:id="rId1" display="https://publications.jrc.ec.europa.eu/repository/handle/JRC85326" xr:uid="{CEC1EF69-2947-6346-AB1F-B41CC454259D}"/>
    <hyperlink ref="B23" r:id="rId2" xr:uid="{A7180E45-0F34-3F48-8F27-0CE89EE2634A}"/>
    <hyperlink ref="G52" r:id="rId3" display="https://publications.jrc.ec.europa.eu/repository/handle/JRC85326" xr:uid="{AF90A895-C38C-C747-B90C-12FC38D9B5CF}"/>
    <hyperlink ref="B3" r:id="rId4" xr:uid="{AA2C2CB7-EA68-CF43-9B9E-C8DEC61092AE}"/>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4AE3-1258-3A40-8310-3DF8834C6921}">
  <dimension ref="A1:X60"/>
  <sheetViews>
    <sheetView topLeftCell="A16" workbookViewId="0">
      <selection activeCell="F40" sqref="F40"/>
    </sheetView>
  </sheetViews>
  <sheetFormatPr baseColWidth="10" defaultRowHeight="16" x14ac:dyDescent="0.2"/>
  <cols>
    <col min="1" max="1" width="16.1640625" customWidth="1"/>
    <col min="2" max="2" width="10.6640625" customWidth="1"/>
    <col min="14" max="14" width="13" customWidth="1"/>
  </cols>
  <sheetData>
    <row r="1" spans="1:21" ht="67" customHeight="1" x14ac:dyDescent="0.2">
      <c r="A1" s="73" t="s">
        <v>219</v>
      </c>
      <c r="B1" s="73"/>
      <c r="C1" s="73"/>
      <c r="D1" s="73"/>
      <c r="E1" s="73"/>
      <c r="F1" s="73"/>
      <c r="G1" s="73"/>
      <c r="H1" s="73"/>
      <c r="I1" s="73"/>
      <c r="K1" s="71" t="s">
        <v>222</v>
      </c>
      <c r="L1" t="s">
        <v>156</v>
      </c>
      <c r="S1" s="71" t="s">
        <v>230</v>
      </c>
    </row>
    <row r="2" spans="1:21" x14ac:dyDescent="0.2">
      <c r="K2" s="71"/>
      <c r="M2" t="s">
        <v>225</v>
      </c>
      <c r="N2" t="s">
        <v>226</v>
      </c>
      <c r="O2" t="s">
        <v>227</v>
      </c>
      <c r="S2" s="71"/>
    </row>
    <row r="3" spans="1:21" ht="21" x14ac:dyDescent="0.25">
      <c r="A3" s="72" t="s">
        <v>220</v>
      </c>
      <c r="B3" s="72"/>
      <c r="C3" s="72"/>
      <c r="D3" s="72"/>
      <c r="E3" s="72"/>
      <c r="F3" s="72"/>
      <c r="G3" s="72"/>
      <c r="H3" s="72"/>
      <c r="I3" s="72"/>
      <c r="K3" s="71"/>
      <c r="L3" t="s">
        <v>159</v>
      </c>
      <c r="M3">
        <v>0.1</v>
      </c>
      <c r="N3">
        <v>0</v>
      </c>
      <c r="O3">
        <v>0</v>
      </c>
      <c r="S3" s="71"/>
      <c r="T3" t="s">
        <v>159</v>
      </c>
      <c r="U3">
        <v>0.6</v>
      </c>
    </row>
    <row r="4" spans="1:21" x14ac:dyDescent="0.2">
      <c r="A4" t="s">
        <v>221</v>
      </c>
      <c r="B4">
        <v>5.0000000000000001E-3</v>
      </c>
      <c r="C4">
        <v>0.04</v>
      </c>
      <c r="D4">
        <f>(B4+C4)/2</f>
        <v>2.2499999999999999E-2</v>
      </c>
      <c r="E4" s="27" t="s">
        <v>149</v>
      </c>
      <c r="K4" s="71"/>
      <c r="L4" t="s">
        <v>158</v>
      </c>
      <c r="M4">
        <v>0.34</v>
      </c>
      <c r="N4">
        <f>M4/SUM(M$4:M$6)</f>
        <v>0.5</v>
      </c>
      <c r="O4">
        <f>N4/SUM(N$4:N$6)</f>
        <v>0.5</v>
      </c>
      <c r="S4" s="71"/>
      <c r="T4" t="s">
        <v>158</v>
      </c>
      <c r="U4">
        <v>0.75</v>
      </c>
    </row>
    <row r="5" spans="1:21" x14ac:dyDescent="0.2">
      <c r="A5" t="s">
        <v>223</v>
      </c>
      <c r="B5">
        <f t="shared" ref="B5:C5" si="0">1/(1-B4)</f>
        <v>1.0050251256281406</v>
      </c>
      <c r="C5">
        <f t="shared" si="0"/>
        <v>1.0416666666666667</v>
      </c>
      <c r="D5">
        <f>1/(1-D4)</f>
        <v>1.0230179028132993</v>
      </c>
      <c r="I5" t="s">
        <v>237</v>
      </c>
      <c r="K5" s="71"/>
      <c r="L5" t="s">
        <v>160</v>
      </c>
      <c r="M5">
        <v>0.32</v>
      </c>
      <c r="N5">
        <f t="shared" ref="N5:O6" si="1">M5/SUM(M$4:M$6)</f>
        <v>0.47058823529411764</v>
      </c>
      <c r="O5">
        <f>N5/SUM(N$4:N$6)</f>
        <v>0.47058823529411764</v>
      </c>
      <c r="S5" s="71"/>
      <c r="T5" t="s">
        <v>160</v>
      </c>
      <c r="U5">
        <v>0.99</v>
      </c>
    </row>
    <row r="6" spans="1:21" x14ac:dyDescent="0.2">
      <c r="A6" t="s">
        <v>224</v>
      </c>
      <c r="B6" t="s">
        <v>159</v>
      </c>
      <c r="C6">
        <f>ROUND((($B$5-1)*M3+1)/$E6,3)</f>
        <v>0.998</v>
      </c>
      <c r="D6">
        <f>ROUND((($C$5-1)*M3+1)/$E6,3)</f>
        <v>1.002</v>
      </c>
      <c r="E6">
        <f>($D$5-1)*M3+1</f>
        <v>1.0023017902813298</v>
      </c>
      <c r="F6">
        <f>E6*D6</f>
        <v>1.0043063938618926</v>
      </c>
      <c r="K6" s="71"/>
      <c r="L6" t="s">
        <v>161</v>
      </c>
      <c r="M6">
        <v>0.02</v>
      </c>
      <c r="N6">
        <f t="shared" si="1"/>
        <v>2.9411764705882353E-2</v>
      </c>
      <c r="O6">
        <f t="shared" si="1"/>
        <v>2.9411764705882353E-2</v>
      </c>
      <c r="S6" s="71"/>
      <c r="T6" t="s">
        <v>161</v>
      </c>
      <c r="U6">
        <v>0.75</v>
      </c>
    </row>
    <row r="7" spans="1:21" x14ac:dyDescent="0.2">
      <c r="B7" t="s">
        <v>158</v>
      </c>
      <c r="C7">
        <f t="shared" ref="C7:C10" si="2">ROUND((B$5-1)/(D$5-1),3)</f>
        <v>0.218</v>
      </c>
      <c r="D7">
        <f t="shared" ref="D7:D10" si="3">ROUND((C$5-1)/(D$5-1),3)</f>
        <v>1.81</v>
      </c>
      <c r="E7">
        <f>($D$5-1)*M4</f>
        <v>7.8260869565217606E-3</v>
      </c>
      <c r="F7">
        <f t="shared" ref="F7:F10" si="4">E7*D7</f>
        <v>1.4165217391304387E-2</v>
      </c>
      <c r="L7" t="s">
        <v>162</v>
      </c>
      <c r="M7">
        <v>0.22</v>
      </c>
      <c r="N7">
        <v>0</v>
      </c>
      <c r="O7">
        <v>0</v>
      </c>
      <c r="T7" t="s">
        <v>162</v>
      </c>
      <c r="U7">
        <v>0.8</v>
      </c>
    </row>
    <row r="8" spans="1:21" x14ac:dyDescent="0.2">
      <c r="B8" t="s">
        <v>160</v>
      </c>
      <c r="C8">
        <f t="shared" si="2"/>
        <v>0.218</v>
      </c>
      <c r="D8">
        <f t="shared" si="3"/>
        <v>1.81</v>
      </c>
      <c r="E8">
        <f>($D$5-1)*M5</f>
        <v>7.3657289002557746E-3</v>
      </c>
      <c r="F8">
        <f t="shared" si="4"/>
        <v>1.3331969309462953E-2</v>
      </c>
    </row>
    <row r="9" spans="1:21" x14ac:dyDescent="0.2">
      <c r="B9" t="s">
        <v>161</v>
      </c>
      <c r="C9">
        <f t="shared" si="2"/>
        <v>0.218</v>
      </c>
      <c r="D9">
        <f t="shared" si="3"/>
        <v>1.81</v>
      </c>
      <c r="E9">
        <f>($D$5-1)*M6</f>
        <v>4.6035805626598592E-4</v>
      </c>
      <c r="F9">
        <f t="shared" si="4"/>
        <v>8.3324808184143454E-4</v>
      </c>
    </row>
    <row r="10" spans="1:21" x14ac:dyDescent="0.2">
      <c r="B10" t="s">
        <v>162</v>
      </c>
      <c r="C10">
        <f t="shared" si="2"/>
        <v>0.218</v>
      </c>
      <c r="D10">
        <f t="shared" si="3"/>
        <v>1.81</v>
      </c>
      <c r="E10">
        <f>($D$5-1)*M7</f>
        <v>5.0639386189258451E-3</v>
      </c>
      <c r="F10">
        <f t="shared" si="4"/>
        <v>9.1657289002557794E-3</v>
      </c>
      <c r="T10" t="s">
        <v>159</v>
      </c>
      <c r="U10">
        <f>M3*U3</f>
        <v>0.06</v>
      </c>
    </row>
    <row r="11" spans="1:21" x14ac:dyDescent="0.2">
      <c r="T11" t="s">
        <v>158</v>
      </c>
      <c r="U11">
        <f t="shared" ref="U11:U13" si="5">M4*U4</f>
        <v>0.255</v>
      </c>
    </row>
    <row r="12" spans="1:21" x14ac:dyDescent="0.2">
      <c r="T12" t="s">
        <v>160</v>
      </c>
      <c r="U12">
        <f t="shared" si="5"/>
        <v>0.31680000000000003</v>
      </c>
    </row>
    <row r="13" spans="1:21" ht="21" x14ac:dyDescent="0.25">
      <c r="A13" s="72" t="s">
        <v>232</v>
      </c>
      <c r="B13" s="72"/>
      <c r="C13" s="72"/>
      <c r="D13" s="72"/>
      <c r="E13" s="72"/>
      <c r="F13" s="72"/>
      <c r="G13" s="72"/>
      <c r="H13" s="72"/>
      <c r="I13" s="72"/>
      <c r="T13" t="s">
        <v>161</v>
      </c>
      <c r="U13">
        <f t="shared" si="5"/>
        <v>1.4999999999999999E-2</v>
      </c>
    </row>
    <row r="14" spans="1:21" x14ac:dyDescent="0.2">
      <c r="A14" t="s">
        <v>221</v>
      </c>
      <c r="B14">
        <v>0.04</v>
      </c>
      <c r="C14">
        <v>0.1</v>
      </c>
      <c r="D14">
        <f>(B14+C14)/2</f>
        <v>7.0000000000000007E-2</v>
      </c>
      <c r="H14" s="27" t="s">
        <v>149</v>
      </c>
      <c r="T14" t="s">
        <v>162</v>
      </c>
      <c r="U14">
        <f>M7*U7</f>
        <v>0.17600000000000002</v>
      </c>
    </row>
    <row r="15" spans="1:21" x14ac:dyDescent="0.2">
      <c r="A15" t="s">
        <v>223</v>
      </c>
      <c r="B15">
        <f t="shared" ref="B15:C15" si="6">1/(1-B14)</f>
        <v>1.0416666666666667</v>
      </c>
      <c r="C15">
        <f t="shared" si="6"/>
        <v>1.1111111111111112</v>
      </c>
      <c r="D15">
        <f>1/(1-D14)</f>
        <v>1.0752688172043012</v>
      </c>
      <c r="H15" t="s">
        <v>234</v>
      </c>
    </row>
    <row r="16" spans="1:21" x14ac:dyDescent="0.2">
      <c r="A16" t="s">
        <v>224</v>
      </c>
      <c r="B16" t="s">
        <v>159</v>
      </c>
      <c r="C16">
        <f>ROUND((B$15-1)/(D$15-1),3)</f>
        <v>0.55400000000000005</v>
      </c>
      <c r="D16">
        <f>ROUND((C$15-1)/(D$15-1),3)</f>
        <v>1.476</v>
      </c>
      <c r="E16">
        <f>($D$15-1)*N3</f>
        <v>0</v>
      </c>
      <c r="H16" t="s">
        <v>236</v>
      </c>
    </row>
    <row r="17" spans="1:24" x14ac:dyDescent="0.2">
      <c r="B17" t="s">
        <v>158</v>
      </c>
      <c r="C17">
        <f t="shared" ref="C17:C20" si="7">ROUND((B$15-1)/(D$15-1),3)</f>
        <v>0.55400000000000005</v>
      </c>
      <c r="D17">
        <f t="shared" ref="D17:D20" si="8">ROUND((C$15-1)/(D$15-1),3)</f>
        <v>1.476</v>
      </c>
      <c r="E17">
        <f>($D$15-1)*N4</f>
        <v>3.7634408602150615E-2</v>
      </c>
    </row>
    <row r="18" spans="1:24" x14ac:dyDescent="0.2">
      <c r="B18" t="s">
        <v>160</v>
      </c>
      <c r="C18">
        <f t="shared" si="7"/>
        <v>0.55400000000000005</v>
      </c>
      <c r="D18">
        <f t="shared" si="8"/>
        <v>1.476</v>
      </c>
      <c r="E18">
        <f>($D$15-1)*N5</f>
        <v>3.5420619860847637E-2</v>
      </c>
    </row>
    <row r="19" spans="1:24" x14ac:dyDescent="0.2">
      <c r="B19" t="s">
        <v>161</v>
      </c>
      <c r="C19">
        <f t="shared" si="7"/>
        <v>0.55400000000000005</v>
      </c>
      <c r="D19">
        <f t="shared" si="8"/>
        <v>1.476</v>
      </c>
      <c r="E19">
        <f>($D$15-1)*N6</f>
        <v>2.2137887413029773E-3</v>
      </c>
    </row>
    <row r="20" spans="1:24" x14ac:dyDescent="0.2">
      <c r="B20" t="s">
        <v>162</v>
      </c>
      <c r="C20">
        <f t="shared" si="7"/>
        <v>0.55400000000000005</v>
      </c>
      <c r="D20">
        <f t="shared" si="8"/>
        <v>1.476</v>
      </c>
      <c r="E20">
        <f>($D$15-1)*N7</f>
        <v>0</v>
      </c>
    </row>
    <row r="23" spans="1:24" ht="21" x14ac:dyDescent="0.25">
      <c r="A23" s="72" t="s">
        <v>231</v>
      </c>
      <c r="B23" s="72"/>
      <c r="C23" s="72"/>
      <c r="D23" s="72"/>
      <c r="E23" s="72"/>
      <c r="F23" s="72"/>
      <c r="G23" s="72"/>
      <c r="H23" s="72"/>
      <c r="I23" s="72"/>
      <c r="O23" s="23" t="s">
        <v>239</v>
      </c>
      <c r="P23" s="23" t="s">
        <v>240</v>
      </c>
      <c r="Q23" s="23"/>
      <c r="R23" s="23"/>
      <c r="S23" s="23"/>
      <c r="T23" s="23"/>
      <c r="U23" s="23"/>
      <c r="V23" s="23">
        <v>0.89</v>
      </c>
      <c r="W23" s="23">
        <v>1.1100000000000001</v>
      </c>
      <c r="X23">
        <v>0.30344335548796525</v>
      </c>
    </row>
    <row r="24" spans="1:24" x14ac:dyDescent="0.2">
      <c r="A24" t="s">
        <v>221</v>
      </c>
      <c r="B24">
        <v>0.09</v>
      </c>
      <c r="C24">
        <v>0.7</v>
      </c>
      <c r="D24">
        <f>(B24+C24)/2</f>
        <v>0.39499999999999996</v>
      </c>
      <c r="H24" s="27" t="s">
        <v>149</v>
      </c>
      <c r="O24" s="23" t="s">
        <v>239</v>
      </c>
      <c r="P24" s="23" t="s">
        <v>241</v>
      </c>
      <c r="Q24" s="23"/>
      <c r="R24" s="23"/>
      <c r="S24" s="23"/>
      <c r="T24" s="23"/>
      <c r="U24" s="23"/>
      <c r="V24" s="23">
        <v>0.9</v>
      </c>
      <c r="W24" s="23">
        <v>1.1000000000000001</v>
      </c>
      <c r="X24">
        <v>0.315</v>
      </c>
    </row>
    <row r="25" spans="1:24" x14ac:dyDescent="0.2">
      <c r="A25" t="s">
        <v>223</v>
      </c>
      <c r="B25">
        <f t="shared" ref="B25:C25" si="9">1/(1-B24)</f>
        <v>1.0989010989010988</v>
      </c>
      <c r="C25">
        <f t="shared" si="9"/>
        <v>3.333333333333333</v>
      </c>
      <c r="D25">
        <f>1/(1-D24)</f>
        <v>1.6528925619834711</v>
      </c>
      <c r="H25" t="s">
        <v>233</v>
      </c>
      <c r="O25" s="23" t="s">
        <v>239</v>
      </c>
      <c r="P25" s="23" t="s">
        <v>242</v>
      </c>
      <c r="Q25" s="23"/>
      <c r="R25" s="23"/>
      <c r="S25" s="23"/>
      <c r="T25" s="23"/>
      <c r="U25" s="23"/>
      <c r="V25" s="23">
        <v>0.9</v>
      </c>
      <c r="W25" s="23">
        <v>1.1000000000000001</v>
      </c>
      <c r="X25">
        <v>0.315</v>
      </c>
    </row>
    <row r="26" spans="1:24" x14ac:dyDescent="0.2">
      <c r="A26" t="s">
        <v>224</v>
      </c>
      <c r="B26" t="s">
        <v>159</v>
      </c>
      <c r="C26">
        <f>ROUND((B$25-1)/(D$25-1),3)</f>
        <v>0.151</v>
      </c>
      <c r="D26">
        <f>ROUND((C$25-1)/(D$25-1),3)</f>
        <v>3.5739999999999998</v>
      </c>
      <c r="E26">
        <f>($D$25-1)*N3</f>
        <v>0</v>
      </c>
      <c r="H26" t="s">
        <v>235</v>
      </c>
      <c r="O26" s="23" t="s">
        <v>239</v>
      </c>
      <c r="P26" s="23" t="s">
        <v>243</v>
      </c>
      <c r="Q26" s="23"/>
      <c r="R26" s="23"/>
      <c r="S26" s="23"/>
      <c r="T26" s="23"/>
      <c r="U26" s="23"/>
      <c r="V26" s="23">
        <v>0.72799999999999998</v>
      </c>
      <c r="W26" s="23">
        <v>1.272</v>
      </c>
      <c r="X26">
        <v>8.8768668407310722E-3</v>
      </c>
    </row>
    <row r="27" spans="1:24" x14ac:dyDescent="0.2">
      <c r="B27" t="s">
        <v>158</v>
      </c>
      <c r="C27">
        <f t="shared" ref="C27:C30" si="10">ROUND((B$25-1)/(D$25-1),3)</f>
        <v>0.151</v>
      </c>
      <c r="D27">
        <f t="shared" ref="D27:D30" si="11">ROUND((C$25-1)/(D$25-1),3)</f>
        <v>3.5739999999999998</v>
      </c>
      <c r="E27">
        <f t="shared" ref="E27:E30" si="12">($D$25-1)*N4</f>
        <v>0.32644628099173556</v>
      </c>
      <c r="O27" s="23" t="s">
        <v>239</v>
      </c>
      <c r="P27" s="23" t="s">
        <v>244</v>
      </c>
      <c r="Q27" s="23"/>
      <c r="R27" s="23"/>
      <c r="S27" s="23"/>
      <c r="T27" s="23"/>
      <c r="U27" s="23"/>
      <c r="V27" s="23">
        <v>0.75</v>
      </c>
      <c r="W27" s="23">
        <v>1.25</v>
      </c>
      <c r="X27">
        <v>0.08</v>
      </c>
    </row>
    <row r="28" spans="1:24" x14ac:dyDescent="0.2">
      <c r="B28" t="s">
        <v>160</v>
      </c>
      <c r="C28">
        <f t="shared" si="10"/>
        <v>0.151</v>
      </c>
      <c r="D28">
        <f t="shared" si="11"/>
        <v>3.5739999999999998</v>
      </c>
      <c r="E28">
        <f t="shared" si="12"/>
        <v>0.30724355858045699</v>
      </c>
      <c r="O28" s="23" t="s">
        <v>239</v>
      </c>
      <c r="P28" s="23" t="s">
        <v>245</v>
      </c>
      <c r="Q28" s="23"/>
      <c r="R28" s="23"/>
      <c r="S28" s="23"/>
      <c r="T28" s="23"/>
      <c r="U28" s="23"/>
      <c r="V28" s="23">
        <v>0.222</v>
      </c>
      <c r="W28" s="23">
        <v>1.78</v>
      </c>
      <c r="X28">
        <v>2.2499999999999999E-2</v>
      </c>
    </row>
    <row r="29" spans="1:24" x14ac:dyDescent="0.2">
      <c r="B29" t="s">
        <v>161</v>
      </c>
      <c r="C29">
        <f t="shared" si="10"/>
        <v>0.151</v>
      </c>
      <c r="D29">
        <f t="shared" si="11"/>
        <v>3.5739999999999998</v>
      </c>
      <c r="E29">
        <f t="shared" si="12"/>
        <v>1.9202722411278562E-2</v>
      </c>
      <c r="O29" s="23" t="s">
        <v>239</v>
      </c>
      <c r="P29" s="23" t="s">
        <v>246</v>
      </c>
      <c r="Q29" s="23"/>
      <c r="R29" s="23"/>
      <c r="S29" s="23"/>
      <c r="T29" s="23"/>
      <c r="U29" s="23"/>
      <c r="V29" s="23">
        <v>0.56000000000000005</v>
      </c>
      <c r="W29" s="23">
        <v>10</v>
      </c>
      <c r="X29">
        <v>7.0000000000000007E-2</v>
      </c>
    </row>
    <row r="30" spans="1:24" x14ac:dyDescent="0.2">
      <c r="B30" t="s">
        <v>162</v>
      </c>
      <c r="C30">
        <f t="shared" si="10"/>
        <v>0.151</v>
      </c>
      <c r="D30">
        <f t="shared" si="11"/>
        <v>3.5739999999999998</v>
      </c>
      <c r="E30">
        <f t="shared" si="12"/>
        <v>0</v>
      </c>
      <c r="O30" s="23" t="s">
        <v>239</v>
      </c>
      <c r="P30" s="23" t="s">
        <v>247</v>
      </c>
      <c r="Q30" s="23"/>
      <c r="R30" s="23"/>
      <c r="S30" s="23"/>
      <c r="T30" s="23"/>
      <c r="U30" s="23"/>
      <c r="V30" s="23">
        <v>0.53333333333333333</v>
      </c>
      <c r="W30" s="23">
        <v>1.4666666666666668</v>
      </c>
      <c r="X30">
        <v>7.4999999999999997E-2</v>
      </c>
    </row>
    <row r="31" spans="1:24" x14ac:dyDescent="0.2">
      <c r="O31" s="23" t="s">
        <v>239</v>
      </c>
      <c r="P31" s="23" t="s">
        <v>248</v>
      </c>
      <c r="Q31" s="23"/>
      <c r="R31" s="23"/>
      <c r="S31" s="23"/>
      <c r="T31" s="23"/>
      <c r="U31" s="23"/>
      <c r="V31" s="23">
        <v>1</v>
      </c>
      <c r="W31" s="23">
        <v>1</v>
      </c>
      <c r="X31">
        <v>1</v>
      </c>
    </row>
    <row r="32" spans="1:24" x14ac:dyDescent="0.2">
      <c r="O32" s="23" t="s">
        <v>239</v>
      </c>
      <c r="P32" s="23" t="s">
        <v>249</v>
      </c>
      <c r="Q32" s="23"/>
      <c r="R32" s="23"/>
      <c r="S32" s="23"/>
      <c r="T32" s="23"/>
      <c r="U32" s="23"/>
      <c r="V32" s="23">
        <v>1</v>
      </c>
      <c r="W32" s="23">
        <v>1</v>
      </c>
      <c r="X32">
        <v>1</v>
      </c>
    </row>
    <row r="33" spans="1:24" ht="21" x14ac:dyDescent="0.25">
      <c r="A33" s="72" t="s">
        <v>229</v>
      </c>
      <c r="B33" s="72"/>
      <c r="C33" s="72"/>
      <c r="D33" s="72"/>
      <c r="E33" s="72"/>
      <c r="F33" s="72"/>
      <c r="G33" s="72"/>
      <c r="H33" s="72"/>
      <c r="I33" s="72"/>
      <c r="O33" s="23" t="s">
        <v>239</v>
      </c>
      <c r="P33" s="23" t="s">
        <v>250</v>
      </c>
      <c r="Q33" s="23"/>
      <c r="R33" s="23"/>
      <c r="S33" s="23"/>
      <c r="T33" s="23"/>
      <c r="U33" s="23"/>
      <c r="V33" s="23">
        <v>1</v>
      </c>
      <c r="W33" s="23">
        <v>1</v>
      </c>
      <c r="X33">
        <v>1</v>
      </c>
    </row>
    <row r="34" spans="1:24" x14ac:dyDescent="0.2">
      <c r="A34" t="s">
        <v>221</v>
      </c>
      <c r="B34">
        <v>0.04</v>
      </c>
      <c r="C34">
        <v>0.11</v>
      </c>
      <c r="D34">
        <f>(B34+C34)/2</f>
        <v>7.4999999999999997E-2</v>
      </c>
      <c r="E34" s="27" t="s">
        <v>149</v>
      </c>
      <c r="H34" t="s">
        <v>228</v>
      </c>
      <c r="O34" s="23" t="s">
        <v>239</v>
      </c>
      <c r="P34" s="23" t="s">
        <v>251</v>
      </c>
      <c r="Q34" s="23"/>
      <c r="R34" s="23"/>
      <c r="S34" s="23"/>
      <c r="T34" s="23"/>
      <c r="U34" s="23"/>
      <c r="V34" s="23">
        <v>1</v>
      </c>
      <c r="W34" s="23">
        <v>1</v>
      </c>
      <c r="X34">
        <v>1</v>
      </c>
    </row>
    <row r="35" spans="1:24" x14ac:dyDescent="0.2">
      <c r="A35" t="s">
        <v>223</v>
      </c>
      <c r="B35">
        <f t="shared" ref="B35:C35" si="13">1/(1-B34)</f>
        <v>1.0416666666666667</v>
      </c>
      <c r="C35">
        <f t="shared" si="13"/>
        <v>1.1235955056179776</v>
      </c>
      <c r="D35">
        <f>1/(1-D34)</f>
        <v>1.0810810810810809</v>
      </c>
      <c r="H35" s="19" t="s">
        <v>238</v>
      </c>
      <c r="O35" s="23" t="s">
        <v>239</v>
      </c>
      <c r="P35" s="23" t="s">
        <v>252</v>
      </c>
      <c r="Q35" s="23"/>
      <c r="R35" s="23"/>
      <c r="S35" s="23"/>
      <c r="T35" s="23"/>
      <c r="U35" s="23"/>
      <c r="V35" s="23">
        <v>1</v>
      </c>
      <c r="W35" s="23">
        <v>1</v>
      </c>
      <c r="X35">
        <v>1</v>
      </c>
    </row>
    <row r="36" spans="1:24" x14ac:dyDescent="0.2">
      <c r="A36" t="s">
        <v>224</v>
      </c>
      <c r="B36" t="s">
        <v>159</v>
      </c>
      <c r="C36">
        <f>ROUND((B$35-1)/(D$35-1),3)</f>
        <v>0.51400000000000001</v>
      </c>
      <c r="D36">
        <f>ROUND((C$35-1)/(D$35-1),3)</f>
        <v>1.524</v>
      </c>
      <c r="E36">
        <f>($D$35-1)*O3</f>
        <v>0</v>
      </c>
      <c r="O36" s="23" t="s">
        <v>239</v>
      </c>
      <c r="P36" s="23" t="s">
        <v>253</v>
      </c>
      <c r="Q36" s="23"/>
      <c r="R36" s="23"/>
      <c r="S36" s="23"/>
      <c r="T36" s="23"/>
      <c r="U36" s="23"/>
      <c r="V36" s="23">
        <v>1</v>
      </c>
      <c r="W36" s="23">
        <v>1</v>
      </c>
      <c r="X36">
        <v>1</v>
      </c>
    </row>
    <row r="37" spans="1:24" x14ac:dyDescent="0.2">
      <c r="B37" t="s">
        <v>158</v>
      </c>
      <c r="C37">
        <f t="shared" ref="C37:C40" si="14">ROUND((B$35-1)/(D$35-1),3)</f>
        <v>0.51400000000000001</v>
      </c>
      <c r="D37">
        <f t="shared" ref="D37:D40" si="15">ROUND((C$35-1)/(D$35-1),3)</f>
        <v>1.524</v>
      </c>
      <c r="E37">
        <f>($D$35-1)*O4</f>
        <v>4.054054054054046E-2</v>
      </c>
      <c r="G37">
        <f>1/E37</f>
        <v>24.666666666666718</v>
      </c>
      <c r="O37" s="23" t="s">
        <v>239</v>
      </c>
      <c r="P37" s="23" t="s">
        <v>254</v>
      </c>
      <c r="Q37" s="23"/>
      <c r="R37" s="23"/>
      <c r="S37" s="23"/>
      <c r="T37" s="23"/>
      <c r="U37" s="23"/>
      <c r="V37" s="23">
        <v>1</v>
      </c>
      <c r="W37" s="23">
        <v>1</v>
      </c>
    </row>
    <row r="38" spans="1:24" x14ac:dyDescent="0.2">
      <c r="B38" t="s">
        <v>160</v>
      </c>
      <c r="C38">
        <f t="shared" si="14"/>
        <v>0.51400000000000001</v>
      </c>
      <c r="D38">
        <f t="shared" si="15"/>
        <v>1.524</v>
      </c>
      <c r="E38">
        <f>($D$35-1)*O5</f>
        <v>3.8155802861685136E-2</v>
      </c>
      <c r="G38">
        <f t="shared" ref="G38:G39" si="16">1/E38</f>
        <v>26.208333333333389</v>
      </c>
      <c r="O38" s="23" t="s">
        <v>239</v>
      </c>
      <c r="P38" s="23" t="s">
        <v>255</v>
      </c>
      <c r="Q38" s="23"/>
      <c r="R38" s="23"/>
      <c r="S38" s="23"/>
      <c r="T38" s="23"/>
      <c r="U38" s="23"/>
      <c r="V38" s="23"/>
      <c r="W38" s="23"/>
    </row>
    <row r="39" spans="1:24" x14ac:dyDescent="0.2">
      <c r="B39" t="s">
        <v>161</v>
      </c>
      <c r="C39">
        <f t="shared" si="14"/>
        <v>0.51400000000000001</v>
      </c>
      <c r="D39">
        <f t="shared" si="15"/>
        <v>1.524</v>
      </c>
      <c r="E39">
        <f>($D$35-1)*O6</f>
        <v>2.384737678855321E-3</v>
      </c>
      <c r="G39">
        <f t="shared" si="16"/>
        <v>419.33333333333422</v>
      </c>
      <c r="O39" s="23" t="s">
        <v>239</v>
      </c>
      <c r="P39" s="23" t="s">
        <v>256</v>
      </c>
      <c r="Q39" s="23"/>
      <c r="R39" s="23"/>
      <c r="S39" s="23"/>
      <c r="T39" s="23"/>
      <c r="U39" s="23"/>
      <c r="V39" s="23"/>
      <c r="W39" s="23"/>
    </row>
    <row r="40" spans="1:24" x14ac:dyDescent="0.2">
      <c r="B40" t="s">
        <v>162</v>
      </c>
      <c r="C40">
        <f t="shared" si="14"/>
        <v>0.51400000000000001</v>
      </c>
      <c r="D40">
        <f t="shared" si="15"/>
        <v>1.524</v>
      </c>
      <c r="E40">
        <f>($D$35-1)*O7</f>
        <v>0</v>
      </c>
      <c r="O40" s="23" t="s">
        <v>239</v>
      </c>
      <c r="P40" s="23" t="s">
        <v>257</v>
      </c>
      <c r="Q40" s="23"/>
      <c r="R40" s="23"/>
      <c r="S40" s="23"/>
      <c r="T40" s="23"/>
      <c r="U40" s="23"/>
      <c r="V40" s="23">
        <v>1</v>
      </c>
      <c r="W40" s="23">
        <v>1</v>
      </c>
    </row>
    <row r="41" spans="1:24" x14ac:dyDescent="0.2">
      <c r="O41" s="23" t="s">
        <v>239</v>
      </c>
      <c r="P41" s="23" t="s">
        <v>258</v>
      </c>
      <c r="Q41" s="23"/>
      <c r="R41" s="23"/>
      <c r="S41" s="23"/>
      <c r="T41" s="23"/>
      <c r="U41" s="23"/>
      <c r="V41" s="23"/>
      <c r="W41" s="23"/>
    </row>
    <row r="42" spans="1:24" x14ac:dyDescent="0.2">
      <c r="O42" s="23" t="s">
        <v>239</v>
      </c>
      <c r="P42" s="23" t="s">
        <v>259</v>
      </c>
      <c r="Q42" s="23"/>
      <c r="R42" s="23"/>
      <c r="S42" s="23"/>
      <c r="T42" s="23"/>
      <c r="U42" s="23"/>
      <c r="V42" s="23"/>
      <c r="W42" s="23"/>
    </row>
    <row r="43" spans="1:24" x14ac:dyDescent="0.2">
      <c r="O43" s="23" t="s">
        <v>239</v>
      </c>
      <c r="P43" s="23" t="s">
        <v>260</v>
      </c>
      <c r="Q43" s="23"/>
      <c r="R43" s="23"/>
      <c r="S43" s="23"/>
      <c r="T43" s="23"/>
      <c r="U43" s="23"/>
      <c r="V43" s="23"/>
      <c r="W43" s="23"/>
    </row>
    <row r="44" spans="1:24" x14ac:dyDescent="0.2">
      <c r="O44" s="23" t="s">
        <v>239</v>
      </c>
      <c r="P44" s="23" t="s">
        <v>261</v>
      </c>
      <c r="Q44" s="23"/>
      <c r="R44" s="23"/>
      <c r="S44" s="23"/>
      <c r="T44" s="23"/>
      <c r="U44" s="23"/>
      <c r="V44" s="23"/>
      <c r="W44" s="23"/>
    </row>
    <row r="45" spans="1:24" x14ac:dyDescent="0.2">
      <c r="O45" s="23" t="s">
        <v>239</v>
      </c>
      <c r="P45" s="23" t="s">
        <v>262</v>
      </c>
      <c r="Q45" s="23"/>
      <c r="R45" s="23"/>
      <c r="S45" s="23"/>
      <c r="T45" s="23"/>
      <c r="U45" s="23"/>
      <c r="V45" s="23"/>
      <c r="W45" s="23"/>
    </row>
    <row r="46" spans="1:24" x14ac:dyDescent="0.2">
      <c r="O46" s="23" t="s">
        <v>239</v>
      </c>
      <c r="P46" s="23" t="s">
        <v>263</v>
      </c>
      <c r="Q46" s="23"/>
      <c r="R46" s="23"/>
      <c r="S46" s="23"/>
      <c r="T46" s="23"/>
      <c r="U46" s="23"/>
      <c r="V46" s="23"/>
      <c r="W46" s="23"/>
    </row>
    <row r="47" spans="1:24" x14ac:dyDescent="0.2">
      <c r="O47" s="23" t="s">
        <v>239</v>
      </c>
      <c r="P47" s="23" t="s">
        <v>264</v>
      </c>
      <c r="Q47" s="23"/>
      <c r="R47" s="23"/>
      <c r="S47" s="23"/>
      <c r="T47" s="23"/>
      <c r="U47" s="23"/>
      <c r="V47" s="23"/>
      <c r="W47" s="23"/>
      <c r="X47">
        <v>0.1</v>
      </c>
    </row>
    <row r="48" spans="1:24" x14ac:dyDescent="0.2">
      <c r="O48" s="23" t="s">
        <v>239</v>
      </c>
      <c r="P48" s="23" t="s">
        <v>265</v>
      </c>
      <c r="Q48" s="23"/>
      <c r="R48" s="23"/>
      <c r="S48" s="23"/>
      <c r="T48" s="23"/>
      <c r="U48" s="23"/>
      <c r="V48" s="23"/>
      <c r="W48" s="23"/>
      <c r="X48">
        <v>0.34</v>
      </c>
    </row>
    <row r="49" spans="1:24" x14ac:dyDescent="0.2">
      <c r="O49" s="23" t="s">
        <v>239</v>
      </c>
      <c r="P49" s="23" t="s">
        <v>266</v>
      </c>
      <c r="Q49" s="23"/>
      <c r="R49" s="23"/>
      <c r="S49" s="23"/>
      <c r="T49" s="23"/>
      <c r="U49" s="23"/>
      <c r="V49" s="23"/>
      <c r="W49" s="23"/>
      <c r="X49">
        <v>0.32</v>
      </c>
    </row>
    <row r="50" spans="1:24" x14ac:dyDescent="0.2">
      <c r="O50" s="23" t="s">
        <v>239</v>
      </c>
      <c r="P50" s="23" t="s">
        <v>267</v>
      </c>
      <c r="Q50" s="23"/>
      <c r="R50" s="23"/>
      <c r="S50" s="23"/>
      <c r="T50" s="23"/>
      <c r="U50" s="23"/>
      <c r="V50" s="23"/>
      <c r="W50" s="23"/>
      <c r="X50">
        <v>0.02</v>
      </c>
    </row>
    <row r="51" spans="1:24" x14ac:dyDescent="0.2">
      <c r="O51" s="23" t="s">
        <v>239</v>
      </c>
      <c r="P51" s="23" t="s">
        <v>268</v>
      </c>
      <c r="Q51" s="23"/>
      <c r="R51" s="23"/>
      <c r="S51" s="23"/>
      <c r="T51" s="23"/>
      <c r="U51" s="23"/>
      <c r="V51" s="23"/>
      <c r="W51" s="23"/>
      <c r="X51">
        <v>0.22</v>
      </c>
    </row>
    <row r="52" spans="1:24" x14ac:dyDescent="0.2">
      <c r="O52" s="23" t="s">
        <v>239</v>
      </c>
      <c r="P52" s="23" t="s">
        <v>269</v>
      </c>
      <c r="Q52" s="23"/>
      <c r="R52" s="23"/>
      <c r="S52" s="23"/>
      <c r="T52" s="23"/>
      <c r="U52" s="23"/>
      <c r="V52" s="23"/>
      <c r="W52" s="23"/>
      <c r="X52">
        <v>0</v>
      </c>
    </row>
    <row r="53" spans="1:24" x14ac:dyDescent="0.2">
      <c r="O53" s="23" t="s">
        <v>239</v>
      </c>
      <c r="P53" s="23" t="s">
        <v>270</v>
      </c>
      <c r="Q53" s="23"/>
      <c r="R53" s="23"/>
      <c r="S53" s="23"/>
      <c r="T53" s="23"/>
      <c r="U53" s="23"/>
      <c r="V53" s="23"/>
      <c r="W53" s="23"/>
      <c r="X53">
        <v>0.17</v>
      </c>
    </row>
    <row r="54" spans="1:24" ht="31" x14ac:dyDescent="0.2">
      <c r="A54" s="73" t="s">
        <v>281</v>
      </c>
      <c r="B54" s="73"/>
      <c r="C54" s="73"/>
      <c r="D54" s="73"/>
      <c r="E54" s="73"/>
      <c r="F54" s="73"/>
      <c r="G54" s="73"/>
      <c r="H54" s="73"/>
      <c r="I54" s="73"/>
      <c r="O54" s="23" t="s">
        <v>239</v>
      </c>
      <c r="P54" s="23" t="s">
        <v>271</v>
      </c>
      <c r="Q54" s="23"/>
      <c r="R54" s="23"/>
      <c r="S54" s="23"/>
      <c r="T54" s="23"/>
      <c r="U54" s="23"/>
      <c r="V54" s="23"/>
      <c r="W54" s="23"/>
      <c r="X54">
        <v>0.32</v>
      </c>
    </row>
    <row r="55" spans="1:24" x14ac:dyDescent="0.2">
      <c r="O55" s="23" t="s">
        <v>239</v>
      </c>
      <c r="P55" s="23" t="s">
        <v>272</v>
      </c>
      <c r="Q55" s="23"/>
      <c r="R55" s="23"/>
      <c r="S55" s="23"/>
      <c r="T55" s="23"/>
      <c r="U55" s="23"/>
      <c r="V55" s="23"/>
      <c r="W55" s="23"/>
      <c r="X55">
        <v>0.12</v>
      </c>
    </row>
    <row r="56" spans="1:24" ht="21" x14ac:dyDescent="0.25">
      <c r="A56" s="72" t="s">
        <v>282</v>
      </c>
      <c r="B56" s="72"/>
      <c r="C56" s="72"/>
      <c r="D56" s="72"/>
      <c r="E56" s="72"/>
      <c r="F56" s="72"/>
      <c r="G56" s="72"/>
      <c r="H56" s="72"/>
      <c r="I56" s="72"/>
      <c r="O56" s="23" t="s">
        <v>239</v>
      </c>
      <c r="P56" s="23" t="s">
        <v>273</v>
      </c>
      <c r="Q56" s="23"/>
      <c r="R56" s="23"/>
      <c r="S56" s="23"/>
      <c r="T56" s="23"/>
      <c r="U56" s="23"/>
      <c r="V56" s="23"/>
      <c r="W56" s="23"/>
      <c r="X56">
        <v>0</v>
      </c>
    </row>
    <row r="57" spans="1:24" x14ac:dyDescent="0.2">
      <c r="E57" s="27"/>
      <c r="O57" s="23" t="s">
        <v>239</v>
      </c>
      <c r="P57" s="23" t="s">
        <v>274</v>
      </c>
      <c r="Q57" s="23"/>
      <c r="R57" s="23"/>
      <c r="S57" s="23"/>
      <c r="T57" s="23"/>
      <c r="U57" s="23"/>
      <c r="V57" s="23"/>
      <c r="W57" s="23"/>
      <c r="X57">
        <v>0</v>
      </c>
    </row>
    <row r="58" spans="1:24" x14ac:dyDescent="0.2">
      <c r="H58" s="19"/>
      <c r="O58" s="23" t="s">
        <v>239</v>
      </c>
      <c r="P58" s="23" t="s">
        <v>275</v>
      </c>
      <c r="Q58" s="23"/>
      <c r="R58" s="23"/>
      <c r="S58" s="23"/>
      <c r="T58" s="23"/>
      <c r="U58" s="23"/>
      <c r="V58" s="23"/>
      <c r="W58" s="23"/>
      <c r="X58">
        <v>1</v>
      </c>
    </row>
    <row r="59" spans="1:24" x14ac:dyDescent="0.2">
      <c r="O59" s="23" t="s">
        <v>239</v>
      </c>
      <c r="P59" s="23" t="s">
        <v>276</v>
      </c>
      <c r="Q59" s="23"/>
      <c r="R59" s="23"/>
      <c r="S59" s="23"/>
      <c r="T59" s="23"/>
      <c r="U59" s="23"/>
      <c r="V59" s="23"/>
      <c r="W59" s="23"/>
      <c r="X59">
        <v>0</v>
      </c>
    </row>
    <row r="60" spans="1:24" x14ac:dyDescent="0.2">
      <c r="O60" s="23" t="s">
        <v>239</v>
      </c>
      <c r="P60" s="23" t="s">
        <v>277</v>
      </c>
      <c r="Q60" s="23"/>
      <c r="R60" s="23"/>
      <c r="S60" s="23"/>
      <c r="T60" s="23"/>
      <c r="U60" s="23"/>
      <c r="V60" s="23"/>
      <c r="W60" s="23"/>
      <c r="X60">
        <v>0</v>
      </c>
    </row>
  </sheetData>
  <mergeCells count="9">
    <mergeCell ref="S1:S6"/>
    <mergeCell ref="A23:I23"/>
    <mergeCell ref="A54:I54"/>
    <mergeCell ref="A56:I56"/>
    <mergeCell ref="A1:I1"/>
    <mergeCell ref="K1:K6"/>
    <mergeCell ref="A3:I3"/>
    <mergeCell ref="A13:I13"/>
    <mergeCell ref="A33:I33"/>
  </mergeCells>
  <hyperlinks>
    <hyperlink ref="E4" r:id="rId1" xr:uid="{CBF7241D-04F3-D448-A975-6FE9E796A21B}"/>
    <hyperlink ref="H14" r:id="rId2" xr:uid="{A0D96530-342C-1349-BA17-1F0D5520F2CB}"/>
    <hyperlink ref="E34" r:id="rId3" xr:uid="{F5858204-8F43-9A46-8BAC-BC1155CA186B}"/>
    <hyperlink ref="H24" r:id="rId4" xr:uid="{B782A8F5-F8B6-714D-9879-4BFACD35A4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993C-41B2-AD4D-BFE3-95ED6CB5A7FA}">
  <dimension ref="A1:U34"/>
  <sheetViews>
    <sheetView topLeftCell="A2" workbookViewId="0">
      <selection activeCell="B40" sqref="B40"/>
    </sheetView>
  </sheetViews>
  <sheetFormatPr baseColWidth="10" defaultRowHeight="16" x14ac:dyDescent="0.2"/>
  <cols>
    <col min="1" max="1" width="67" customWidth="1"/>
    <col min="2" max="2" width="6.83203125" customWidth="1"/>
    <col min="7" max="12" width="11.6640625" customWidth="1"/>
    <col min="13" max="13" width="1.6640625" customWidth="1"/>
  </cols>
  <sheetData>
    <row r="1" spans="1:21" x14ac:dyDescent="0.2">
      <c r="A1" s="53" t="s">
        <v>190</v>
      </c>
      <c r="B1" t="s">
        <v>188</v>
      </c>
      <c r="C1" s="34">
        <v>36.4</v>
      </c>
      <c r="G1" s="74" t="s">
        <v>194</v>
      </c>
      <c r="H1" s="74"/>
      <c r="I1" s="74"/>
      <c r="J1" s="74"/>
      <c r="K1" s="74"/>
      <c r="L1" s="74"/>
      <c r="N1" s="75" t="s">
        <v>193</v>
      </c>
      <c r="O1" s="75"/>
      <c r="P1" s="75"/>
      <c r="Q1" s="75"/>
      <c r="R1" s="75"/>
      <c r="S1" s="75"/>
      <c r="U1" t="s">
        <v>198</v>
      </c>
    </row>
    <row r="2" spans="1:21" x14ac:dyDescent="0.2">
      <c r="A2" s="53"/>
      <c r="B2" t="s">
        <v>189</v>
      </c>
      <c r="C2" s="34">
        <v>38</v>
      </c>
      <c r="G2" s="35"/>
      <c r="H2" s="35"/>
      <c r="I2" s="35"/>
      <c r="J2" s="35"/>
      <c r="K2" s="35"/>
      <c r="L2" s="35"/>
      <c r="N2" s="36"/>
      <c r="O2" s="36"/>
      <c r="P2" s="36"/>
      <c r="Q2" s="36"/>
      <c r="R2" s="36"/>
      <c r="S2" s="36"/>
    </row>
    <row r="3" spans="1:21" x14ac:dyDescent="0.2">
      <c r="A3" s="53"/>
      <c r="B3" t="s">
        <v>162</v>
      </c>
      <c r="C3">
        <v>3.8300000000000001E-2</v>
      </c>
      <c r="G3" s="35"/>
      <c r="H3" s="35"/>
      <c r="I3" s="35"/>
      <c r="J3" s="35"/>
      <c r="K3" s="35"/>
      <c r="L3" s="35"/>
      <c r="N3" s="36"/>
      <c r="O3" s="36"/>
      <c r="P3" s="36"/>
      <c r="Q3" s="36"/>
      <c r="R3" s="36"/>
      <c r="S3" s="36"/>
    </row>
    <row r="4" spans="1:21" x14ac:dyDescent="0.2">
      <c r="G4" s="35"/>
      <c r="H4" s="35"/>
      <c r="I4" s="35"/>
      <c r="J4" s="35"/>
      <c r="K4" s="35"/>
      <c r="L4" s="35"/>
      <c r="N4" s="36"/>
      <c r="O4" s="36"/>
      <c r="P4" s="36"/>
      <c r="Q4" s="36"/>
      <c r="R4" s="36"/>
      <c r="S4" s="36"/>
    </row>
    <row r="5" spans="1:21" x14ac:dyDescent="0.2">
      <c r="B5" t="s">
        <v>201</v>
      </c>
      <c r="C5" t="s">
        <v>202</v>
      </c>
      <c r="G5" s="35"/>
      <c r="H5" s="35"/>
      <c r="I5" s="35"/>
      <c r="J5" s="35"/>
      <c r="K5" s="35"/>
      <c r="L5" s="35"/>
      <c r="N5" s="36"/>
      <c r="O5" s="36"/>
      <c r="P5" s="36"/>
      <c r="Q5" s="36"/>
      <c r="R5" s="36"/>
      <c r="S5" s="36"/>
    </row>
    <row r="6" spans="1:21" x14ac:dyDescent="0.2">
      <c r="A6" t="s">
        <v>199</v>
      </c>
      <c r="B6">
        <v>6600</v>
      </c>
      <c r="C6">
        <v>6336</v>
      </c>
      <c r="G6" s="35"/>
      <c r="H6" s="35"/>
      <c r="I6" s="35"/>
      <c r="J6" s="35"/>
      <c r="K6" s="35"/>
      <c r="L6" s="35"/>
      <c r="N6" s="36"/>
      <c r="O6" s="36"/>
      <c r="P6" s="36"/>
      <c r="Q6" s="36"/>
      <c r="R6" s="36"/>
      <c r="S6" s="36"/>
    </row>
    <row r="7" spans="1:21" x14ac:dyDescent="0.2">
      <c r="A7" t="s">
        <v>200</v>
      </c>
      <c r="B7">
        <v>0.49869999999999998</v>
      </c>
      <c r="C7">
        <v>0.51890000000000003</v>
      </c>
      <c r="G7" s="35"/>
      <c r="H7" s="35"/>
      <c r="I7" s="35"/>
      <c r="J7" s="35"/>
      <c r="K7" s="35"/>
      <c r="L7" s="35"/>
      <c r="N7" s="36"/>
      <c r="O7" s="36"/>
      <c r="P7" s="36"/>
      <c r="Q7" s="36"/>
      <c r="R7" s="36"/>
      <c r="S7" s="36"/>
    </row>
    <row r="8" spans="1:21" x14ac:dyDescent="0.2">
      <c r="A8" t="s">
        <v>203</v>
      </c>
      <c r="B8">
        <f>B7*B6</f>
        <v>3291.42</v>
      </c>
      <c r="C8">
        <f>C7*C6</f>
        <v>3287.7504000000004</v>
      </c>
      <c r="G8" s="35"/>
      <c r="H8" s="35"/>
      <c r="I8" s="35"/>
      <c r="J8" s="35"/>
      <c r="K8" s="35"/>
      <c r="L8" s="35"/>
      <c r="N8" s="36"/>
      <c r="O8" s="36"/>
      <c r="P8" s="36"/>
      <c r="Q8" s="36"/>
      <c r="R8" s="36"/>
      <c r="S8" s="36"/>
    </row>
    <row r="9" spans="1:21" x14ac:dyDescent="0.2">
      <c r="A9" t="s">
        <v>204</v>
      </c>
      <c r="B9">
        <f>B8/C1</f>
        <v>90.423626373626377</v>
      </c>
      <c r="C9">
        <f>C8/C3</f>
        <v>85842.046997389043</v>
      </c>
      <c r="G9" s="35"/>
      <c r="H9" s="35"/>
      <c r="I9" s="35"/>
      <c r="J9" s="35"/>
      <c r="K9" s="35"/>
      <c r="L9" s="35"/>
      <c r="N9" s="36"/>
      <c r="O9" s="36"/>
      <c r="P9" s="36"/>
      <c r="Q9" s="36"/>
      <c r="R9" s="36"/>
      <c r="S9" s="36"/>
    </row>
    <row r="10" spans="1:21" x14ac:dyDescent="0.2">
      <c r="A10" t="s">
        <v>205</v>
      </c>
      <c r="B10">
        <f>1/B9</f>
        <v>1.1059056577404282E-2</v>
      </c>
      <c r="C10">
        <f>1/C9</f>
        <v>1.1649302818121472E-5</v>
      </c>
      <c r="G10" s="35"/>
      <c r="H10" s="35"/>
      <c r="I10" s="35"/>
      <c r="J10" s="35"/>
      <c r="K10" s="35"/>
      <c r="L10" s="35"/>
      <c r="N10" s="36"/>
      <c r="O10" s="36"/>
      <c r="P10" s="36"/>
      <c r="Q10" s="36"/>
      <c r="R10" s="36"/>
      <c r="S10" s="36"/>
    </row>
    <row r="11" spans="1:21" x14ac:dyDescent="0.2">
      <c r="G11" s="35"/>
      <c r="H11" s="35"/>
      <c r="I11" s="35"/>
      <c r="J11" s="35"/>
      <c r="K11" s="35"/>
      <c r="L11" s="35"/>
      <c r="N11" s="36"/>
      <c r="O11" s="36"/>
      <c r="P11" s="36"/>
      <c r="Q11" s="36"/>
      <c r="R11" s="36"/>
      <c r="S11" s="36"/>
    </row>
    <row r="12" spans="1:21" x14ac:dyDescent="0.2">
      <c r="G12" s="35"/>
      <c r="H12" s="35"/>
      <c r="I12" s="35"/>
      <c r="J12" s="35"/>
      <c r="K12" s="35"/>
      <c r="L12" s="35"/>
      <c r="N12" s="36"/>
      <c r="O12" s="36"/>
      <c r="P12" s="36"/>
      <c r="Q12" s="36"/>
      <c r="R12" s="36"/>
      <c r="S12" s="36"/>
    </row>
    <row r="13" spans="1:21" x14ac:dyDescent="0.2">
      <c r="G13" s="35"/>
      <c r="H13" s="35"/>
      <c r="I13" s="35"/>
      <c r="J13" s="35"/>
      <c r="K13" s="35"/>
      <c r="L13" s="35"/>
      <c r="N13" s="36"/>
      <c r="O13" s="36"/>
      <c r="P13" s="36"/>
      <c r="Q13" s="36"/>
      <c r="R13" s="36"/>
      <c r="S13" s="36"/>
    </row>
    <row r="14" spans="1:21" x14ac:dyDescent="0.2">
      <c r="G14" s="35"/>
      <c r="H14" s="35"/>
      <c r="I14" s="35"/>
      <c r="J14" s="35"/>
      <c r="K14" s="35"/>
      <c r="L14" s="35"/>
      <c r="N14" s="36"/>
      <c r="O14" s="36"/>
      <c r="P14" s="36"/>
      <c r="Q14" s="36"/>
      <c r="R14" s="36"/>
      <c r="S14" s="36"/>
    </row>
    <row r="15" spans="1:21" x14ac:dyDescent="0.2">
      <c r="G15" s="35"/>
      <c r="H15" s="35"/>
      <c r="I15" s="35"/>
      <c r="J15" s="35"/>
      <c r="K15" s="35"/>
      <c r="L15" s="35"/>
      <c r="N15" s="36"/>
      <c r="O15" s="36"/>
      <c r="P15" s="36"/>
      <c r="Q15" s="36"/>
      <c r="R15" s="36"/>
      <c r="S15" s="36"/>
    </row>
    <row r="16" spans="1:21" x14ac:dyDescent="0.2">
      <c r="G16" s="35"/>
      <c r="H16" s="35"/>
      <c r="I16" s="35"/>
      <c r="J16" s="35"/>
      <c r="K16" s="35"/>
      <c r="L16" s="35"/>
      <c r="N16" s="36"/>
      <c r="O16" s="36"/>
      <c r="P16" s="36"/>
      <c r="Q16" s="36"/>
      <c r="R16" s="36"/>
      <c r="S16" s="36"/>
    </row>
    <row r="17" spans="1:19" x14ac:dyDescent="0.2">
      <c r="G17" s="35"/>
      <c r="H17" s="35"/>
      <c r="I17" s="35"/>
      <c r="J17" s="35"/>
      <c r="K17" s="35"/>
      <c r="L17" s="35"/>
      <c r="N17" s="36"/>
      <c r="O17" s="36"/>
      <c r="P17" s="36"/>
      <c r="Q17" s="36"/>
      <c r="R17" s="36"/>
      <c r="S17" s="36"/>
    </row>
    <row r="18" spans="1:19" x14ac:dyDescent="0.2">
      <c r="G18" s="35"/>
      <c r="H18" s="35"/>
      <c r="I18" s="35"/>
      <c r="J18" s="35"/>
      <c r="K18" s="35"/>
      <c r="L18" s="35"/>
      <c r="N18" s="36"/>
      <c r="O18" s="36"/>
      <c r="P18" s="36"/>
      <c r="Q18" s="36"/>
      <c r="R18" s="36"/>
      <c r="S18" s="36"/>
    </row>
    <row r="19" spans="1:19" x14ac:dyDescent="0.2">
      <c r="G19" s="35"/>
      <c r="H19" s="35"/>
      <c r="I19" s="35"/>
      <c r="J19" s="35"/>
      <c r="K19" s="35"/>
      <c r="L19" s="35"/>
      <c r="N19" s="36"/>
      <c r="O19" s="36"/>
      <c r="P19" s="36"/>
      <c r="Q19" s="36"/>
      <c r="R19" s="36"/>
      <c r="S19" s="36"/>
    </row>
    <row r="20" spans="1:19" x14ac:dyDescent="0.2">
      <c r="G20" s="35"/>
      <c r="H20" s="35"/>
      <c r="I20" s="35"/>
      <c r="J20" s="35"/>
      <c r="K20" s="35"/>
      <c r="L20" s="35"/>
      <c r="N20" s="36"/>
      <c r="O20" s="36"/>
      <c r="P20" s="36"/>
      <c r="Q20" s="36"/>
      <c r="R20" s="36"/>
      <c r="S20" s="36"/>
    </row>
    <row r="21" spans="1:19" x14ac:dyDescent="0.2">
      <c r="G21" s="35"/>
      <c r="H21" s="35"/>
      <c r="I21" s="35"/>
      <c r="J21" s="35"/>
      <c r="K21" s="35"/>
      <c r="L21" s="35"/>
      <c r="N21" s="36"/>
      <c r="O21" s="36"/>
      <c r="P21" s="36"/>
      <c r="Q21" s="36"/>
      <c r="R21" s="36"/>
      <c r="S21" s="36"/>
    </row>
    <row r="22" spans="1:19" x14ac:dyDescent="0.2">
      <c r="A22" t="s">
        <v>195</v>
      </c>
      <c r="G22" s="35"/>
      <c r="H22" s="35"/>
      <c r="I22" s="35"/>
      <c r="J22" s="35"/>
      <c r="K22" s="35"/>
      <c r="L22" s="35"/>
      <c r="N22" s="36"/>
      <c r="O22" s="36"/>
      <c r="P22" s="36"/>
      <c r="Q22" s="36"/>
      <c r="R22" s="36"/>
      <c r="S22" s="36"/>
    </row>
    <row r="23" spans="1:19" x14ac:dyDescent="0.2">
      <c r="A23" t="s">
        <v>197</v>
      </c>
      <c r="G23" s="35"/>
      <c r="H23" s="35"/>
      <c r="I23" s="35"/>
      <c r="J23" s="35"/>
      <c r="K23" s="35"/>
      <c r="L23" s="35"/>
      <c r="N23" s="36"/>
      <c r="O23" s="36"/>
      <c r="P23" s="36"/>
      <c r="Q23" s="36"/>
      <c r="R23" s="36"/>
      <c r="S23" s="36"/>
    </row>
    <row r="24" spans="1:19" x14ac:dyDescent="0.2">
      <c r="A24" t="s">
        <v>196</v>
      </c>
      <c r="B24">
        <f>oil_production!F6</f>
        <v>1.099554092</v>
      </c>
      <c r="G24" s="35"/>
      <c r="H24" s="35"/>
      <c r="I24" s="35"/>
      <c r="J24" s="35"/>
      <c r="K24" s="35"/>
      <c r="L24" s="35"/>
      <c r="N24" s="36"/>
      <c r="O24" s="36"/>
      <c r="P24" s="36"/>
      <c r="Q24" s="36"/>
      <c r="R24" s="36"/>
      <c r="S24" s="36"/>
    </row>
    <row r="25" spans="1:19" x14ac:dyDescent="0.2">
      <c r="G25" s="35"/>
      <c r="H25" s="35"/>
      <c r="I25" s="35"/>
      <c r="J25" s="35"/>
      <c r="K25" s="35"/>
      <c r="L25" s="35"/>
      <c r="N25" s="36"/>
      <c r="O25" s="36"/>
      <c r="P25" s="36"/>
      <c r="Q25" s="36"/>
      <c r="R25" s="36"/>
      <c r="S25" s="36"/>
    </row>
    <row r="26" spans="1:19" x14ac:dyDescent="0.2">
      <c r="G26" s="35"/>
      <c r="H26" s="35"/>
      <c r="I26" s="35"/>
      <c r="J26" s="35"/>
      <c r="K26" s="35"/>
      <c r="L26" s="35"/>
      <c r="N26" s="36"/>
      <c r="O26" s="36"/>
      <c r="P26" s="36"/>
      <c r="Q26" s="36"/>
      <c r="R26" s="36"/>
      <c r="S26" s="36"/>
    </row>
    <row r="27" spans="1:19" x14ac:dyDescent="0.2">
      <c r="G27" s="35"/>
      <c r="H27" s="35"/>
      <c r="I27" s="35"/>
      <c r="J27" s="35"/>
      <c r="K27" s="35"/>
      <c r="L27" s="35"/>
      <c r="N27" s="36"/>
      <c r="O27" s="36"/>
      <c r="P27" s="36"/>
      <c r="Q27" s="36"/>
      <c r="R27" s="36"/>
      <c r="S27" s="36"/>
    </row>
    <row r="28" spans="1:19" x14ac:dyDescent="0.2">
      <c r="G28" s="35"/>
      <c r="H28" s="35"/>
      <c r="I28" s="35"/>
      <c r="J28" s="35"/>
      <c r="K28" s="35"/>
      <c r="L28" s="35"/>
      <c r="N28" s="36"/>
      <c r="O28" s="36"/>
      <c r="P28" s="36"/>
      <c r="Q28" s="36"/>
      <c r="R28" s="36"/>
      <c r="S28" s="36"/>
    </row>
    <row r="29" spans="1:19" x14ac:dyDescent="0.2">
      <c r="G29" s="35"/>
      <c r="H29" s="35"/>
      <c r="I29" s="35"/>
      <c r="J29" s="35"/>
      <c r="K29" s="35"/>
      <c r="L29" s="35"/>
      <c r="N29" s="36"/>
      <c r="O29" s="36"/>
      <c r="P29" s="36"/>
      <c r="Q29" s="36"/>
      <c r="R29" s="36"/>
      <c r="S29" s="36"/>
    </row>
    <row r="30" spans="1:19" x14ac:dyDescent="0.2">
      <c r="G30" s="61" t="s">
        <v>192</v>
      </c>
      <c r="H30" s="61"/>
      <c r="I30" s="61"/>
      <c r="J30" s="61"/>
      <c r="K30" s="61"/>
      <c r="L30" s="61"/>
      <c r="N30" s="36"/>
      <c r="O30" s="36"/>
      <c r="P30" s="36"/>
      <c r="Q30" s="36"/>
      <c r="R30" s="36"/>
      <c r="S30" s="36"/>
    </row>
    <row r="31" spans="1:19" x14ac:dyDescent="0.2">
      <c r="N31" s="36"/>
      <c r="O31" s="36"/>
      <c r="P31" s="36"/>
      <c r="Q31" s="36"/>
      <c r="R31" s="36"/>
      <c r="S31" s="36"/>
    </row>
    <row r="32" spans="1:19" x14ac:dyDescent="0.2">
      <c r="N32" s="36"/>
      <c r="O32" s="36"/>
      <c r="P32" s="36"/>
      <c r="Q32" s="36"/>
      <c r="R32" s="36"/>
      <c r="S32" s="36"/>
    </row>
    <row r="33" spans="14:19" x14ac:dyDescent="0.2">
      <c r="N33" s="36"/>
      <c r="O33" s="36"/>
      <c r="P33" s="36"/>
      <c r="Q33" s="36"/>
      <c r="R33" s="36"/>
      <c r="S33" s="36"/>
    </row>
    <row r="34" spans="14:19" x14ac:dyDescent="0.2">
      <c r="N34" s="61" t="s">
        <v>191</v>
      </c>
      <c r="O34" s="61"/>
      <c r="P34" s="61"/>
      <c r="Q34" s="61"/>
      <c r="R34" s="61"/>
      <c r="S34" s="61"/>
    </row>
  </sheetData>
  <mergeCells count="5">
    <mergeCell ref="A1:A3"/>
    <mergeCell ref="G1:L1"/>
    <mergeCell ref="N1:S1"/>
    <mergeCell ref="N34:S34"/>
    <mergeCell ref="G30:L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intro</vt:lpstr>
      <vt:lpstr>oil_production</vt:lpstr>
      <vt:lpstr>oil_price</vt:lpstr>
      <vt:lpstr>natural_gas_production</vt:lpstr>
      <vt:lpstr>coal_production</vt:lpstr>
      <vt:lpstr>coal_price</vt:lpstr>
      <vt:lpstr>hydrogen_production</vt:lpstr>
      <vt:lpstr>fuel_production</vt:lpstr>
      <vt:lpstr>water borne transport effic</vt:lpstr>
      <vt:lpstr>uranium_price</vt:lpstr>
      <vt:lpstr>biomass_price</vt:lpstr>
      <vt:lpstr>natural_gas_price</vt:lpstr>
      <vt:lpstr>prices</vt:lpstr>
      <vt:lpstr>rail_efficiencies</vt:lpstr>
      <vt:lpstr>public_efficiencies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2022-07-22T04:00:38Z</dcterms:created>
  <dcterms:modified xsi:type="dcterms:W3CDTF">2023-04-07T00:23:31Z</dcterms:modified>
</cp:coreProperties>
</file>