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STest\Verifications 2020\Verifications\Modified Cam Clay (V #13)\"/>
    </mc:Choice>
  </mc:AlternateContent>
  <xr:revisionPtr revIDLastSave="0" documentId="8_{C221A802-5E6A-4FB1-80B8-BF9DA5AE4EF8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Sheet2" sheetId="6" r:id="rId1"/>
    <sheet name="Analytical Solution" sheetId="1" r:id="rId2"/>
    <sheet name="Stress Path" sheetId="10" r:id="rId3"/>
    <sheet name="Phase2" sheetId="8" r:id="rId4"/>
    <sheet name="q-epsa" sheetId="4" r:id="rId5"/>
    <sheet name="ev-ea" sheetId="5" r:id="rId6"/>
    <sheet name="v-ea" sheetId="7" r:id="rId7"/>
  </sheets>
  <definedNames>
    <definedName name="G">'Analytical Solution'!$C$10</definedName>
    <definedName name="Gamma">'Analytical Solution'!$C$5</definedName>
    <definedName name="k">'Analytical Solution'!$C$8</definedName>
    <definedName name="l">'Analytical Solution'!$C$9</definedName>
    <definedName name="M">'Analytical Solution'!$C$4</definedName>
    <definedName name="MJ">'Analytical Solution'!$C$14</definedName>
    <definedName name="N">'Analytical Solution'!$C$6</definedName>
    <definedName name="nu">'Analytical Solution'!$C$11</definedName>
    <definedName name="p0">'Analytical Solution'!$C$12</definedName>
    <definedName name="pcs">'Analytical Solution'!$F$18</definedName>
    <definedName name="ph">'Analytical Solution'!$G$10</definedName>
    <definedName name="pinit">'Analytical Solution'!$G$6</definedName>
    <definedName name="py">'Analytical Solution'!$F$14</definedName>
    <definedName name="qcs">'Analytical Solution'!$G$18</definedName>
    <definedName name="qinit">'Analytical Solution'!$G$7</definedName>
    <definedName name="qy">'Analytical Solution'!$G$14</definedName>
    <definedName name="vy">'Analytical Solution'!$H$14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L4" i="6"/>
  <c r="L5" i="6"/>
  <c r="M5" i="6"/>
  <c r="L6" i="6"/>
  <c r="M6" i="6"/>
  <c r="L7" i="6"/>
  <c r="M7" i="6"/>
  <c r="L8" i="6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19" i="6"/>
  <c r="M19" i="6"/>
  <c r="L20" i="6"/>
  <c r="M20" i="6"/>
  <c r="L21" i="6"/>
  <c r="M21" i="6"/>
  <c r="L22" i="6"/>
  <c r="M22" i="6"/>
  <c r="L23" i="6"/>
  <c r="M23" i="6"/>
  <c r="L24" i="6"/>
  <c r="M24" i="6"/>
  <c r="L25" i="6"/>
  <c r="M25" i="6"/>
  <c r="L26" i="6"/>
  <c r="M26" i="6"/>
  <c r="L27" i="6"/>
  <c r="M27" i="6"/>
  <c r="L28" i="6"/>
  <c r="M28" i="6"/>
  <c r="L29" i="6"/>
  <c r="M29" i="6"/>
  <c r="L30" i="6"/>
  <c r="M30" i="6"/>
  <c r="L31" i="6"/>
  <c r="M31" i="6"/>
  <c r="L32" i="6"/>
  <c r="M32" i="6"/>
  <c r="L33" i="6"/>
  <c r="M33" i="6"/>
  <c r="L34" i="6"/>
  <c r="M34" i="6"/>
  <c r="L35" i="6"/>
  <c r="M35" i="6"/>
  <c r="L36" i="6"/>
  <c r="M36" i="6"/>
  <c r="L37" i="6"/>
  <c r="M37" i="6"/>
  <c r="L38" i="6"/>
  <c r="M38" i="6"/>
  <c r="L39" i="6"/>
  <c r="M39" i="6"/>
  <c r="L40" i="6"/>
  <c r="M40" i="6"/>
  <c r="L41" i="6"/>
  <c r="M41" i="6"/>
  <c r="L42" i="6"/>
  <c r="M42" i="6"/>
  <c r="L43" i="6"/>
  <c r="M43" i="6"/>
  <c r="L44" i="6"/>
  <c r="M44" i="6"/>
  <c r="L45" i="6"/>
  <c r="M45" i="6"/>
  <c r="L46" i="6"/>
  <c r="M46" i="6"/>
  <c r="L47" i="6"/>
  <c r="M47" i="6"/>
  <c r="L48" i="6"/>
  <c r="M48" i="6"/>
  <c r="L49" i="6"/>
  <c r="M49" i="6"/>
  <c r="L50" i="6"/>
  <c r="M50" i="6"/>
  <c r="L51" i="6"/>
  <c r="M51" i="6"/>
  <c r="L52" i="6"/>
  <c r="M52" i="6"/>
  <c r="M53" i="6"/>
  <c r="M4" i="6"/>
  <c r="Q25" i="1"/>
  <c r="D25" i="1"/>
  <c r="G10" i="1"/>
  <c r="F18" i="1"/>
  <c r="C14" i="1"/>
  <c r="H25" i="1"/>
  <c r="B53" i="6"/>
  <c r="C53" i="6"/>
  <c r="G8" i="1"/>
  <c r="C5" i="1"/>
  <c r="B25" i="1"/>
  <c r="F14" i="1"/>
  <c r="H14" i="1"/>
  <c r="C25" i="1"/>
  <c r="B4" i="6"/>
  <c r="B5" i="6"/>
  <c r="D60" i="1"/>
  <c r="F4" i="6"/>
  <c r="G4" i="6"/>
  <c r="G18" i="1"/>
  <c r="F25" i="1"/>
  <c r="G25" i="1"/>
  <c r="D29" i="1"/>
  <c r="D26" i="1"/>
  <c r="C5" i="6"/>
  <c r="B6" i="6"/>
  <c r="G14" i="1"/>
  <c r="G22" i="1"/>
  <c r="C4" i="6"/>
  <c r="K26" i="1"/>
  <c r="E60" i="1"/>
  <c r="H60" i="1"/>
  <c r="L25" i="1"/>
  <c r="D30" i="1"/>
  <c r="E30" i="1"/>
  <c r="D27" i="1"/>
  <c r="E26" i="1"/>
  <c r="P26" i="1"/>
  <c r="Q26" i="1"/>
  <c r="E29" i="1"/>
  <c r="C29" i="1"/>
  <c r="B7" i="6"/>
  <c r="C6" i="6"/>
  <c r="F22" i="1"/>
  <c r="D31" i="1"/>
  <c r="B60" i="1"/>
  <c r="F60" i="1"/>
  <c r="G60" i="1"/>
  <c r="C60" i="1"/>
  <c r="R25" i="1"/>
  <c r="L26" i="1"/>
  <c r="H30" i="1"/>
  <c r="C30" i="1"/>
  <c r="F30" i="1"/>
  <c r="G30" i="1"/>
  <c r="H26" i="1"/>
  <c r="F26" i="1"/>
  <c r="B26" i="1"/>
  <c r="C26" i="1"/>
  <c r="H29" i="1"/>
  <c r="I30" i="1"/>
  <c r="F29" i="1"/>
  <c r="B29" i="1"/>
  <c r="E27" i="1"/>
  <c r="D28" i="1"/>
  <c r="C7" i="6"/>
  <c r="B8" i="6"/>
  <c r="B30" i="1"/>
  <c r="D32" i="1"/>
  <c r="E31" i="1"/>
  <c r="H31" i="1"/>
  <c r="J31" i="1"/>
  <c r="R26" i="1"/>
  <c r="H27" i="1"/>
  <c r="P27" i="1"/>
  <c r="Q27" i="1"/>
  <c r="I31" i="1"/>
  <c r="J30" i="1"/>
  <c r="C27" i="1"/>
  <c r="O30" i="1"/>
  <c r="M30" i="1"/>
  <c r="N30" i="1"/>
  <c r="E28" i="1"/>
  <c r="G29" i="1"/>
  <c r="G26" i="1"/>
  <c r="K27" i="1"/>
  <c r="L27" i="1"/>
  <c r="F27" i="1"/>
  <c r="B27" i="1"/>
  <c r="O31" i="1"/>
  <c r="M31" i="1"/>
  <c r="N31" i="1"/>
  <c r="C8" i="6"/>
  <c r="B9" i="6"/>
  <c r="F31" i="1"/>
  <c r="G31" i="1"/>
  <c r="B31" i="1"/>
  <c r="C31" i="1"/>
  <c r="E32" i="1"/>
  <c r="H32" i="1"/>
  <c r="I32" i="1"/>
  <c r="D33" i="1"/>
  <c r="R27" i="1"/>
  <c r="H28" i="1"/>
  <c r="P28" i="1"/>
  <c r="Q28" i="1"/>
  <c r="P29" i="1"/>
  <c r="Q29" i="1"/>
  <c r="J32" i="1"/>
  <c r="K32" i="1"/>
  <c r="K31" i="1"/>
  <c r="P31" i="1"/>
  <c r="P30" i="1"/>
  <c r="C28" i="1"/>
  <c r="B28" i="1"/>
  <c r="G27" i="1"/>
  <c r="K28" i="1"/>
  <c r="L28" i="1"/>
  <c r="B32" i="1"/>
  <c r="F32" i="1"/>
  <c r="G32" i="1"/>
  <c r="C32" i="1"/>
  <c r="F28" i="1"/>
  <c r="C9" i="6"/>
  <c r="B10" i="6"/>
  <c r="M32" i="1"/>
  <c r="O32" i="1"/>
  <c r="N32" i="1"/>
  <c r="E33" i="1"/>
  <c r="H33" i="1"/>
  <c r="D34" i="1"/>
  <c r="P32" i="1"/>
  <c r="Q30" i="1"/>
  <c r="Q31" i="1"/>
  <c r="R28" i="1"/>
  <c r="J33" i="1"/>
  <c r="I33" i="1"/>
  <c r="G28" i="1"/>
  <c r="F33" i="1"/>
  <c r="G33" i="1"/>
  <c r="B33" i="1"/>
  <c r="C33" i="1"/>
  <c r="D35" i="1"/>
  <c r="E34" i="1"/>
  <c r="H34" i="1"/>
  <c r="B11" i="6"/>
  <c r="C10" i="6"/>
  <c r="O33" i="1"/>
  <c r="M33" i="1"/>
  <c r="N33" i="1"/>
  <c r="Q32" i="1"/>
  <c r="K33" i="1"/>
  <c r="K29" i="1"/>
  <c r="L29" i="1"/>
  <c r="K30" i="1"/>
  <c r="J34" i="1"/>
  <c r="P33" i="1"/>
  <c r="Q33" i="1"/>
  <c r="I34" i="1"/>
  <c r="B34" i="1"/>
  <c r="N34" i="1"/>
  <c r="O34" i="1"/>
  <c r="M34" i="1"/>
  <c r="C11" i="6"/>
  <c r="B12" i="6"/>
  <c r="C34" i="1"/>
  <c r="F34" i="1"/>
  <c r="G34" i="1"/>
  <c r="D36" i="1"/>
  <c r="E35" i="1"/>
  <c r="H35" i="1"/>
  <c r="L30" i="1"/>
  <c r="R29" i="1"/>
  <c r="P34" i="1"/>
  <c r="Q34" i="1"/>
  <c r="J35" i="1"/>
  <c r="K34" i="1"/>
  <c r="I35" i="1"/>
  <c r="B35" i="1"/>
  <c r="M35" i="1"/>
  <c r="N35" i="1"/>
  <c r="O35" i="1"/>
  <c r="F35" i="1"/>
  <c r="G35" i="1"/>
  <c r="C35" i="1"/>
  <c r="D37" i="1"/>
  <c r="E36" i="1"/>
  <c r="H36" i="1"/>
  <c r="I36" i="1"/>
  <c r="C12" i="6"/>
  <c r="B13" i="6"/>
  <c r="K35" i="1"/>
  <c r="L31" i="1"/>
  <c r="R30" i="1"/>
  <c r="P35" i="1"/>
  <c r="Q35" i="1"/>
  <c r="J36" i="1"/>
  <c r="K36" i="1"/>
  <c r="B36" i="1"/>
  <c r="N36" i="1"/>
  <c r="M36" i="1"/>
  <c r="O36" i="1"/>
  <c r="C13" i="6"/>
  <c r="B14" i="6"/>
  <c r="C36" i="1"/>
  <c r="F36" i="1"/>
  <c r="G36" i="1"/>
  <c r="E37" i="1"/>
  <c r="H37" i="1"/>
  <c r="D38" i="1"/>
  <c r="P36" i="1"/>
  <c r="Q36" i="1"/>
  <c r="J37" i="1"/>
  <c r="L32" i="1"/>
  <c r="R31" i="1"/>
  <c r="I37" i="1"/>
  <c r="F37" i="1"/>
  <c r="G37" i="1"/>
  <c r="C14" i="6"/>
  <c r="B15" i="6"/>
  <c r="O37" i="1"/>
  <c r="M37" i="1"/>
  <c r="N37" i="1"/>
  <c r="D39" i="1"/>
  <c r="E38" i="1"/>
  <c r="H38" i="1"/>
  <c r="C37" i="1"/>
  <c r="B37" i="1"/>
  <c r="P37" i="1"/>
  <c r="Q37" i="1"/>
  <c r="J38" i="1"/>
  <c r="F38" i="1"/>
  <c r="G38" i="1"/>
  <c r="K37" i="1"/>
  <c r="I38" i="1"/>
  <c r="K38" i="1"/>
  <c r="L33" i="1"/>
  <c r="R32" i="1"/>
  <c r="N38" i="1"/>
  <c r="O38" i="1"/>
  <c r="M38" i="1"/>
  <c r="D40" i="1"/>
  <c r="E39" i="1"/>
  <c r="H39" i="1"/>
  <c r="C15" i="6"/>
  <c r="B16" i="6"/>
  <c r="B38" i="1"/>
  <c r="C38" i="1"/>
  <c r="B39" i="1"/>
  <c r="J39" i="1"/>
  <c r="L34" i="1"/>
  <c r="R33" i="1"/>
  <c r="I39" i="1"/>
  <c r="P38" i="1"/>
  <c r="Q38" i="1"/>
  <c r="E40" i="1"/>
  <c r="H40" i="1"/>
  <c r="I40" i="1"/>
  <c r="D41" i="1"/>
  <c r="C16" i="6"/>
  <c r="B17" i="6"/>
  <c r="O39" i="1"/>
  <c r="M39" i="1"/>
  <c r="N39" i="1"/>
  <c r="F39" i="1"/>
  <c r="G39" i="1"/>
  <c r="C39" i="1"/>
  <c r="K39" i="1"/>
  <c r="J40" i="1"/>
  <c r="K40" i="1"/>
  <c r="L35" i="1"/>
  <c r="R34" i="1"/>
  <c r="P39" i="1"/>
  <c r="Q39" i="1"/>
  <c r="C40" i="1"/>
  <c r="F40" i="1"/>
  <c r="G40" i="1"/>
  <c r="B40" i="1"/>
  <c r="E41" i="1"/>
  <c r="H41" i="1"/>
  <c r="I41" i="1"/>
  <c r="D42" i="1"/>
  <c r="C17" i="6"/>
  <c r="B18" i="6"/>
  <c r="M40" i="1"/>
  <c r="O40" i="1"/>
  <c r="N40" i="1"/>
  <c r="F41" i="1"/>
  <c r="G41" i="1"/>
  <c r="J41" i="1"/>
  <c r="K41" i="1"/>
  <c r="L36" i="1"/>
  <c r="R35" i="1"/>
  <c r="P40" i="1"/>
  <c r="Q40" i="1"/>
  <c r="C41" i="1"/>
  <c r="B41" i="1"/>
  <c r="E42" i="1"/>
  <c r="F42" i="1"/>
  <c r="G42" i="1"/>
  <c r="D43" i="1"/>
  <c r="H42" i="1"/>
  <c r="I42" i="1"/>
  <c r="B19" i="6"/>
  <c r="C18" i="6"/>
  <c r="O41" i="1"/>
  <c r="M41" i="1"/>
  <c r="N41" i="1"/>
  <c r="L37" i="1"/>
  <c r="R36" i="1"/>
  <c r="J42" i="1"/>
  <c r="K42" i="1"/>
  <c r="P41" i="1"/>
  <c r="Q41" i="1"/>
  <c r="C19" i="6"/>
  <c r="B20" i="6"/>
  <c r="E43" i="1"/>
  <c r="H43" i="1"/>
  <c r="I43" i="1"/>
  <c r="D44" i="1"/>
  <c r="M42" i="1"/>
  <c r="N42" i="1"/>
  <c r="O42" i="1"/>
  <c r="P42" i="1"/>
  <c r="C42" i="1"/>
  <c r="B42" i="1"/>
  <c r="Q42" i="1"/>
  <c r="F43" i="1"/>
  <c r="G43" i="1"/>
  <c r="J43" i="1"/>
  <c r="K43" i="1"/>
  <c r="L38" i="1"/>
  <c r="R37" i="1"/>
  <c r="B43" i="1"/>
  <c r="C43" i="1"/>
  <c r="D45" i="1"/>
  <c r="E44" i="1"/>
  <c r="H44" i="1"/>
  <c r="C20" i="6"/>
  <c r="B21" i="6"/>
  <c r="N43" i="1"/>
  <c r="O43" i="1"/>
  <c r="M43" i="1"/>
  <c r="L39" i="1"/>
  <c r="R38" i="1"/>
  <c r="J44" i="1"/>
  <c r="P43" i="1"/>
  <c r="Q43" i="1"/>
  <c r="I44" i="1"/>
  <c r="B44" i="1"/>
  <c r="C44" i="1"/>
  <c r="C21" i="6"/>
  <c r="B22" i="6"/>
  <c r="M44" i="1"/>
  <c r="O44" i="1"/>
  <c r="N44" i="1"/>
  <c r="F44" i="1"/>
  <c r="G44" i="1"/>
  <c r="E45" i="1"/>
  <c r="H45" i="1"/>
  <c r="I45" i="1"/>
  <c r="D46" i="1"/>
  <c r="K44" i="1"/>
  <c r="C45" i="1"/>
  <c r="L40" i="1"/>
  <c r="R39" i="1"/>
  <c r="J45" i="1"/>
  <c r="K45" i="1"/>
  <c r="P44" i="1"/>
  <c r="Q44" i="1"/>
  <c r="B45" i="1"/>
  <c r="N45" i="1"/>
  <c r="O45" i="1"/>
  <c r="M45" i="1"/>
  <c r="D47" i="1"/>
  <c r="E46" i="1"/>
  <c r="H46" i="1"/>
  <c r="B23" i="6"/>
  <c r="C22" i="6"/>
  <c r="F45" i="1"/>
  <c r="G45" i="1"/>
  <c r="J46" i="1"/>
  <c r="L41" i="1"/>
  <c r="R40" i="1"/>
  <c r="I46" i="1"/>
  <c r="P45" i="1"/>
  <c r="Q45" i="1"/>
  <c r="B46" i="1"/>
  <c r="F46" i="1"/>
  <c r="G46" i="1"/>
  <c r="N46" i="1"/>
  <c r="O46" i="1"/>
  <c r="M46" i="1"/>
  <c r="C46" i="1"/>
  <c r="C23" i="6"/>
  <c r="B24" i="6"/>
  <c r="D48" i="1"/>
  <c r="E47" i="1"/>
  <c r="H47" i="1"/>
  <c r="P46" i="1"/>
  <c r="Q46" i="1"/>
  <c r="J47" i="1"/>
  <c r="K46" i="1"/>
  <c r="I47" i="1"/>
  <c r="L42" i="1"/>
  <c r="R41" i="1"/>
  <c r="M47" i="1"/>
  <c r="N47" i="1"/>
  <c r="O47" i="1"/>
  <c r="C47" i="1"/>
  <c r="B47" i="1"/>
  <c r="E48" i="1"/>
  <c r="H48" i="1"/>
  <c r="I48" i="1"/>
  <c r="D49" i="1"/>
  <c r="C24" i="6"/>
  <c r="B25" i="6"/>
  <c r="F47" i="1"/>
  <c r="G47" i="1"/>
  <c r="P47" i="1"/>
  <c r="Q47" i="1"/>
  <c r="K47" i="1"/>
  <c r="L43" i="1"/>
  <c r="R42" i="1"/>
  <c r="J48" i="1"/>
  <c r="K48" i="1"/>
  <c r="B48" i="1"/>
  <c r="N48" i="1"/>
  <c r="M48" i="1"/>
  <c r="O48" i="1"/>
  <c r="F48" i="1"/>
  <c r="G48" i="1"/>
  <c r="C25" i="6"/>
  <c r="B26" i="6"/>
  <c r="E49" i="1"/>
  <c r="H49" i="1"/>
  <c r="I49" i="1"/>
  <c r="D50" i="1"/>
  <c r="C48" i="1"/>
  <c r="P48" i="1"/>
  <c r="Q48" i="1"/>
  <c r="J49" i="1"/>
  <c r="K49" i="1"/>
  <c r="L44" i="1"/>
  <c r="R43" i="1"/>
  <c r="C49" i="1"/>
  <c r="B49" i="1"/>
  <c r="N49" i="1"/>
  <c r="O49" i="1"/>
  <c r="M49" i="1"/>
  <c r="E50" i="1"/>
  <c r="H50" i="1"/>
  <c r="D51" i="1"/>
  <c r="C26" i="6"/>
  <c r="B27" i="6"/>
  <c r="F49" i="1"/>
  <c r="G49" i="1"/>
  <c r="L45" i="1"/>
  <c r="R44" i="1"/>
  <c r="J50" i="1"/>
  <c r="P49" i="1"/>
  <c r="Q49" i="1"/>
  <c r="I50" i="1"/>
  <c r="K50" i="1"/>
  <c r="C50" i="1"/>
  <c r="B28" i="6"/>
  <c r="C27" i="6"/>
  <c r="N50" i="1"/>
  <c r="M50" i="1"/>
  <c r="O50" i="1"/>
  <c r="D52" i="1"/>
  <c r="E51" i="1"/>
  <c r="H51" i="1"/>
  <c r="F50" i="1"/>
  <c r="G50" i="1"/>
  <c r="B50" i="1"/>
  <c r="J51" i="1"/>
  <c r="L46" i="1"/>
  <c r="R45" i="1"/>
  <c r="P50" i="1"/>
  <c r="Q50" i="1"/>
  <c r="I51" i="1"/>
  <c r="B51" i="1"/>
  <c r="F51" i="1"/>
  <c r="G51" i="1"/>
  <c r="C28" i="6"/>
  <c r="B29" i="6"/>
  <c r="M51" i="1"/>
  <c r="N51" i="1"/>
  <c r="O51" i="1"/>
  <c r="E52" i="1"/>
  <c r="H52" i="1"/>
  <c r="I52" i="1"/>
  <c r="D53" i="1"/>
  <c r="C51" i="1"/>
  <c r="J52" i="1"/>
  <c r="K52" i="1"/>
  <c r="L47" i="1"/>
  <c r="R46" i="1"/>
  <c r="K51" i="1"/>
  <c r="P51" i="1"/>
  <c r="Q51" i="1"/>
  <c r="M52" i="1"/>
  <c r="N52" i="1"/>
  <c r="O52" i="1"/>
  <c r="P52" i="1"/>
  <c r="B52" i="1"/>
  <c r="C29" i="6"/>
  <c r="B30" i="6"/>
  <c r="E53" i="1"/>
  <c r="H53" i="1"/>
  <c r="D54" i="1"/>
  <c r="C52" i="1"/>
  <c r="F52" i="1"/>
  <c r="G52" i="1"/>
  <c r="Q52" i="1"/>
  <c r="L48" i="1"/>
  <c r="R47" i="1"/>
  <c r="J53" i="1"/>
  <c r="I53" i="1"/>
  <c r="M53" i="1"/>
  <c r="N53" i="1"/>
  <c r="O53" i="1"/>
  <c r="C30" i="6"/>
  <c r="B31" i="6"/>
  <c r="E54" i="1"/>
  <c r="H54" i="1"/>
  <c r="D55" i="1"/>
  <c r="C54" i="1"/>
  <c r="F53" i="1"/>
  <c r="G53" i="1"/>
  <c r="C53" i="1"/>
  <c r="B53" i="1"/>
  <c r="L49" i="1"/>
  <c r="R48" i="1"/>
  <c r="K53" i="1"/>
  <c r="J54" i="1"/>
  <c r="P53" i="1"/>
  <c r="Q53" i="1"/>
  <c r="I54" i="1"/>
  <c r="F54" i="1"/>
  <c r="G54" i="1"/>
  <c r="B54" i="1"/>
  <c r="E55" i="1"/>
  <c r="H55" i="1"/>
  <c r="I55" i="1"/>
  <c r="D56" i="1"/>
  <c r="N54" i="1"/>
  <c r="M54" i="1"/>
  <c r="O54" i="1"/>
  <c r="C31" i="6"/>
  <c r="B32" i="6"/>
  <c r="P54" i="1"/>
  <c r="Q54" i="1"/>
  <c r="L50" i="1"/>
  <c r="R49" i="1"/>
  <c r="J55" i="1"/>
  <c r="K55" i="1"/>
  <c r="K54" i="1"/>
  <c r="C55" i="1"/>
  <c r="F55" i="1"/>
  <c r="G55" i="1"/>
  <c r="B55" i="1"/>
  <c r="C32" i="6"/>
  <c r="B33" i="6"/>
  <c r="D57" i="1"/>
  <c r="E56" i="1"/>
  <c r="H56" i="1"/>
  <c r="I56" i="1"/>
  <c r="M55" i="1"/>
  <c r="N55" i="1"/>
  <c r="O55" i="1"/>
  <c r="J56" i="1"/>
  <c r="K56" i="1"/>
  <c r="L51" i="1"/>
  <c r="R50" i="1"/>
  <c r="P55" i="1"/>
  <c r="Q55" i="1"/>
  <c r="B56" i="1"/>
  <c r="F56" i="1"/>
  <c r="G56" i="1"/>
  <c r="M56" i="1"/>
  <c r="O56" i="1"/>
  <c r="N56" i="1"/>
  <c r="E57" i="1"/>
  <c r="H57" i="1"/>
  <c r="I57" i="1"/>
  <c r="D58" i="1"/>
  <c r="B34" i="6"/>
  <c r="C33" i="6"/>
  <c r="C56" i="1"/>
  <c r="L52" i="1"/>
  <c r="R51" i="1"/>
  <c r="P56" i="1"/>
  <c r="Q56" i="1"/>
  <c r="J57" i="1"/>
  <c r="K57" i="1"/>
  <c r="M57" i="1"/>
  <c r="N57" i="1"/>
  <c r="O57" i="1"/>
  <c r="B35" i="6"/>
  <c r="C34" i="6"/>
  <c r="D59" i="1"/>
  <c r="E58" i="1"/>
  <c r="H58" i="1"/>
  <c r="I58" i="1"/>
  <c r="C57" i="1"/>
  <c r="B57" i="1"/>
  <c r="F57" i="1"/>
  <c r="G57" i="1"/>
  <c r="L53" i="1"/>
  <c r="R52" i="1"/>
  <c r="J58" i="1"/>
  <c r="K58" i="1"/>
  <c r="P57" i="1"/>
  <c r="Q57" i="1"/>
  <c r="C35" i="6"/>
  <c r="B36" i="6"/>
  <c r="F58" i="1"/>
  <c r="G58" i="1"/>
  <c r="E59" i="1"/>
  <c r="H59" i="1"/>
  <c r="J59" i="1"/>
  <c r="M58" i="1"/>
  <c r="N58" i="1"/>
  <c r="O58" i="1"/>
  <c r="C58" i="1"/>
  <c r="B58" i="1"/>
  <c r="I59" i="1"/>
  <c r="K59" i="1"/>
  <c r="L54" i="1"/>
  <c r="R53" i="1"/>
  <c r="P58" i="1"/>
  <c r="Q58" i="1"/>
  <c r="F59" i="1"/>
  <c r="G59" i="1"/>
  <c r="B59" i="1"/>
  <c r="M59" i="1"/>
  <c r="N59" i="1"/>
  <c r="O59" i="1"/>
  <c r="B37" i="6"/>
  <c r="C36" i="6"/>
  <c r="C59" i="1"/>
  <c r="L55" i="1"/>
  <c r="R54" i="1"/>
  <c r="P59" i="1"/>
  <c r="Q59" i="1"/>
  <c r="C37" i="6"/>
  <c r="B38" i="6"/>
  <c r="L56" i="1"/>
  <c r="R55" i="1"/>
  <c r="B39" i="6"/>
  <c r="C38" i="6"/>
  <c r="L57" i="1"/>
  <c r="R56" i="1"/>
  <c r="C39" i="6"/>
  <c r="B40" i="6"/>
  <c r="L58" i="1"/>
  <c r="R57" i="1"/>
  <c r="B41" i="6"/>
  <c r="C40" i="6"/>
  <c r="L59" i="1"/>
  <c r="R59" i="1"/>
  <c r="R58" i="1"/>
  <c r="B42" i="6"/>
  <c r="C41" i="6"/>
  <c r="B43" i="6"/>
  <c r="C42" i="6"/>
  <c r="C43" i="6"/>
  <c r="B44" i="6"/>
  <c r="B45" i="6"/>
  <c r="C44" i="6"/>
  <c r="C45" i="6"/>
  <c r="B46" i="6"/>
  <c r="B47" i="6"/>
  <c r="C46" i="6"/>
  <c r="B48" i="6"/>
  <c r="C47" i="6"/>
  <c r="B49" i="6"/>
  <c r="C48" i="6"/>
  <c r="B50" i="6"/>
  <c r="C49" i="6"/>
  <c r="B51" i="6"/>
  <c r="C50" i="6"/>
  <c r="B52" i="6"/>
  <c r="C52" i="6"/>
  <c r="C51" i="6"/>
</calcChain>
</file>

<file path=xl/sharedStrings.xml><?xml version="1.0" encoding="utf-8"?>
<sst xmlns="http://schemas.openxmlformats.org/spreadsheetml/2006/main" count="73" uniqueCount="54">
  <si>
    <t>p</t>
  </si>
  <si>
    <t>q</t>
  </si>
  <si>
    <t>Modified Cam Clay Parameters</t>
  </si>
  <si>
    <t>G</t>
  </si>
  <si>
    <t>M</t>
  </si>
  <si>
    <t>k</t>
  </si>
  <si>
    <t>l</t>
  </si>
  <si>
    <t>n</t>
  </si>
  <si>
    <t>N</t>
  </si>
  <si>
    <t>Initial state</t>
  </si>
  <si>
    <t>kPa</t>
  </si>
  <si>
    <t>Drained Triaxial Test</t>
  </si>
  <si>
    <t>CSL</t>
  </si>
  <si>
    <t>Modelling Parameters</t>
  </si>
  <si>
    <t xml:space="preserve">Intersection of Load Path with Initial Yield Envelope </t>
  </si>
  <si>
    <t>Intersection of Load Path with Critical State Line</t>
  </si>
  <si>
    <t>v</t>
  </si>
  <si>
    <t>Strains at Elastic Limit</t>
  </si>
  <si>
    <t>Vol.</t>
  </si>
  <si>
    <t>Dev.</t>
  </si>
  <si>
    <t>Initial Yield Envelope</t>
  </si>
  <si>
    <t>Loading Path</t>
  </si>
  <si>
    <t>Stage Number</t>
  </si>
  <si>
    <t>Deviatoric Stress [kPa]</t>
  </si>
  <si>
    <t>Calculation of Volumetric Strain</t>
  </si>
  <si>
    <t>first term</t>
  </si>
  <si>
    <t>second term</t>
  </si>
  <si>
    <t>Calculation of Deviatoric Strain</t>
  </si>
  <si>
    <t>third term</t>
  </si>
  <si>
    <t>ɳ</t>
  </si>
  <si>
    <r>
      <rPr>
        <b/>
        <sz val="12"/>
        <rFont val="Calibri"/>
        <family val="2"/>
      </rPr>
      <t>Δε</t>
    </r>
    <r>
      <rPr>
        <b/>
        <i/>
        <vertAlign val="subscript"/>
        <sz val="12"/>
        <rFont val="Garamond"/>
        <family val="1"/>
      </rPr>
      <t>v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</si>
  <si>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v</t>
    </r>
  </si>
  <si>
    <r>
      <rPr>
        <b/>
        <sz val="12"/>
        <rFont val="Calibri"/>
        <family val="2"/>
      </rPr>
      <t>Δε</t>
    </r>
    <r>
      <rPr>
        <b/>
        <i/>
        <vertAlign val="subscript"/>
        <sz val="12"/>
        <rFont val="Garamond"/>
        <family val="1"/>
      </rPr>
      <t>q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</si>
  <si>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q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</si>
  <si>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a</t>
    </r>
  </si>
  <si>
    <r>
      <t>p</t>
    </r>
    <r>
      <rPr>
        <i/>
        <vertAlign val="subscript"/>
        <sz val="12"/>
        <rFont val="Garamond"/>
        <family val="1"/>
      </rPr>
      <t>init</t>
    </r>
  </si>
  <si>
    <r>
      <t>q</t>
    </r>
    <r>
      <rPr>
        <b/>
        <i/>
        <vertAlign val="subscript"/>
        <sz val="12"/>
        <rFont val="Garamond"/>
        <family val="1"/>
      </rPr>
      <t>init</t>
    </r>
  </si>
  <si>
    <r>
      <t>v</t>
    </r>
    <r>
      <rPr>
        <i/>
        <vertAlign val="subscript"/>
        <sz val="12"/>
        <rFont val="Garamond"/>
        <family val="1"/>
      </rPr>
      <t>init</t>
    </r>
  </si>
  <si>
    <r>
      <t>p</t>
    </r>
    <r>
      <rPr>
        <b/>
        <i/>
        <vertAlign val="subscript"/>
        <sz val="12"/>
        <rFont val="Garamond"/>
        <family val="1"/>
      </rPr>
      <t>h</t>
    </r>
  </si>
  <si>
    <r>
      <t>p</t>
    </r>
    <r>
      <rPr>
        <b/>
        <vertAlign val="subscript"/>
        <sz val="12"/>
        <rFont val="Arial"/>
        <family val="2"/>
      </rPr>
      <t>0</t>
    </r>
  </si>
  <si>
    <r>
      <t>p</t>
    </r>
    <r>
      <rPr>
        <i/>
        <vertAlign val="subscript"/>
        <sz val="12"/>
        <rFont val="Garamond"/>
        <family val="1"/>
      </rPr>
      <t>yield</t>
    </r>
  </si>
  <si>
    <r>
      <t>q</t>
    </r>
    <r>
      <rPr>
        <i/>
        <vertAlign val="subscript"/>
        <sz val="12"/>
        <rFont val="Garamond"/>
        <family val="1"/>
      </rPr>
      <t>yield</t>
    </r>
  </si>
  <si>
    <r>
      <t>v</t>
    </r>
    <r>
      <rPr>
        <b/>
        <i/>
        <vertAlign val="subscript"/>
        <sz val="12"/>
        <rFont val="Garamond"/>
        <family val="1"/>
      </rPr>
      <t>yield</t>
    </r>
  </si>
  <si>
    <r>
      <t>M</t>
    </r>
    <r>
      <rPr>
        <b/>
        <vertAlign val="subscript"/>
        <sz val="12"/>
        <rFont val="Arial"/>
        <family val="2"/>
      </rPr>
      <t>J</t>
    </r>
  </si>
  <si>
    <r>
      <t>p</t>
    </r>
    <r>
      <rPr>
        <i/>
        <vertAlign val="subscript"/>
        <sz val="12"/>
        <rFont val="Garamond"/>
        <family val="1"/>
      </rPr>
      <t>CSL</t>
    </r>
  </si>
  <si>
    <r>
      <t>q</t>
    </r>
    <r>
      <rPr>
        <i/>
        <vertAlign val="subscript"/>
        <sz val="12"/>
        <rFont val="Garamond"/>
        <family val="1"/>
      </rPr>
      <t>CSL</t>
    </r>
  </si>
  <si>
    <r>
      <t>s</t>
    </r>
    <r>
      <rPr>
        <b/>
        <i/>
        <vertAlign val="subscript"/>
        <sz val="12"/>
        <rFont val="Garamond"/>
        <family val="1"/>
      </rPr>
      <t>a</t>
    </r>
  </si>
  <si>
    <r>
      <t>s</t>
    </r>
    <r>
      <rPr>
        <b/>
        <i/>
        <vertAlign val="subscript"/>
        <sz val="12"/>
        <rFont val="Garamond"/>
        <family val="1"/>
      </rPr>
      <t>r</t>
    </r>
  </si>
  <si>
    <r>
      <t>p</t>
    </r>
    <r>
      <rPr>
        <b/>
        <i/>
        <vertAlign val="subscript"/>
        <sz val="12"/>
        <rFont val="Garamond"/>
        <family val="1"/>
      </rPr>
      <t>0</t>
    </r>
  </si>
  <si>
    <t>Axial Strain</t>
  </si>
  <si>
    <t xml:space="preserve">Volumetric Strain </t>
  </si>
  <si>
    <t>Phase2-Load Control</t>
  </si>
  <si>
    <t>Phase2-Displacement Control</t>
  </si>
  <si>
    <t>Final Yield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</si>
</sst>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i/>
      <sz val="12"/>
      <name val="Garamond"/>
      <family val="1"/>
    </font>
    <font>
      <b/>
      <i/>
      <vertAlign val="subscript"/>
      <sz val="12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sz val="12"/>
      <name val="Arial"/>
      <family val="2"/>
    </font>
    <font>
      <b/>
      <sz val="12"/>
      <name val="Symbol"/>
      <family val="1"/>
      <charset val="2"/>
    </font>
    <font>
      <i/>
      <vertAlign val="subscript"/>
      <sz val="12"/>
      <name val="Garamond"/>
      <family val="1"/>
    </font>
    <font>
      <b/>
      <vertAlign val="subscript"/>
      <sz val="12"/>
      <name val="Arial"/>
      <family val="2"/>
    </font>
    <font>
      <b/>
      <i/>
      <sz val="12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0" borderId="0" xfId="0" applyFont="1"/>
    <xf numFmtId="0" fontId="7" fillId="0" borderId="0" xfId="1" applyFont="1"/>
    <xf numFmtId="0" fontId="7" fillId="0" borderId="0" xfId="1" applyFont="1"/>
    <xf numFmtId="0" fontId="6" fillId="0" borderId="0" xfId="1"/>
    <xf numFmtId="0" fontId="6" fillId="0" borderId="0" xfId="1"/>
    <xf numFmtId="0" fontId="4" fillId="0" borderId="0" xfId="0" applyFont="1" applyFill="1"/>
    <xf numFmtId="0" fontId="8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2" fillId="0" borderId="0" xfId="0" applyFont="1" applyFill="1" applyProtection="1">
      <protection locked="0"/>
    </xf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0" fontId="12" fillId="0" borderId="0" xfId="0" applyFont="1" applyFill="1" applyBorder="1"/>
    <xf numFmtId="0" fontId="9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2" fillId="0" borderId="1" xfId="0" applyFont="1" applyFill="1" applyBorder="1"/>
    <xf numFmtId="0" fontId="4" fillId="0" borderId="0" xfId="0" applyFont="1" applyFill="1" applyAlignment="1">
      <alignment vertical="center" wrapText="1"/>
    </xf>
    <xf numFmtId="11" fontId="13" fillId="0" borderId="0" xfId="0" applyNumberFormat="1" applyFont="1" applyFill="1"/>
    <xf numFmtId="0" fontId="13" fillId="0" borderId="2" xfId="0" applyFont="1" applyFill="1" applyBorder="1"/>
    <xf numFmtId="0" fontId="13" fillId="0" borderId="3" xfId="0" applyFont="1" applyFill="1" applyBorder="1"/>
    <xf numFmtId="0" fontId="12" fillId="0" borderId="4" xfId="0" applyFont="1" applyFill="1" applyBorder="1"/>
    <xf numFmtId="0" fontId="13" fillId="0" borderId="4" xfId="0" applyFont="1" applyFill="1" applyBorder="1"/>
    <xf numFmtId="0" fontId="5" fillId="0" borderId="0" xfId="0" applyFont="1"/>
    <xf numFmtId="2" fontId="12" fillId="0" borderId="1" xfId="0" applyNumberFormat="1" applyFont="1" applyFill="1" applyBorder="1"/>
    <xf numFmtId="0" fontId="2" fillId="0" borderId="0" xfId="2"/>
    <xf numFmtId="11" fontId="2" fillId="0" borderId="0" xfId="2" applyNumberFormat="1"/>
    <xf numFmtId="0" fontId="2" fillId="0" borderId="0" xfId="2"/>
    <xf numFmtId="11" fontId="2" fillId="0" borderId="0" xfId="2" applyNumberFormat="1"/>
    <xf numFmtId="0" fontId="1" fillId="0" borderId="0" xfId="3"/>
    <xf numFmtId="11" fontId="1" fillId="0" borderId="0" xfId="3" applyNumberFormat="1"/>
    <xf numFmtId="0" fontId="1" fillId="0" borderId="0" xfId="3"/>
    <xf numFmtId="11" fontId="1" fillId="0" borderId="0" xfId="3" applyNumberFormat="1"/>
    <xf numFmtId="0" fontId="1" fillId="0" borderId="0" xfId="3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06226043788644"/>
          <c:y val="7.621962566040881E-2"/>
          <c:w val="0.81681139742625386"/>
          <c:h val="0.73170840633992529"/>
        </c:manualLayout>
      </c:layout>
      <c:scatterChart>
        <c:scatterStyle val="smoothMarker"/>
        <c:varyColors val="0"/>
        <c:ser>
          <c:idx val="2"/>
          <c:order val="0"/>
          <c:tx>
            <c:v>Load Path</c:v>
          </c:tx>
          <c:spPr>
            <a:ln w="38100">
              <a:solidFill>
                <a:srgbClr val="008000"/>
              </a:solidFill>
              <a:prstDash val="sysDash"/>
            </a:ln>
          </c:spPr>
          <c:marker>
            <c:symbol val="none"/>
          </c:marker>
          <c:xVal>
            <c:numRef>
              <c:f>'Analytical Solution'!$D$25:$D$60</c:f>
              <c:numCache>
                <c:formatCode>General</c:formatCode>
                <c:ptCount val="36"/>
                <c:pt idx="0">
                  <c:v>100</c:v>
                </c:pt>
                <c:pt idx="1">
                  <c:v>124.44886187499819</c:v>
                </c:pt>
                <c:pt idx="2">
                  <c:v>148.89772374999637</c:v>
                </c:pt>
                <c:pt idx="3">
                  <c:v>173.34658562499456</c:v>
                </c:pt>
                <c:pt idx="4">
                  <c:v>197.79544749999275</c:v>
                </c:pt>
                <c:pt idx="5">
                  <c:v>196.79129327956286</c:v>
                </c:pt>
                <c:pt idx="6">
                  <c:v>195.78713905913298</c:v>
                </c:pt>
                <c:pt idx="7">
                  <c:v>194.7829848387031</c:v>
                </c:pt>
                <c:pt idx="8">
                  <c:v>193.77883061827322</c:v>
                </c:pt>
                <c:pt idx="9">
                  <c:v>192.77467639784334</c:v>
                </c:pt>
                <c:pt idx="10">
                  <c:v>191.77052217741345</c:v>
                </c:pt>
                <c:pt idx="11">
                  <c:v>190.76636795698357</c:v>
                </c:pt>
                <c:pt idx="12">
                  <c:v>189.76221373655369</c:v>
                </c:pt>
                <c:pt idx="13">
                  <c:v>188.75805951612381</c:v>
                </c:pt>
                <c:pt idx="14">
                  <c:v>187.75390529569393</c:v>
                </c:pt>
                <c:pt idx="15">
                  <c:v>186.74975107526404</c:v>
                </c:pt>
                <c:pt idx="16">
                  <c:v>185.74559685483416</c:v>
                </c:pt>
                <c:pt idx="17">
                  <c:v>184.74144263440428</c:v>
                </c:pt>
                <c:pt idx="18">
                  <c:v>183.7372884139744</c:v>
                </c:pt>
                <c:pt idx="19">
                  <c:v>182.73313419354452</c:v>
                </c:pt>
                <c:pt idx="20">
                  <c:v>181.72897997311463</c:v>
                </c:pt>
                <c:pt idx="21">
                  <c:v>180.72482575268475</c:v>
                </c:pt>
                <c:pt idx="22">
                  <c:v>179.72067153225487</c:v>
                </c:pt>
                <c:pt idx="23">
                  <c:v>178.71651731182499</c:v>
                </c:pt>
                <c:pt idx="24">
                  <c:v>177.7123630913951</c:v>
                </c:pt>
                <c:pt idx="25">
                  <c:v>176.70820887096522</c:v>
                </c:pt>
                <c:pt idx="26">
                  <c:v>175.70405465053534</c:v>
                </c:pt>
                <c:pt idx="27">
                  <c:v>174.69990043010546</c:v>
                </c:pt>
                <c:pt idx="28">
                  <c:v>173.69574620967558</c:v>
                </c:pt>
                <c:pt idx="29">
                  <c:v>172.69159198924569</c:v>
                </c:pt>
                <c:pt idx="30">
                  <c:v>171.68743776881581</c:v>
                </c:pt>
                <c:pt idx="31">
                  <c:v>170.68328354838593</c:v>
                </c:pt>
                <c:pt idx="32">
                  <c:v>169.67912932795605</c:v>
                </c:pt>
                <c:pt idx="33">
                  <c:v>168.67497510752617</c:v>
                </c:pt>
                <c:pt idx="34">
                  <c:v>167.67082088709628</c:v>
                </c:pt>
                <c:pt idx="35">
                  <c:v>166.66666666666666</c:v>
                </c:pt>
              </c:numCache>
            </c:numRef>
          </c:xVal>
          <c:yVal>
            <c:numRef>
              <c:f>'Analytical Solution'!$E$25:$E$60</c:f>
              <c:numCache>
                <c:formatCode>0.00</c:formatCode>
                <c:ptCount val="36"/>
                <c:pt idx="0">
                  <c:v>0</c:v>
                </c:pt>
                <c:pt idx="1">
                  <c:v>73.34658562499456</c:v>
                </c:pt>
                <c:pt idx="2">
                  <c:v>146.69317124998912</c:v>
                </c:pt>
                <c:pt idx="3">
                  <c:v>220.03975687498368</c:v>
                </c:pt>
                <c:pt idx="4">
                  <c:v>293.38634249997824</c:v>
                </c:pt>
                <c:pt idx="5">
                  <c:v>290.37387983868859</c:v>
                </c:pt>
                <c:pt idx="6">
                  <c:v>287.36141717739895</c:v>
                </c:pt>
                <c:pt idx="7">
                  <c:v>284.3489545161093</c:v>
                </c:pt>
                <c:pt idx="8">
                  <c:v>281.33649185481966</c:v>
                </c:pt>
                <c:pt idx="9">
                  <c:v>278.32402919353001</c:v>
                </c:pt>
                <c:pt idx="10">
                  <c:v>275.31156653224036</c:v>
                </c:pt>
                <c:pt idx="11">
                  <c:v>272.29910387095072</c:v>
                </c:pt>
                <c:pt idx="12">
                  <c:v>269.28664120966107</c:v>
                </c:pt>
                <c:pt idx="13">
                  <c:v>266.27417854837142</c:v>
                </c:pt>
                <c:pt idx="14">
                  <c:v>263.26171588708178</c:v>
                </c:pt>
                <c:pt idx="15">
                  <c:v>260.24925322579213</c:v>
                </c:pt>
                <c:pt idx="16">
                  <c:v>257.23679056450248</c:v>
                </c:pt>
                <c:pt idx="17">
                  <c:v>254.22432790321284</c:v>
                </c:pt>
                <c:pt idx="18">
                  <c:v>251.21186524192319</c:v>
                </c:pt>
                <c:pt idx="19">
                  <c:v>248.19940258063355</c:v>
                </c:pt>
                <c:pt idx="20">
                  <c:v>245.1869399193439</c:v>
                </c:pt>
                <c:pt idx="21">
                  <c:v>242.17447725805425</c:v>
                </c:pt>
                <c:pt idx="22">
                  <c:v>239.16201459676461</c:v>
                </c:pt>
                <c:pt idx="23">
                  <c:v>236.14955193547496</c:v>
                </c:pt>
                <c:pt idx="24">
                  <c:v>233.13708927418531</c:v>
                </c:pt>
                <c:pt idx="25">
                  <c:v>230.12462661289567</c:v>
                </c:pt>
                <c:pt idx="26">
                  <c:v>227.11216395160602</c:v>
                </c:pt>
                <c:pt idx="27">
                  <c:v>224.09970129031637</c:v>
                </c:pt>
                <c:pt idx="28">
                  <c:v>221.08723862902673</c:v>
                </c:pt>
                <c:pt idx="29">
                  <c:v>218.07477596773708</c:v>
                </c:pt>
                <c:pt idx="30">
                  <c:v>215.06231330644744</c:v>
                </c:pt>
                <c:pt idx="31">
                  <c:v>212.04985064515779</c:v>
                </c:pt>
                <c:pt idx="32">
                  <c:v>209.03738798386814</c:v>
                </c:pt>
                <c:pt idx="33">
                  <c:v>206.0249253225785</c:v>
                </c:pt>
                <c:pt idx="34">
                  <c:v>203.01246266128885</c:v>
                </c:pt>
                <c:pt idx="35" formatCode="General">
                  <c:v>199.99999999999997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A-4FA6-829C-34925F9A414B}"/>
            </c:ext>
          </c:extLst>
        </c:ser>
        <c:ser>
          <c:idx val="1"/>
          <c:order val="1"/>
          <c:tx>
            <c:v>CSL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 w="31750">
                <a:solidFill>
                  <a:srgbClr val="FF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C6A-4FA6-829C-34925F9A414B}"/>
              </c:ext>
            </c:extLst>
          </c:dPt>
          <c:xVal>
            <c:numRef>
              <c:f>Sheet2!$F$3:$F$4</c:f>
              <c:numCache>
                <c:formatCode>General</c:formatCode>
                <c:ptCount val="2"/>
                <c:pt idx="0">
                  <c:v>0</c:v>
                </c:pt>
                <c:pt idx="1">
                  <c:v>520</c:v>
                </c:pt>
              </c:numCache>
            </c:numRef>
          </c:xVal>
          <c:yVal>
            <c:numRef>
              <c:f>Sheet2!$G$3:$G$4</c:f>
              <c:numCache>
                <c:formatCode>General</c:formatCode>
                <c:ptCount val="2"/>
                <c:pt idx="0">
                  <c:v>0</c:v>
                </c:pt>
                <c:pt idx="1">
                  <c:v>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6A-4FA6-829C-34925F9A414B}"/>
            </c:ext>
          </c:extLst>
        </c:ser>
        <c:ser>
          <c:idx val="0"/>
          <c:order val="2"/>
          <c:tx>
            <c:strRef>
              <c:f>Sheet2!$B$1</c:f>
              <c:strCache>
                <c:ptCount val="1"/>
                <c:pt idx="0">
                  <c:v>Initial Yield Envelope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Sheet2!$B$3:$B$53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Sheet2!$C$3:$C$53</c:f>
              <c:numCache>
                <c:formatCode>General</c:formatCode>
                <c:ptCount val="51"/>
                <c:pt idx="0">
                  <c:v>0</c:v>
                </c:pt>
                <c:pt idx="1">
                  <c:v>84</c:v>
                </c:pt>
                <c:pt idx="2">
                  <c:v>117.57550765359255</c:v>
                </c:pt>
                <c:pt idx="3">
                  <c:v>142.492105044455</c:v>
                </c:pt>
                <c:pt idx="4">
                  <c:v>162.77591959500643</c:v>
                </c:pt>
                <c:pt idx="5">
                  <c:v>180</c:v>
                </c:pt>
                <c:pt idx="6">
                  <c:v>194.97692171126306</c:v>
                </c:pt>
                <c:pt idx="7">
                  <c:v>208.19221887476968</c:v>
                </c:pt>
                <c:pt idx="8">
                  <c:v>219.96363335788033</c:v>
                </c:pt>
                <c:pt idx="9">
                  <c:v>230.51247254758255</c:v>
                </c:pt>
                <c:pt idx="10">
                  <c:v>240</c:v>
                </c:pt>
                <c:pt idx="11">
                  <c:v>248.54778212649578</c:v>
                </c:pt>
                <c:pt idx="12">
                  <c:v>256.24987804875144</c:v>
                </c:pt>
                <c:pt idx="13">
                  <c:v>263.18054639353568</c:v>
                </c:pt>
                <c:pt idx="14">
                  <c:v>269.39933184772377</c:v>
                </c:pt>
                <c:pt idx="15">
                  <c:v>274.95454169735041</c:v>
                </c:pt>
                <c:pt idx="16">
                  <c:v>279.88569095257441</c:v>
                </c:pt>
                <c:pt idx="17">
                  <c:v>284.22526277584831</c:v>
                </c:pt>
                <c:pt idx="18">
                  <c:v>288</c:v>
                </c:pt>
                <c:pt idx="19">
                  <c:v>291.23186638827838</c:v>
                </c:pt>
                <c:pt idx="20">
                  <c:v>293.9387691339814</c:v>
                </c:pt>
                <c:pt idx="21">
                  <c:v>296.13510430207356</c:v>
                </c:pt>
                <c:pt idx="22">
                  <c:v>297.83216750378057</c:v>
                </c:pt>
                <c:pt idx="23">
                  <c:v>299.03845906505069</c:v>
                </c:pt>
                <c:pt idx="24">
                  <c:v>299.75990392312315</c:v>
                </c:pt>
                <c:pt idx="25">
                  <c:v>300</c:v>
                </c:pt>
                <c:pt idx="26">
                  <c:v>299.75990392312309</c:v>
                </c:pt>
                <c:pt idx="27">
                  <c:v>299.03845906505069</c:v>
                </c:pt>
                <c:pt idx="28">
                  <c:v>297.83216750378057</c:v>
                </c:pt>
                <c:pt idx="29">
                  <c:v>296.13510430207356</c:v>
                </c:pt>
                <c:pt idx="30">
                  <c:v>293.9387691339814</c:v>
                </c:pt>
                <c:pt idx="31">
                  <c:v>291.23186638827832</c:v>
                </c:pt>
                <c:pt idx="32">
                  <c:v>288</c:v>
                </c:pt>
                <c:pt idx="33">
                  <c:v>284.22526277584825</c:v>
                </c:pt>
                <c:pt idx="34">
                  <c:v>279.88569095257446</c:v>
                </c:pt>
                <c:pt idx="35">
                  <c:v>274.95454169735041</c:v>
                </c:pt>
                <c:pt idx="36">
                  <c:v>269.39933184772377</c:v>
                </c:pt>
                <c:pt idx="37">
                  <c:v>263.18054639353568</c:v>
                </c:pt>
                <c:pt idx="38">
                  <c:v>256.2498780487515</c:v>
                </c:pt>
                <c:pt idx="39">
                  <c:v>248.5477821264958</c:v>
                </c:pt>
                <c:pt idx="40">
                  <c:v>240</c:v>
                </c:pt>
                <c:pt idx="41">
                  <c:v>230.51247254758255</c:v>
                </c:pt>
                <c:pt idx="42">
                  <c:v>219.96363335788033</c:v>
                </c:pt>
                <c:pt idx="43">
                  <c:v>208.19221887476971</c:v>
                </c:pt>
                <c:pt idx="44">
                  <c:v>194.97692171126312</c:v>
                </c:pt>
                <c:pt idx="45">
                  <c:v>180.00000000000003</c:v>
                </c:pt>
                <c:pt idx="46">
                  <c:v>162.77591959500637</c:v>
                </c:pt>
                <c:pt idx="47">
                  <c:v>142.49210504445497</c:v>
                </c:pt>
                <c:pt idx="48">
                  <c:v>117.57550765359265</c:v>
                </c:pt>
                <c:pt idx="49">
                  <c:v>84.000000000000043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6A-4FA6-829C-34925F9A414B}"/>
            </c:ext>
          </c:extLst>
        </c:ser>
        <c:ser>
          <c:idx val="3"/>
          <c:order val="3"/>
          <c:tx>
            <c:strRef>
              <c:f>Sheet2!$L$1</c:f>
              <c:strCache>
                <c:ptCount val="1"/>
                <c:pt idx="0">
                  <c:v>Final Yield Envelope</c:v>
                </c:pt>
              </c:strCache>
            </c:strRef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Sheet2!$L$3:$L$53</c:f>
              <c:numCache>
                <c:formatCode>General</c:formatCode>
                <c:ptCount val="51"/>
                <c:pt idx="0">
                  <c:v>0</c:v>
                </c:pt>
                <c:pt idx="1">
                  <c:v>6.6666660000000002</c:v>
                </c:pt>
                <c:pt idx="2">
                  <c:v>13.333332</c:v>
                </c:pt>
                <c:pt idx="3">
                  <c:v>19.999998000000001</c:v>
                </c:pt>
                <c:pt idx="4">
                  <c:v>26.666664000000001</c:v>
                </c:pt>
                <c:pt idx="5">
                  <c:v>33.333330000000004</c:v>
                </c:pt>
                <c:pt idx="6">
                  <c:v>39.999996000000003</c:v>
                </c:pt>
                <c:pt idx="7">
                  <c:v>46.666662000000002</c:v>
                </c:pt>
                <c:pt idx="8">
                  <c:v>53.333328000000002</c:v>
                </c:pt>
                <c:pt idx="9">
                  <c:v>59.999994000000001</c:v>
                </c:pt>
                <c:pt idx="10">
                  <c:v>66.666660000000007</c:v>
                </c:pt>
                <c:pt idx="11">
                  <c:v>73.333326000000014</c:v>
                </c:pt>
                <c:pt idx="12">
                  <c:v>79.99999200000002</c:v>
                </c:pt>
                <c:pt idx="13">
                  <c:v>86.666658000000027</c:v>
                </c:pt>
                <c:pt idx="14">
                  <c:v>93.333324000000033</c:v>
                </c:pt>
                <c:pt idx="15">
                  <c:v>99.999990000000039</c:v>
                </c:pt>
                <c:pt idx="16">
                  <c:v>106.66665600000005</c:v>
                </c:pt>
                <c:pt idx="17">
                  <c:v>113.33332200000005</c:v>
                </c:pt>
                <c:pt idx="18">
                  <c:v>119.99998800000006</c:v>
                </c:pt>
                <c:pt idx="19">
                  <c:v>126.66665400000007</c:v>
                </c:pt>
                <c:pt idx="20">
                  <c:v>133.33332000000007</c:v>
                </c:pt>
                <c:pt idx="21">
                  <c:v>139.99998600000006</c:v>
                </c:pt>
                <c:pt idx="22">
                  <c:v>146.66665200000006</c:v>
                </c:pt>
                <c:pt idx="23">
                  <c:v>153.33331800000005</c:v>
                </c:pt>
                <c:pt idx="24">
                  <c:v>159.99998400000004</c:v>
                </c:pt>
                <c:pt idx="25">
                  <c:v>166.66665000000003</c:v>
                </c:pt>
                <c:pt idx="26">
                  <c:v>173.33331600000002</c:v>
                </c:pt>
                <c:pt idx="27">
                  <c:v>179.99998200000002</c:v>
                </c:pt>
                <c:pt idx="28">
                  <c:v>186.66664800000001</c:v>
                </c:pt>
                <c:pt idx="29">
                  <c:v>193.333314</c:v>
                </c:pt>
                <c:pt idx="30">
                  <c:v>199.99997999999999</c:v>
                </c:pt>
                <c:pt idx="31">
                  <c:v>206.66664599999999</c:v>
                </c:pt>
                <c:pt idx="32">
                  <c:v>213.33331199999998</c:v>
                </c:pt>
                <c:pt idx="33">
                  <c:v>219.99997799999997</c:v>
                </c:pt>
                <c:pt idx="34">
                  <c:v>226.66664399999996</c:v>
                </c:pt>
                <c:pt idx="35">
                  <c:v>233.33330999999995</c:v>
                </c:pt>
                <c:pt idx="36">
                  <c:v>239.99997599999995</c:v>
                </c:pt>
                <c:pt idx="37">
                  <c:v>246.66664199999994</c:v>
                </c:pt>
                <c:pt idx="38">
                  <c:v>253.33330799999993</c:v>
                </c:pt>
                <c:pt idx="39">
                  <c:v>259.99997399999995</c:v>
                </c:pt>
                <c:pt idx="40">
                  <c:v>266.66663999999997</c:v>
                </c:pt>
                <c:pt idx="41">
                  <c:v>273.33330599999999</c:v>
                </c:pt>
                <c:pt idx="42">
                  <c:v>279.99997200000001</c:v>
                </c:pt>
                <c:pt idx="43">
                  <c:v>286.66663800000003</c:v>
                </c:pt>
                <c:pt idx="44">
                  <c:v>293.33330400000006</c:v>
                </c:pt>
                <c:pt idx="45">
                  <c:v>299.99997000000008</c:v>
                </c:pt>
                <c:pt idx="46">
                  <c:v>306.6666360000001</c:v>
                </c:pt>
                <c:pt idx="47">
                  <c:v>313.33330200000012</c:v>
                </c:pt>
                <c:pt idx="48">
                  <c:v>319.99996800000014</c:v>
                </c:pt>
                <c:pt idx="49">
                  <c:v>326.66663400000016</c:v>
                </c:pt>
                <c:pt idx="50">
                  <c:v>333.33330000000001</c:v>
                </c:pt>
              </c:numCache>
            </c:numRef>
          </c:xVal>
          <c:yVal>
            <c:numRef>
              <c:f>Sheet2!$M$3:$M$53</c:f>
              <c:numCache>
                <c:formatCode>General</c:formatCode>
                <c:ptCount val="51"/>
                <c:pt idx="0">
                  <c:v>0</c:v>
                </c:pt>
                <c:pt idx="1">
                  <c:v>55.999994400000006</c:v>
                </c:pt>
                <c:pt idx="2">
                  <c:v>78.383663930694524</c:v>
                </c:pt>
                <c:pt idx="3">
                  <c:v>94.994727196829658</c:v>
                </c:pt>
                <c:pt idx="4">
                  <c:v>108.51726887827631</c:v>
                </c:pt>
                <c:pt idx="5">
                  <c:v>119.999988</c:v>
                </c:pt>
                <c:pt idx="6">
                  <c:v>129.9846014757139</c:v>
                </c:pt>
                <c:pt idx="7">
                  <c:v>138.79479870369852</c:v>
                </c:pt>
                <c:pt idx="8">
                  <c:v>146.64240757434467</c:v>
                </c:pt>
                <c:pt idx="9">
                  <c:v>153.67496633089019</c:v>
                </c:pt>
                <c:pt idx="10">
                  <c:v>159.99998400000001</c:v>
                </c:pt>
                <c:pt idx="11">
                  <c:v>165.69850484781171</c:v>
                </c:pt>
                <c:pt idx="12">
                  <c:v>170.83323494917579</c:v>
                </c:pt>
                <c:pt idx="13">
                  <c:v>175.45368005032074</c:v>
                </c:pt>
                <c:pt idx="14">
                  <c:v>179.59953660519375</c:v>
                </c:pt>
                <c:pt idx="15">
                  <c:v>183.30300946793085</c:v>
                </c:pt>
                <c:pt idx="16">
                  <c:v>186.59044197600358</c:v>
                </c:pt>
                <c:pt idx="17">
                  <c:v>189.48348956888137</c:v>
                </c:pt>
                <c:pt idx="18">
                  <c:v>191.9999808</c:v>
                </c:pt>
                <c:pt idx="19">
                  <c:v>194.15455817672782</c:v>
                </c:pt>
                <c:pt idx="20">
                  <c:v>195.95915982673631</c:v>
                </c:pt>
                <c:pt idx="21">
                  <c:v>197.4233831257088</c:v>
                </c:pt>
                <c:pt idx="22">
                  <c:v>198.55475848037588</c:v>
                </c:pt>
                <c:pt idx="23">
                  <c:v>199.35895277413653</c:v>
                </c:pt>
                <c:pt idx="24">
                  <c:v>199.83991596475516</c:v>
                </c:pt>
                <c:pt idx="25">
                  <c:v>199.99997999999999</c:v>
                </c:pt>
                <c:pt idx="26">
                  <c:v>199.83991596475516</c:v>
                </c:pt>
                <c:pt idx="27">
                  <c:v>199.35895277413653</c:v>
                </c:pt>
                <c:pt idx="28">
                  <c:v>198.55475848037588</c:v>
                </c:pt>
                <c:pt idx="29">
                  <c:v>197.4233831257088</c:v>
                </c:pt>
                <c:pt idx="30">
                  <c:v>195.95915982673631</c:v>
                </c:pt>
                <c:pt idx="31">
                  <c:v>194.15455817672779</c:v>
                </c:pt>
                <c:pt idx="32">
                  <c:v>191.9999808</c:v>
                </c:pt>
                <c:pt idx="33">
                  <c:v>189.48348956888131</c:v>
                </c:pt>
                <c:pt idx="34">
                  <c:v>186.5904419760036</c:v>
                </c:pt>
                <c:pt idx="35">
                  <c:v>183.30300946793082</c:v>
                </c:pt>
                <c:pt idx="36">
                  <c:v>179.59953660519378</c:v>
                </c:pt>
                <c:pt idx="37">
                  <c:v>175.45368005032077</c:v>
                </c:pt>
                <c:pt idx="38">
                  <c:v>170.83323494917582</c:v>
                </c:pt>
                <c:pt idx="39">
                  <c:v>165.69850484781176</c:v>
                </c:pt>
                <c:pt idx="40">
                  <c:v>159.99998400000004</c:v>
                </c:pt>
                <c:pt idx="41">
                  <c:v>153.67496633089019</c:v>
                </c:pt>
                <c:pt idx="42">
                  <c:v>146.64240757434465</c:v>
                </c:pt>
                <c:pt idx="43">
                  <c:v>138.79479870369846</c:v>
                </c:pt>
                <c:pt idx="44">
                  <c:v>129.98460147571387</c:v>
                </c:pt>
                <c:pt idx="45">
                  <c:v>119.99998799999995</c:v>
                </c:pt>
                <c:pt idx="46">
                  <c:v>108.51726887827618</c:v>
                </c:pt>
                <c:pt idx="47">
                  <c:v>94.994727196829359</c:v>
                </c:pt>
                <c:pt idx="48">
                  <c:v>78.383663930694212</c:v>
                </c:pt>
                <c:pt idx="49">
                  <c:v>55.999994399999444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6A-4FA6-829C-34925F9A4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99328"/>
        <c:axId val="60901248"/>
      </c:scatterChart>
      <c:valAx>
        <c:axId val="60899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p' (kPa)</a:t>
                </a:r>
              </a:p>
            </c:rich>
          </c:tx>
          <c:layout>
            <c:manualLayout>
              <c:xMode val="edge"/>
              <c:yMode val="edge"/>
              <c:x val="0.52707581227436906"/>
              <c:y val="0.890245182766788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60901248"/>
        <c:crosses val="autoZero"/>
        <c:crossBetween val="midCat"/>
      </c:valAx>
      <c:valAx>
        <c:axId val="60901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q (kPa)</a:t>
                </a:r>
              </a:p>
            </c:rich>
          </c:tx>
          <c:layout>
            <c:manualLayout>
              <c:xMode val="edge"/>
              <c:yMode val="edge"/>
              <c:x val="1.4440433212996392E-2"/>
              <c:y val="0.359241627054682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608993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837685556148452"/>
          <c:y val="9.4365010316494344E-2"/>
          <c:w val="0.2705625060243631"/>
          <c:h val="0.23412363777108505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/>
            </a:pPr>
            <a:r>
              <a:rPr lang="en-US" sz="800" b="1"/>
              <a:t>Drained Triaxial Test - Over Consolidated Clay - Constant Shear Modulus</a:t>
            </a:r>
          </a:p>
        </c:rich>
      </c:tx>
      <c:layout>
        <c:manualLayout>
          <c:xMode val="edge"/>
          <c:yMode val="edge"/>
          <c:x val="0.23270440251572344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83758786533481"/>
          <c:y val="0.12234910277324638"/>
          <c:w val="0.86052534221235666"/>
          <c:h val="0.7683523654159865"/>
        </c:manualLayout>
      </c:layout>
      <c:scatterChart>
        <c:scatterStyle val="smoothMarker"/>
        <c:varyColors val="0"/>
        <c:ser>
          <c:idx val="0"/>
          <c:order val="0"/>
          <c:tx>
            <c:v>Analytical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Solution'!$R$25:$R$59</c:f>
              <c:numCache>
                <c:formatCode>General</c:formatCode>
                <c:ptCount val="35"/>
                <c:pt idx="0">
                  <c:v>0</c:v>
                </c:pt>
                <c:pt idx="1">
                  <c:v>1.6262568374976738E-3</c:v>
                </c:pt>
                <c:pt idx="2">
                  <c:v>3.1806460506827961E-3</c:v>
                </c:pt>
                <c:pt idx="3">
                  <c:v>4.6852030901229835E-3</c:v>
                </c:pt>
                <c:pt idx="4">
                  <c:v>6.1530052025758212E-3</c:v>
                </c:pt>
                <c:pt idx="5">
                  <c:v>7.8393525867238821E-3</c:v>
                </c:pt>
                <c:pt idx="6">
                  <c:v>9.5896346840809183E-3</c:v>
                </c:pt>
                <c:pt idx="7">
                  <c:v>1.1408766669456947E-2</c:v>
                </c:pt>
                <c:pt idx="8">
                  <c:v>1.3301771031746595E-2</c:v>
                </c:pt>
                <c:pt idx="9">
                  <c:v>1.5274237019458129E-2</c:v>
                </c:pt>
                <c:pt idx="10">
                  <c:v>1.7332409440386734E-2</c:v>
                </c:pt>
                <c:pt idx="11">
                  <c:v>1.9483295587324773E-2</c:v>
                </c:pt>
                <c:pt idx="12">
                  <c:v>2.1734794921446563E-2</c:v>
                </c:pt>
                <c:pt idx="13">
                  <c:v>2.4095857587569616E-2</c:v>
                </c:pt>
                <c:pt idx="14">
                  <c:v>2.6576679815567893E-2</c:v>
                </c:pt>
                <c:pt idx="15">
                  <c:v>2.9188947016173833E-2</c:v>
                </c:pt>
                <c:pt idx="16">
                  <c:v>3.1946139265053984E-2</c:v>
                </c:pt>
                <c:pt idx="17">
                  <c:v>3.4863919438053718E-2</c:v>
                </c:pt>
                <c:pt idx="18">
                  <c:v>3.7960632380491598E-2</c:v>
                </c:pt>
                <c:pt idx="19">
                  <c:v>4.1257955559220696E-2</c:v>
                </c:pt>
                <c:pt idx="20">
                  <c:v>4.478175995528131E-2</c:v>
                </c:pt>
                <c:pt idx="21">
                  <c:v>4.8563268394493077E-2</c:v>
                </c:pt>
                <c:pt idx="22">
                  <c:v>5.2640643860690256E-2</c:v>
                </c:pt>
                <c:pt idx="23">
                  <c:v>5.7061214814312103E-2</c:v>
                </c:pt>
                <c:pt idx="24">
                  <c:v>6.1884671052476609E-2</c:v>
                </c:pt>
                <c:pt idx="25">
                  <c:v>6.7187787042617866E-2</c:v>
                </c:pt>
                <c:pt idx="26">
                  <c:v>7.3071642325285194E-2</c:v>
                </c:pt>
                <c:pt idx="27">
                  <c:v>7.9673112506841837E-2</c:v>
                </c:pt>
                <c:pt idx="28">
                  <c:v>8.7184073692692543E-2</c:v>
                </c:pt>
                <c:pt idx="29">
                  <c:v>9.5885511272378654E-2</c:v>
                </c:pt>
                <c:pt idx="30">
                  <c:v>0.10621300900605674</c:v>
                </c:pt>
                <c:pt idx="31">
                  <c:v>0.11889624799992615</c:v>
                </c:pt>
                <c:pt idx="32">
                  <c:v>0.13530306916858575</c:v>
                </c:pt>
                <c:pt idx="33">
                  <c:v>0.15850425729610781</c:v>
                </c:pt>
                <c:pt idx="34">
                  <c:v>0.19829849764147942</c:v>
                </c:pt>
              </c:numCache>
            </c:numRef>
          </c:xVal>
          <c:yVal>
            <c:numRef>
              <c:f>'Analytical Solution'!$E$25:$E$59</c:f>
              <c:numCache>
                <c:formatCode>0.00</c:formatCode>
                <c:ptCount val="35"/>
                <c:pt idx="0">
                  <c:v>0</c:v>
                </c:pt>
                <c:pt idx="1">
                  <c:v>73.34658562499456</c:v>
                </c:pt>
                <c:pt idx="2">
                  <c:v>146.69317124998912</c:v>
                </c:pt>
                <c:pt idx="3">
                  <c:v>220.03975687498368</c:v>
                </c:pt>
                <c:pt idx="4">
                  <c:v>293.38634249997824</c:v>
                </c:pt>
                <c:pt idx="5">
                  <c:v>290.37387983868859</c:v>
                </c:pt>
                <c:pt idx="6">
                  <c:v>287.36141717739895</c:v>
                </c:pt>
                <c:pt idx="7">
                  <c:v>284.3489545161093</c:v>
                </c:pt>
                <c:pt idx="8">
                  <c:v>281.33649185481966</c:v>
                </c:pt>
                <c:pt idx="9">
                  <c:v>278.32402919353001</c:v>
                </c:pt>
                <c:pt idx="10">
                  <c:v>275.31156653224036</c:v>
                </c:pt>
                <c:pt idx="11">
                  <c:v>272.29910387095072</c:v>
                </c:pt>
                <c:pt idx="12">
                  <c:v>269.28664120966107</c:v>
                </c:pt>
                <c:pt idx="13">
                  <c:v>266.27417854837142</c:v>
                </c:pt>
                <c:pt idx="14">
                  <c:v>263.26171588708178</c:v>
                </c:pt>
                <c:pt idx="15">
                  <c:v>260.24925322579213</c:v>
                </c:pt>
                <c:pt idx="16">
                  <c:v>257.23679056450248</c:v>
                </c:pt>
                <c:pt idx="17">
                  <c:v>254.22432790321284</c:v>
                </c:pt>
                <c:pt idx="18">
                  <c:v>251.21186524192319</c:v>
                </c:pt>
                <c:pt idx="19">
                  <c:v>248.19940258063355</c:v>
                </c:pt>
                <c:pt idx="20">
                  <c:v>245.1869399193439</c:v>
                </c:pt>
                <c:pt idx="21">
                  <c:v>242.17447725805425</c:v>
                </c:pt>
                <c:pt idx="22">
                  <c:v>239.16201459676461</c:v>
                </c:pt>
                <c:pt idx="23">
                  <c:v>236.14955193547496</c:v>
                </c:pt>
                <c:pt idx="24">
                  <c:v>233.13708927418531</c:v>
                </c:pt>
                <c:pt idx="25">
                  <c:v>230.12462661289567</c:v>
                </c:pt>
                <c:pt idx="26">
                  <c:v>227.11216395160602</c:v>
                </c:pt>
                <c:pt idx="27">
                  <c:v>224.09970129031637</c:v>
                </c:pt>
                <c:pt idx="28">
                  <c:v>221.08723862902673</c:v>
                </c:pt>
                <c:pt idx="29">
                  <c:v>218.07477596773708</c:v>
                </c:pt>
                <c:pt idx="30">
                  <c:v>215.06231330644744</c:v>
                </c:pt>
                <c:pt idx="31">
                  <c:v>212.04985064515779</c:v>
                </c:pt>
                <c:pt idx="32">
                  <c:v>209.03738798386814</c:v>
                </c:pt>
                <c:pt idx="33">
                  <c:v>206.0249253225785</c:v>
                </c:pt>
                <c:pt idx="34">
                  <c:v>203.01246266128885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5-44A2-8109-F5EA2E1B5088}"/>
            </c:ext>
          </c:extLst>
        </c:ser>
        <c:ser>
          <c:idx val="1"/>
          <c:order val="1"/>
          <c:tx>
            <c:strRef>
              <c:f>Phase2!$A$1</c:f>
              <c:strCache>
                <c:ptCount val="1"/>
                <c:pt idx="0">
                  <c:v>Phase2-Load Control</c:v>
                </c:pt>
              </c:strCache>
            </c:strRef>
          </c:tx>
          <c:spPr>
            <a:ln w="12700"/>
          </c:spPr>
          <c:marker>
            <c:symbol val="triangle"/>
            <c:size val="5"/>
            <c:spPr>
              <a:noFill/>
            </c:spPr>
          </c:marker>
          <c:xVal>
            <c:numRef>
              <c:f>Phase2!$C$3:$C$38</c:f>
              <c:numCache>
                <c:formatCode>General</c:formatCode>
                <c:ptCount val="36"/>
                <c:pt idx="0" formatCode="0.00E+00">
                  <c:v>3.1025000000000001E-20</c:v>
                </c:pt>
                <c:pt idx="1">
                  <c:v>6.2140999999999997E-4</c:v>
                </c:pt>
                <c:pt idx="2">
                  <c:v>1.2309E-3</c:v>
                </c:pt>
                <c:pt idx="3">
                  <c:v>1.8295E-3</c:v>
                </c:pt>
                <c:pt idx="4">
                  <c:v>2.4217000000000002E-3</c:v>
                </c:pt>
                <c:pt idx="5">
                  <c:v>2.4819999999999998E-3</c:v>
                </c:pt>
                <c:pt idx="6">
                  <c:v>4.2136999999999999E-3</c:v>
                </c:pt>
                <c:pt idx="7">
                  <c:v>6.1615000000000003E-3</c:v>
                </c:pt>
                <c:pt idx="8">
                  <c:v>8.1927000000000007E-3</c:v>
                </c:pt>
                <c:pt idx="9">
                  <c:v>1.0302E-2</c:v>
                </c:pt>
                <c:pt idx="10">
                  <c:v>1.2489E-2</c:v>
                </c:pt>
                <c:pt idx="11">
                  <c:v>1.4755000000000001E-2</c:v>
                </c:pt>
                <c:pt idx="12">
                  <c:v>1.7104999999999999E-2</c:v>
                </c:pt>
                <c:pt idx="13">
                  <c:v>1.9542E-2</c:v>
                </c:pt>
                <c:pt idx="14">
                  <c:v>2.2134999999999998E-2</c:v>
                </c:pt>
                <c:pt idx="15">
                  <c:v>2.4799999999999999E-2</c:v>
                </c:pt>
                <c:pt idx="16">
                  <c:v>2.7557000000000002E-2</c:v>
                </c:pt>
                <c:pt idx="17">
                  <c:v>3.0485999999999999E-2</c:v>
                </c:pt>
                <c:pt idx="18">
                  <c:v>3.3569000000000002E-2</c:v>
                </c:pt>
                <c:pt idx="19">
                  <c:v>3.6808E-2</c:v>
                </c:pt>
                <c:pt idx="20">
                  <c:v>4.0207E-2</c:v>
                </c:pt>
                <c:pt idx="21">
                  <c:v>4.3841999999999999E-2</c:v>
                </c:pt>
                <c:pt idx="22">
                  <c:v>4.7699999999999999E-2</c:v>
                </c:pt>
                <c:pt idx="23">
                  <c:v>5.1788000000000001E-2</c:v>
                </c:pt>
                <c:pt idx="24">
                  <c:v>5.6126000000000002E-2</c:v>
                </c:pt>
                <c:pt idx="25">
                  <c:v>6.0860999999999998E-2</c:v>
                </c:pt>
                <c:pt idx="26">
                  <c:v>6.5976999999999994E-2</c:v>
                </c:pt>
                <c:pt idx="27">
                  <c:v>7.1554000000000006E-2</c:v>
                </c:pt>
                <c:pt idx="28">
                  <c:v>7.7674000000000007E-2</c:v>
                </c:pt>
                <c:pt idx="29">
                  <c:v>8.4430000000000005E-2</c:v>
                </c:pt>
                <c:pt idx="30">
                  <c:v>9.2118000000000005E-2</c:v>
                </c:pt>
                <c:pt idx="31">
                  <c:v>0.10088</c:v>
                </c:pt>
                <c:pt idx="32">
                  <c:v>0.11111</c:v>
                </c:pt>
                <c:pt idx="33">
                  <c:v>0.12349</c:v>
                </c:pt>
                <c:pt idx="34">
                  <c:v>0.13908000000000001</c:v>
                </c:pt>
                <c:pt idx="35">
                  <c:v>0.16039</c:v>
                </c:pt>
              </c:numCache>
            </c:numRef>
          </c:xVal>
          <c:yVal>
            <c:numRef>
              <c:f>Phase2!$B$3:$B$38</c:f>
              <c:numCache>
                <c:formatCode>General</c:formatCode>
                <c:ptCount val="36"/>
                <c:pt idx="0">
                  <c:v>0</c:v>
                </c:pt>
                <c:pt idx="1">
                  <c:v>27.852</c:v>
                </c:pt>
                <c:pt idx="2">
                  <c:v>55.71</c:v>
                </c:pt>
                <c:pt idx="3">
                  <c:v>83.56</c:v>
                </c:pt>
                <c:pt idx="4">
                  <c:v>111.28</c:v>
                </c:pt>
                <c:pt idx="5">
                  <c:v>111.36</c:v>
                </c:pt>
                <c:pt idx="6">
                  <c:v>113.94</c:v>
                </c:pt>
                <c:pt idx="7">
                  <c:v>116.77</c:v>
                </c:pt>
                <c:pt idx="8">
                  <c:v>119.61</c:v>
                </c:pt>
                <c:pt idx="9">
                  <c:v>122.46</c:v>
                </c:pt>
                <c:pt idx="10">
                  <c:v>125.32</c:v>
                </c:pt>
                <c:pt idx="11">
                  <c:v>128.16</c:v>
                </c:pt>
                <c:pt idx="12">
                  <c:v>130.99</c:v>
                </c:pt>
                <c:pt idx="13">
                  <c:v>133.81</c:v>
                </c:pt>
                <c:pt idx="14">
                  <c:v>136.69999999999999</c:v>
                </c:pt>
                <c:pt idx="15">
                  <c:v>139.53</c:v>
                </c:pt>
                <c:pt idx="16">
                  <c:v>142.34</c:v>
                </c:pt>
                <c:pt idx="17">
                  <c:v>145.19</c:v>
                </c:pt>
                <c:pt idx="18">
                  <c:v>148.05000000000001</c:v>
                </c:pt>
                <c:pt idx="19">
                  <c:v>150.9</c:v>
                </c:pt>
                <c:pt idx="20">
                  <c:v>153.72999999999999</c:v>
                </c:pt>
                <c:pt idx="21">
                  <c:v>156.6</c:v>
                </c:pt>
                <c:pt idx="22">
                  <c:v>159.47999999999999</c:v>
                </c:pt>
                <c:pt idx="23">
                  <c:v>162.32</c:v>
                </c:pt>
                <c:pt idx="24">
                  <c:v>165.14</c:v>
                </c:pt>
                <c:pt idx="25">
                  <c:v>168.01</c:v>
                </c:pt>
                <c:pt idx="26">
                  <c:v>170.87</c:v>
                </c:pt>
                <c:pt idx="27">
                  <c:v>173.73</c:v>
                </c:pt>
                <c:pt idx="28">
                  <c:v>176.58</c:v>
                </c:pt>
                <c:pt idx="29">
                  <c:v>179.41</c:v>
                </c:pt>
                <c:pt idx="30">
                  <c:v>182.27</c:v>
                </c:pt>
                <c:pt idx="31">
                  <c:v>185.13</c:v>
                </c:pt>
                <c:pt idx="32">
                  <c:v>187.98</c:v>
                </c:pt>
                <c:pt idx="33">
                  <c:v>190.83</c:v>
                </c:pt>
                <c:pt idx="34">
                  <c:v>193.68</c:v>
                </c:pt>
                <c:pt idx="35">
                  <c:v>196.54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C5-44A2-8109-F5EA2E1B5088}"/>
            </c:ext>
          </c:extLst>
        </c:ser>
        <c:ser>
          <c:idx val="2"/>
          <c:order val="2"/>
          <c:tx>
            <c:strRef>
              <c:f>Phase2!$G$1</c:f>
              <c:strCache>
                <c:ptCount val="1"/>
                <c:pt idx="0">
                  <c:v>Phase2-Displacement Control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5"/>
            <c:spPr>
              <a:noFill/>
              <a:ln>
                <a:solidFill>
                  <a:srgbClr val="4F81BD"/>
                </a:solidFill>
              </a:ln>
            </c:spPr>
          </c:marker>
          <c:xVal>
            <c:numRef>
              <c:f>Phase2!$I$3:$I$37</c:f>
              <c:numCache>
                <c:formatCode>General</c:formatCode>
                <c:ptCount val="35"/>
                <c:pt idx="0" formatCode="0.00E+00">
                  <c:v>3.4432E-20</c:v>
                </c:pt>
                <c:pt idx="1">
                  <c:v>6.2208999999999995E-4</c:v>
                </c:pt>
                <c:pt idx="2">
                  <c:v>1.2313999999999999E-3</c:v>
                </c:pt>
                <c:pt idx="3">
                  <c:v>1.8299E-3</c:v>
                </c:pt>
                <c:pt idx="4">
                  <c:v>2.4191E-3</c:v>
                </c:pt>
                <c:pt idx="5">
                  <c:v>4.3447E-3</c:v>
                </c:pt>
                <c:pt idx="6">
                  <c:v>6.3423999999999998E-3</c:v>
                </c:pt>
                <c:pt idx="7">
                  <c:v>8.4162000000000004E-3</c:v>
                </c:pt>
                <c:pt idx="8">
                  <c:v>1.0571000000000001E-2</c:v>
                </c:pt>
                <c:pt idx="9">
                  <c:v>1.2810999999999999E-2</c:v>
                </c:pt>
                <c:pt idx="10">
                  <c:v>1.5143999999999999E-2</c:v>
                </c:pt>
                <c:pt idx="11">
                  <c:v>1.7575E-2</c:v>
                </c:pt>
                <c:pt idx="12">
                  <c:v>2.0112000000000001E-2</c:v>
                </c:pt>
                <c:pt idx="13">
                  <c:v>2.2764E-2</c:v>
                </c:pt>
                <c:pt idx="14">
                  <c:v>2.5541000000000001E-2</c:v>
                </c:pt>
                <c:pt idx="15">
                  <c:v>2.8454E-2</c:v>
                </c:pt>
                <c:pt idx="16">
                  <c:v>3.1516000000000002E-2</c:v>
                </c:pt>
                <c:pt idx="17">
                  <c:v>3.4742000000000002E-2</c:v>
                </c:pt>
                <c:pt idx="18">
                  <c:v>3.8150999999999997E-2</c:v>
                </c:pt>
                <c:pt idx="19">
                  <c:v>4.1764999999999997E-2</c:v>
                </c:pt>
                <c:pt idx="20">
                  <c:v>4.5608000000000003E-2</c:v>
                </c:pt>
                <c:pt idx="21">
                  <c:v>4.9710999999999998E-2</c:v>
                </c:pt>
                <c:pt idx="22">
                  <c:v>5.4114000000000002E-2</c:v>
                </c:pt>
                <c:pt idx="23">
                  <c:v>5.8860999999999997E-2</c:v>
                </c:pt>
                <c:pt idx="24">
                  <c:v>6.4014000000000001E-2</c:v>
                </c:pt>
                <c:pt idx="25">
                  <c:v>6.9648000000000002E-2</c:v>
                </c:pt>
                <c:pt idx="26">
                  <c:v>7.5864000000000001E-2</c:v>
                </c:pt>
                <c:pt idx="27">
                  <c:v>8.2798999999999998E-2</c:v>
                </c:pt>
                <c:pt idx="28">
                  <c:v>9.0645000000000003E-2</c:v>
                </c:pt>
                <c:pt idx="29">
                  <c:v>9.9681000000000006E-2</c:v>
                </c:pt>
                <c:pt idx="30">
                  <c:v>0.11033999999999999</c:v>
                </c:pt>
                <c:pt idx="31">
                  <c:v>0.12336</c:v>
                </c:pt>
                <c:pt idx="32">
                  <c:v>0.1401</c:v>
                </c:pt>
                <c:pt idx="33">
                  <c:v>0.16363</c:v>
                </c:pt>
                <c:pt idx="34">
                  <c:v>0.20374</c:v>
                </c:pt>
              </c:numCache>
            </c:numRef>
          </c:xVal>
          <c:yVal>
            <c:numRef>
              <c:f>Phase2!$H$3:$H$37</c:f>
              <c:numCache>
                <c:formatCode>General</c:formatCode>
                <c:ptCount val="35"/>
                <c:pt idx="0">
                  <c:v>0</c:v>
                </c:pt>
                <c:pt idx="1">
                  <c:v>27.54</c:v>
                </c:pt>
                <c:pt idx="2">
                  <c:v>55.45</c:v>
                </c:pt>
                <c:pt idx="3">
                  <c:v>83.34</c:v>
                </c:pt>
                <c:pt idx="4">
                  <c:v>111.22</c:v>
                </c:pt>
                <c:pt idx="5">
                  <c:v>113.85</c:v>
                </c:pt>
                <c:pt idx="6">
                  <c:v>116.68</c:v>
                </c:pt>
                <c:pt idx="7">
                  <c:v>119.53</c:v>
                </c:pt>
                <c:pt idx="8">
                  <c:v>122.38</c:v>
                </c:pt>
                <c:pt idx="9">
                  <c:v>125.54</c:v>
                </c:pt>
                <c:pt idx="10">
                  <c:v>128.37</c:v>
                </c:pt>
                <c:pt idx="11">
                  <c:v>131.30000000000001</c:v>
                </c:pt>
                <c:pt idx="12">
                  <c:v>134.16</c:v>
                </c:pt>
                <c:pt idx="13">
                  <c:v>137.06</c:v>
                </c:pt>
                <c:pt idx="14">
                  <c:v>139.94</c:v>
                </c:pt>
                <c:pt idx="15">
                  <c:v>142.83000000000001</c:v>
                </c:pt>
                <c:pt idx="16">
                  <c:v>145.77000000000001</c:v>
                </c:pt>
                <c:pt idx="17">
                  <c:v>148.68</c:v>
                </c:pt>
                <c:pt idx="18">
                  <c:v>151.61000000000001</c:v>
                </c:pt>
                <c:pt idx="19">
                  <c:v>154.69</c:v>
                </c:pt>
                <c:pt idx="20">
                  <c:v>157.57</c:v>
                </c:pt>
                <c:pt idx="21">
                  <c:v>160.46</c:v>
                </c:pt>
                <c:pt idx="22">
                  <c:v>163.4</c:v>
                </c:pt>
                <c:pt idx="23">
                  <c:v>166.38</c:v>
                </c:pt>
                <c:pt idx="24">
                  <c:v>169.44</c:v>
                </c:pt>
                <c:pt idx="25">
                  <c:v>172.37</c:v>
                </c:pt>
                <c:pt idx="26">
                  <c:v>175.37</c:v>
                </c:pt>
                <c:pt idx="27">
                  <c:v>178.43</c:v>
                </c:pt>
                <c:pt idx="28">
                  <c:v>181.44</c:v>
                </c:pt>
                <c:pt idx="29">
                  <c:v>184.55</c:v>
                </c:pt>
                <c:pt idx="30">
                  <c:v>187.65</c:v>
                </c:pt>
                <c:pt idx="31">
                  <c:v>190.7</c:v>
                </c:pt>
                <c:pt idx="32">
                  <c:v>193.76</c:v>
                </c:pt>
                <c:pt idx="33">
                  <c:v>196.87</c:v>
                </c:pt>
                <c:pt idx="34">
                  <c:v>200.21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C5-44A2-8109-F5EA2E1B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0496"/>
        <c:axId val="101452800"/>
      </c:scatterChart>
      <c:valAx>
        <c:axId val="101450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Axial Strain</a:t>
                </a:r>
              </a:p>
            </c:rich>
          </c:tx>
          <c:layout>
            <c:manualLayout>
              <c:xMode val="edge"/>
              <c:yMode val="edge"/>
              <c:x val="0.50832408435072141"/>
              <c:y val="0.94127243066884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01452800"/>
        <c:crosses val="autoZero"/>
        <c:crossBetween val="midCat"/>
      </c:valAx>
      <c:valAx>
        <c:axId val="101452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Deviatoric Stress (kPa)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5921696574225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014504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6637069922307"/>
          <c:y val="0.74101724233899813"/>
          <c:w val="0.22523122456529782"/>
          <c:h val="0.11861119317670937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/>
            </a:pPr>
            <a:r>
              <a:rPr lang="en-US" sz="800" b="1"/>
              <a:t>Drained Triaxial Test - Over Consolidated Clay - Constant Shear Modulus</a:t>
            </a:r>
          </a:p>
        </c:rich>
      </c:tx>
      <c:layout>
        <c:manualLayout>
          <c:xMode val="edge"/>
          <c:yMode val="edge"/>
          <c:x val="0.24602293747687762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73880873103963"/>
          <c:y val="0.12017400761283306"/>
          <c:w val="0.87310395856455825"/>
          <c:h val="0.7683523654159865"/>
        </c:manualLayout>
      </c:layout>
      <c:scatterChart>
        <c:scatterStyle val="lineMarker"/>
        <c:varyColors val="0"/>
        <c:ser>
          <c:idx val="4"/>
          <c:order val="0"/>
          <c:tx>
            <c:v>Analytical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Solution'!$R$25:$R$59</c:f>
              <c:numCache>
                <c:formatCode>General</c:formatCode>
                <c:ptCount val="35"/>
                <c:pt idx="0">
                  <c:v>0</c:v>
                </c:pt>
                <c:pt idx="1">
                  <c:v>1.6262568374976738E-3</c:v>
                </c:pt>
                <c:pt idx="2">
                  <c:v>3.1806460506827961E-3</c:v>
                </c:pt>
                <c:pt idx="3">
                  <c:v>4.6852030901229835E-3</c:v>
                </c:pt>
                <c:pt idx="4">
                  <c:v>6.1530052025758212E-3</c:v>
                </c:pt>
                <c:pt idx="5">
                  <c:v>7.8393525867238821E-3</c:v>
                </c:pt>
                <c:pt idx="6">
                  <c:v>9.5896346840809183E-3</c:v>
                </c:pt>
                <c:pt idx="7">
                  <c:v>1.1408766669456947E-2</c:v>
                </c:pt>
                <c:pt idx="8">
                  <c:v>1.3301771031746595E-2</c:v>
                </c:pt>
                <c:pt idx="9">
                  <c:v>1.5274237019458129E-2</c:v>
                </c:pt>
                <c:pt idx="10">
                  <c:v>1.7332409440386734E-2</c:v>
                </c:pt>
                <c:pt idx="11">
                  <c:v>1.9483295587324773E-2</c:v>
                </c:pt>
                <c:pt idx="12">
                  <c:v>2.1734794921446563E-2</c:v>
                </c:pt>
                <c:pt idx="13">
                  <c:v>2.4095857587569616E-2</c:v>
                </c:pt>
                <c:pt idx="14">
                  <c:v>2.6576679815567893E-2</c:v>
                </c:pt>
                <c:pt idx="15">
                  <c:v>2.9188947016173833E-2</c:v>
                </c:pt>
                <c:pt idx="16">
                  <c:v>3.1946139265053984E-2</c:v>
                </c:pt>
                <c:pt idx="17">
                  <c:v>3.4863919438053718E-2</c:v>
                </c:pt>
                <c:pt idx="18">
                  <c:v>3.7960632380491598E-2</c:v>
                </c:pt>
                <c:pt idx="19">
                  <c:v>4.1257955559220696E-2</c:v>
                </c:pt>
                <c:pt idx="20">
                  <c:v>4.478175995528131E-2</c:v>
                </c:pt>
                <c:pt idx="21">
                  <c:v>4.8563268394493077E-2</c:v>
                </c:pt>
                <c:pt idx="22">
                  <c:v>5.2640643860690256E-2</c:v>
                </c:pt>
                <c:pt idx="23">
                  <c:v>5.7061214814312103E-2</c:v>
                </c:pt>
                <c:pt idx="24">
                  <c:v>6.1884671052476609E-2</c:v>
                </c:pt>
                <c:pt idx="25">
                  <c:v>6.7187787042617866E-2</c:v>
                </c:pt>
                <c:pt idx="26">
                  <c:v>7.3071642325285194E-2</c:v>
                </c:pt>
                <c:pt idx="27">
                  <c:v>7.9673112506841837E-2</c:v>
                </c:pt>
                <c:pt idx="28">
                  <c:v>8.7184073692692543E-2</c:v>
                </c:pt>
                <c:pt idx="29">
                  <c:v>9.5885511272378654E-2</c:v>
                </c:pt>
                <c:pt idx="30">
                  <c:v>0.10621300900605674</c:v>
                </c:pt>
                <c:pt idx="31">
                  <c:v>0.11889624799992615</c:v>
                </c:pt>
                <c:pt idx="32">
                  <c:v>0.13530306916858575</c:v>
                </c:pt>
                <c:pt idx="33">
                  <c:v>0.15850425729610781</c:v>
                </c:pt>
                <c:pt idx="34">
                  <c:v>0.19829849764147942</c:v>
                </c:pt>
              </c:numCache>
            </c:numRef>
          </c:xVal>
          <c:yVal>
            <c:numRef>
              <c:f>'Analytical Solution'!$L$25:$L$59</c:f>
              <c:numCache>
                <c:formatCode>General</c:formatCode>
                <c:ptCount val="35"/>
                <c:pt idx="0">
                  <c:v>0</c:v>
                </c:pt>
                <c:pt idx="1">
                  <c:v>1.211441231243294E-3</c:v>
                </c:pt>
                <c:pt idx="2">
                  <c:v>2.2072795895489335E-3</c:v>
                </c:pt>
                <c:pt idx="3">
                  <c:v>3.0536214266197671E-3</c:v>
                </c:pt>
                <c:pt idx="4">
                  <c:v>3.7896984827285518E-3</c:v>
                </c:pt>
                <c:pt idx="5">
                  <c:v>3.2797568721722264E-3</c:v>
                </c:pt>
                <c:pt idx="6">
                  <c:v>2.7646602236789655E-3</c:v>
                </c:pt>
                <c:pt idx="7">
                  <c:v>2.2455122812256585E-3</c:v>
                </c:pt>
                <c:pt idx="8">
                  <c:v>1.722260484206961E-3</c:v>
                </c:pt>
                <c:pt idx="9">
                  <c:v>1.1948515832422109E-3</c:v>
                </c:pt>
                <c:pt idx="10">
                  <c:v>6.6323164513452547E-4</c:v>
                </c:pt>
                <c:pt idx="11">
                  <c:v>1.2734605942391335E-4</c:v>
                </c:pt>
                <c:pt idx="12">
                  <c:v>-4.1286045331145296E-4</c:v>
                </c:pt>
                <c:pt idx="13">
                  <c:v>-9.5744383123689983E-4</c:v>
                </c:pt>
                <c:pt idx="14">
                  <c:v>-1.5064606589416537E-3</c:v>
                </c:pt>
                <c:pt idx="15">
                  <c:v>-2.059968152819976E-3</c:v>
                </c:pt>
                <c:pt idx="16">
                  <c:v>-2.6180241439355666E-3</c:v>
                </c:pt>
                <c:pt idx="17">
                  <c:v>-3.1806870581347004E-3</c:v>
                </c:pt>
                <c:pt idx="18">
                  <c:v>-3.7480158931519182E-3</c:v>
                </c:pt>
                <c:pt idx="19">
                  <c:v>-4.3200701924314255E-3</c:v>
                </c:pt>
                <c:pt idx="20">
                  <c:v>-4.8969100153618177E-3</c:v>
                </c:pt>
                <c:pt idx="21">
                  <c:v>-5.4785959035968425E-3</c:v>
                </c:pt>
                <c:pt idx="22">
                  <c:v>-6.0651888431059705E-3</c:v>
                </c:pt>
                <c:pt idx="23">
                  <c:v>-6.6567502215677992E-3</c:v>
                </c:pt>
                <c:pt idx="24">
                  <c:v>-7.2533417806865796E-3</c:v>
                </c:pt>
                <c:pt idx="25">
                  <c:v>-7.8550255629741619E-3</c:v>
                </c:pt>
                <c:pt idx="26">
                  <c:v>-8.4618638525025408E-3</c:v>
                </c:pt>
                <c:pt idx="27">
                  <c:v>-9.0739191090865555E-3</c:v>
                </c:pt>
                <c:pt idx="28">
                  <c:v>-9.6912538953123975E-3</c:v>
                </c:pt>
                <c:pt idx="29">
                  <c:v>-1.0313930795774745E-2</c:v>
                </c:pt>
                <c:pt idx="30">
                  <c:v>-1.0942012327832148E-2</c:v>
                </c:pt>
                <c:pt idx="31">
                  <c:v>-1.1575560843128673E-2</c:v>
                </c:pt>
                <c:pt idx="32">
                  <c:v>-1.2214638419067482E-2</c:v>
                </c:pt>
                <c:pt idx="33">
                  <c:v>-1.2859306739349834E-2</c:v>
                </c:pt>
                <c:pt idx="34">
                  <c:v>-1.3509626962616334E-2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8-48AD-BFAB-AD1A02223CC8}"/>
            </c:ext>
          </c:extLst>
        </c:ser>
        <c:ser>
          <c:idx val="0"/>
          <c:order val="1"/>
          <c:tx>
            <c:strRef>
              <c:f>Phase2!$A$1</c:f>
              <c:strCache>
                <c:ptCount val="1"/>
                <c:pt idx="0">
                  <c:v>Phase2-Load Control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triang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xVal>
            <c:numRef>
              <c:f>Phase2!$C$3:$C$38</c:f>
              <c:numCache>
                <c:formatCode>General</c:formatCode>
                <c:ptCount val="36"/>
                <c:pt idx="0" formatCode="0.00E+00">
                  <c:v>3.1025000000000001E-20</c:v>
                </c:pt>
                <c:pt idx="1">
                  <c:v>6.2140999999999997E-4</c:v>
                </c:pt>
                <c:pt idx="2">
                  <c:v>1.2309E-3</c:v>
                </c:pt>
                <c:pt idx="3">
                  <c:v>1.8295E-3</c:v>
                </c:pt>
                <c:pt idx="4">
                  <c:v>2.4217000000000002E-3</c:v>
                </c:pt>
                <c:pt idx="5">
                  <c:v>2.4819999999999998E-3</c:v>
                </c:pt>
                <c:pt idx="6">
                  <c:v>4.2136999999999999E-3</c:v>
                </c:pt>
                <c:pt idx="7">
                  <c:v>6.1615000000000003E-3</c:v>
                </c:pt>
                <c:pt idx="8">
                  <c:v>8.1927000000000007E-3</c:v>
                </c:pt>
                <c:pt idx="9">
                  <c:v>1.0302E-2</c:v>
                </c:pt>
                <c:pt idx="10">
                  <c:v>1.2489E-2</c:v>
                </c:pt>
                <c:pt idx="11">
                  <c:v>1.4755000000000001E-2</c:v>
                </c:pt>
                <c:pt idx="12">
                  <c:v>1.7104999999999999E-2</c:v>
                </c:pt>
                <c:pt idx="13">
                  <c:v>1.9542E-2</c:v>
                </c:pt>
                <c:pt idx="14">
                  <c:v>2.2134999999999998E-2</c:v>
                </c:pt>
                <c:pt idx="15">
                  <c:v>2.4799999999999999E-2</c:v>
                </c:pt>
                <c:pt idx="16">
                  <c:v>2.7557000000000002E-2</c:v>
                </c:pt>
                <c:pt idx="17">
                  <c:v>3.0485999999999999E-2</c:v>
                </c:pt>
                <c:pt idx="18">
                  <c:v>3.3569000000000002E-2</c:v>
                </c:pt>
                <c:pt idx="19">
                  <c:v>3.6808E-2</c:v>
                </c:pt>
                <c:pt idx="20">
                  <c:v>4.0207E-2</c:v>
                </c:pt>
                <c:pt idx="21">
                  <c:v>4.3841999999999999E-2</c:v>
                </c:pt>
                <c:pt idx="22">
                  <c:v>4.7699999999999999E-2</c:v>
                </c:pt>
                <c:pt idx="23">
                  <c:v>5.1788000000000001E-2</c:v>
                </c:pt>
                <c:pt idx="24">
                  <c:v>5.6126000000000002E-2</c:v>
                </c:pt>
                <c:pt idx="25">
                  <c:v>6.0860999999999998E-2</c:v>
                </c:pt>
                <c:pt idx="26">
                  <c:v>6.5976999999999994E-2</c:v>
                </c:pt>
                <c:pt idx="27">
                  <c:v>7.1554000000000006E-2</c:v>
                </c:pt>
                <c:pt idx="28">
                  <c:v>7.7674000000000007E-2</c:v>
                </c:pt>
                <c:pt idx="29">
                  <c:v>8.4430000000000005E-2</c:v>
                </c:pt>
                <c:pt idx="30">
                  <c:v>9.2118000000000005E-2</c:v>
                </c:pt>
                <c:pt idx="31">
                  <c:v>0.10088</c:v>
                </c:pt>
                <c:pt idx="32">
                  <c:v>0.11111</c:v>
                </c:pt>
                <c:pt idx="33">
                  <c:v>0.12349</c:v>
                </c:pt>
                <c:pt idx="34">
                  <c:v>0.13908000000000001</c:v>
                </c:pt>
                <c:pt idx="35">
                  <c:v>0.16039</c:v>
                </c:pt>
              </c:numCache>
            </c:numRef>
          </c:xVal>
          <c:yVal>
            <c:numRef>
              <c:f>Phase2!$D$3:$D$38</c:f>
              <c:numCache>
                <c:formatCode>General</c:formatCode>
                <c:ptCount val="36"/>
                <c:pt idx="0" formatCode="0.00E+00">
                  <c:v>1.1336000000000001E-18</c:v>
                </c:pt>
                <c:pt idx="1">
                  <c:v>4.7150799999999999E-4</c:v>
                </c:pt>
                <c:pt idx="2">
                  <c:v>9.0720000000000004E-4</c:v>
                </c:pt>
                <c:pt idx="3">
                  <c:v>1.31032E-3</c:v>
                </c:pt>
                <c:pt idx="4">
                  <c:v>1.6867799999999999E-3</c:v>
                </c:pt>
                <c:pt idx="5">
                  <c:v>1.7248400000000001E-3</c:v>
                </c:pt>
                <c:pt idx="6">
                  <c:v>2.4483399999999998E-3</c:v>
                </c:pt>
                <c:pt idx="7">
                  <c:v>3.2296999999999998E-3</c:v>
                </c:pt>
                <c:pt idx="8">
                  <c:v>4.0106999999999999E-3</c:v>
                </c:pt>
                <c:pt idx="9">
                  <c:v>4.7873999999999998E-3</c:v>
                </c:pt>
                <c:pt idx="10">
                  <c:v>5.5579999999999996E-3</c:v>
                </c:pt>
                <c:pt idx="11">
                  <c:v>6.3206E-3</c:v>
                </c:pt>
                <c:pt idx="12">
                  <c:v>7.0764000000000001E-3</c:v>
                </c:pt>
                <c:pt idx="13">
                  <c:v>7.8230000000000001E-3</c:v>
                </c:pt>
                <c:pt idx="14">
                  <c:v>8.5793999999999992E-3</c:v>
                </c:pt>
                <c:pt idx="15">
                  <c:v>9.3185999999999998E-3</c:v>
                </c:pt>
                <c:pt idx="16">
                  <c:v>1.0044000000000001E-2</c:v>
                </c:pt>
                <c:pt idx="17">
                  <c:v>1.0774799999999999E-2</c:v>
                </c:pt>
                <c:pt idx="18">
                  <c:v>1.1501000000000001E-2</c:v>
                </c:pt>
                <c:pt idx="19">
                  <c:v>1.222E-2</c:v>
                </c:pt>
                <c:pt idx="20">
                  <c:v>1.2929E-2</c:v>
                </c:pt>
                <c:pt idx="21">
                  <c:v>1.3639999999999999E-2</c:v>
                </c:pt>
                <c:pt idx="22">
                  <c:v>1.4344000000000001E-2</c:v>
                </c:pt>
                <c:pt idx="23">
                  <c:v>1.504E-2</c:v>
                </c:pt>
                <c:pt idx="24">
                  <c:v>1.5722E-2</c:v>
                </c:pt>
                <c:pt idx="25">
                  <c:v>1.6409E-2</c:v>
                </c:pt>
                <c:pt idx="26">
                  <c:v>1.7089E-2</c:v>
                </c:pt>
                <c:pt idx="27">
                  <c:v>1.7763999999999999E-2</c:v>
                </c:pt>
                <c:pt idx="28">
                  <c:v>1.8429999999999998E-2</c:v>
                </c:pt>
                <c:pt idx="29">
                  <c:v>1.9088000000000001E-2</c:v>
                </c:pt>
                <c:pt idx="30">
                  <c:v>1.9746E-2</c:v>
                </c:pt>
                <c:pt idx="31">
                  <c:v>2.0397999999999999E-2</c:v>
                </c:pt>
                <c:pt idx="32">
                  <c:v>2.104E-2</c:v>
                </c:pt>
                <c:pt idx="33">
                  <c:v>2.1680000000000001E-2</c:v>
                </c:pt>
                <c:pt idx="34">
                  <c:v>2.2318000000000001E-2</c:v>
                </c:pt>
                <c:pt idx="35">
                  <c:v>2.2943999999999999E-2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8-48AD-BFAB-AD1A02223CC8}"/>
            </c:ext>
          </c:extLst>
        </c:ser>
        <c:ser>
          <c:idx val="1"/>
          <c:order val="2"/>
          <c:tx>
            <c:strRef>
              <c:f>Phase2!$G$1</c:f>
              <c:strCache>
                <c:ptCount val="1"/>
                <c:pt idx="0">
                  <c:v>Phase2-Displacement Control</c:v>
                </c:pt>
              </c:strCache>
            </c:strRef>
          </c:tx>
          <c:spPr>
            <a:ln w="12700">
              <a:solidFill>
                <a:srgbClr val="4F81BD"/>
              </a:solidFill>
            </a:ln>
          </c:spPr>
          <c:marker>
            <c:symbol val="square"/>
            <c:size val="5"/>
            <c:spPr>
              <a:noFill/>
              <a:ln>
                <a:solidFill>
                  <a:srgbClr val="4F81BD"/>
                </a:solidFill>
              </a:ln>
            </c:spPr>
          </c:marker>
          <c:xVal>
            <c:numRef>
              <c:f>Phase2!$I$3:$I$37</c:f>
              <c:numCache>
                <c:formatCode>General</c:formatCode>
                <c:ptCount val="35"/>
                <c:pt idx="0" formatCode="0.00E+00">
                  <c:v>3.4432E-20</c:v>
                </c:pt>
                <c:pt idx="1">
                  <c:v>6.2208999999999995E-4</c:v>
                </c:pt>
                <c:pt idx="2">
                  <c:v>1.2313999999999999E-3</c:v>
                </c:pt>
                <c:pt idx="3">
                  <c:v>1.8299E-3</c:v>
                </c:pt>
                <c:pt idx="4">
                  <c:v>2.4191E-3</c:v>
                </c:pt>
                <c:pt idx="5">
                  <c:v>4.3447E-3</c:v>
                </c:pt>
                <c:pt idx="6">
                  <c:v>6.3423999999999998E-3</c:v>
                </c:pt>
                <c:pt idx="7">
                  <c:v>8.4162000000000004E-3</c:v>
                </c:pt>
                <c:pt idx="8">
                  <c:v>1.0571000000000001E-2</c:v>
                </c:pt>
                <c:pt idx="9">
                  <c:v>1.2810999999999999E-2</c:v>
                </c:pt>
                <c:pt idx="10">
                  <c:v>1.5143999999999999E-2</c:v>
                </c:pt>
                <c:pt idx="11">
                  <c:v>1.7575E-2</c:v>
                </c:pt>
                <c:pt idx="12">
                  <c:v>2.0112000000000001E-2</c:v>
                </c:pt>
                <c:pt idx="13">
                  <c:v>2.2764E-2</c:v>
                </c:pt>
                <c:pt idx="14">
                  <c:v>2.5541000000000001E-2</c:v>
                </c:pt>
                <c:pt idx="15">
                  <c:v>2.8454E-2</c:v>
                </c:pt>
                <c:pt idx="16">
                  <c:v>3.1516000000000002E-2</c:v>
                </c:pt>
                <c:pt idx="17">
                  <c:v>3.4742000000000002E-2</c:v>
                </c:pt>
                <c:pt idx="18">
                  <c:v>3.8150999999999997E-2</c:v>
                </c:pt>
                <c:pt idx="19">
                  <c:v>4.1764999999999997E-2</c:v>
                </c:pt>
                <c:pt idx="20">
                  <c:v>4.5608000000000003E-2</c:v>
                </c:pt>
                <c:pt idx="21">
                  <c:v>4.9710999999999998E-2</c:v>
                </c:pt>
                <c:pt idx="22">
                  <c:v>5.4114000000000002E-2</c:v>
                </c:pt>
                <c:pt idx="23">
                  <c:v>5.8860999999999997E-2</c:v>
                </c:pt>
                <c:pt idx="24">
                  <c:v>6.4014000000000001E-2</c:v>
                </c:pt>
                <c:pt idx="25">
                  <c:v>6.9648000000000002E-2</c:v>
                </c:pt>
                <c:pt idx="26">
                  <c:v>7.5864000000000001E-2</c:v>
                </c:pt>
                <c:pt idx="27">
                  <c:v>8.2798999999999998E-2</c:v>
                </c:pt>
                <c:pt idx="28">
                  <c:v>9.0645000000000003E-2</c:v>
                </c:pt>
                <c:pt idx="29">
                  <c:v>9.9681000000000006E-2</c:v>
                </c:pt>
                <c:pt idx="30">
                  <c:v>0.11033999999999999</c:v>
                </c:pt>
                <c:pt idx="31">
                  <c:v>0.12336</c:v>
                </c:pt>
                <c:pt idx="32">
                  <c:v>0.1401</c:v>
                </c:pt>
                <c:pt idx="33">
                  <c:v>0.16363</c:v>
                </c:pt>
                <c:pt idx="34">
                  <c:v>0.20374</c:v>
                </c:pt>
              </c:numCache>
            </c:numRef>
          </c:xVal>
          <c:yVal>
            <c:numRef>
              <c:f>Phase2!$J$3:$J$37</c:f>
              <c:numCache>
                <c:formatCode>General</c:formatCode>
                <c:ptCount val="35"/>
                <c:pt idx="0" formatCode="0.00E+00">
                  <c:v>1.1155299999999999E-18</c:v>
                </c:pt>
                <c:pt idx="1">
                  <c:v>4.8953799999999997E-4</c:v>
                </c:pt>
                <c:pt idx="2">
                  <c:v>9.2153999999999999E-4</c:v>
                </c:pt>
                <c:pt idx="3">
                  <c:v>1.32278E-3</c:v>
                </c:pt>
                <c:pt idx="4">
                  <c:v>1.6963600000000001E-3</c:v>
                </c:pt>
                <c:pt idx="5">
                  <c:v>2.5156800000000002E-3</c:v>
                </c:pt>
                <c:pt idx="6">
                  <c:v>3.3134000000000002E-3</c:v>
                </c:pt>
                <c:pt idx="7">
                  <c:v>4.1092000000000004E-3</c:v>
                </c:pt>
                <c:pt idx="8">
                  <c:v>4.9036000000000001E-3</c:v>
                </c:pt>
                <c:pt idx="9">
                  <c:v>5.6423999999999997E-3</c:v>
                </c:pt>
                <c:pt idx="10">
                  <c:v>6.4092000000000003E-3</c:v>
                </c:pt>
                <c:pt idx="11">
                  <c:v>7.1732000000000002E-3</c:v>
                </c:pt>
                <c:pt idx="12">
                  <c:v>7.9413999999999995E-3</c:v>
                </c:pt>
                <c:pt idx="13">
                  <c:v>8.7011999999999992E-3</c:v>
                </c:pt>
                <c:pt idx="14">
                  <c:v>9.4616000000000006E-3</c:v>
                </c:pt>
                <c:pt idx="15">
                  <c:v>1.02206E-2</c:v>
                </c:pt>
                <c:pt idx="16">
                  <c:v>1.0968E-2</c:v>
                </c:pt>
                <c:pt idx="17">
                  <c:v>1.172E-2</c:v>
                </c:pt>
                <c:pt idx="18">
                  <c:v>1.2473E-2</c:v>
                </c:pt>
                <c:pt idx="19">
                  <c:v>1.3174999999999999E-2</c:v>
                </c:pt>
                <c:pt idx="20">
                  <c:v>1.3896E-2</c:v>
                </c:pt>
                <c:pt idx="21">
                  <c:v>1.4619E-2</c:v>
                </c:pt>
                <c:pt idx="22">
                  <c:v>1.5350000000000001E-2</c:v>
                </c:pt>
                <c:pt idx="23">
                  <c:v>1.6084999999999999E-2</c:v>
                </c:pt>
                <c:pt idx="24">
                  <c:v>1.6768000000000002E-2</c:v>
                </c:pt>
                <c:pt idx="25">
                  <c:v>1.7479999999999999E-2</c:v>
                </c:pt>
                <c:pt idx="26">
                  <c:v>1.8206E-2</c:v>
                </c:pt>
                <c:pt idx="27">
                  <c:v>1.8889E-2</c:v>
                </c:pt>
                <c:pt idx="28">
                  <c:v>1.9612999999999998E-2</c:v>
                </c:pt>
                <c:pt idx="29">
                  <c:v>2.0313000000000001E-2</c:v>
                </c:pt>
                <c:pt idx="30">
                  <c:v>2.1011999999999999E-2</c:v>
                </c:pt>
                <c:pt idx="31">
                  <c:v>2.1683999999999998E-2</c:v>
                </c:pt>
                <c:pt idx="32">
                  <c:v>2.2377999999999999E-2</c:v>
                </c:pt>
                <c:pt idx="33">
                  <c:v>2.3066E-2</c:v>
                </c:pt>
                <c:pt idx="34">
                  <c:v>2.3806000000000001E-2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38-48AD-BFAB-AD1A02223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2432"/>
        <c:axId val="49857280"/>
      </c:scatterChart>
      <c:valAx>
        <c:axId val="49842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Axial Strain</a:t>
                </a:r>
              </a:p>
            </c:rich>
          </c:tx>
          <c:layout>
            <c:manualLayout>
              <c:xMode val="edge"/>
              <c:yMode val="edge"/>
              <c:x val="0.51165371809101001"/>
              <c:y val="0.94127243066884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9857280"/>
        <c:crosses val="autoZero"/>
        <c:crossBetween val="midCat"/>
      </c:valAx>
      <c:valAx>
        <c:axId val="49857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Volumetric Strain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2871125611745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9842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822419533851289"/>
          <c:y val="0.74638613077117399"/>
          <c:w val="0.24094709581945992"/>
          <c:h val="0.1200428168338663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801331853496179E-2"/>
          <c:y val="3.4257748776509001E-2"/>
          <c:w val="0.89456159822419534"/>
          <c:h val="0.85970636215334462"/>
        </c:manualLayout>
      </c:layout>
      <c:scatterChart>
        <c:scatterStyle val="lineMarker"/>
        <c:varyColors val="0"/>
        <c:ser>
          <c:idx val="0"/>
          <c:order val="0"/>
          <c:tx>
            <c:v>v-ea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Solution'!$R$25:$R$59</c:f>
              <c:numCache>
                <c:formatCode>General</c:formatCode>
                <c:ptCount val="35"/>
                <c:pt idx="0">
                  <c:v>0</c:v>
                </c:pt>
                <c:pt idx="1">
                  <c:v>1.6262568374976738E-3</c:v>
                </c:pt>
                <c:pt idx="2">
                  <c:v>3.1806460506827961E-3</c:v>
                </c:pt>
                <c:pt idx="3">
                  <c:v>4.6852030901229835E-3</c:v>
                </c:pt>
                <c:pt idx="4">
                  <c:v>6.1530052025758212E-3</c:v>
                </c:pt>
                <c:pt idx="5">
                  <c:v>7.8393525867238821E-3</c:v>
                </c:pt>
                <c:pt idx="6">
                  <c:v>9.5896346840809183E-3</c:v>
                </c:pt>
                <c:pt idx="7">
                  <c:v>1.1408766669456947E-2</c:v>
                </c:pt>
                <c:pt idx="8">
                  <c:v>1.3301771031746595E-2</c:v>
                </c:pt>
                <c:pt idx="9">
                  <c:v>1.5274237019458129E-2</c:v>
                </c:pt>
                <c:pt idx="10">
                  <c:v>1.7332409440386734E-2</c:v>
                </c:pt>
                <c:pt idx="11">
                  <c:v>1.9483295587324773E-2</c:v>
                </c:pt>
                <c:pt idx="12">
                  <c:v>2.1734794921446563E-2</c:v>
                </c:pt>
                <c:pt idx="13">
                  <c:v>2.4095857587569616E-2</c:v>
                </c:pt>
                <c:pt idx="14">
                  <c:v>2.6576679815567893E-2</c:v>
                </c:pt>
                <c:pt idx="15">
                  <c:v>2.9188947016173833E-2</c:v>
                </c:pt>
                <c:pt idx="16">
                  <c:v>3.1946139265053984E-2</c:v>
                </c:pt>
                <c:pt idx="17">
                  <c:v>3.4863919438053718E-2</c:v>
                </c:pt>
                <c:pt idx="18">
                  <c:v>3.7960632380491598E-2</c:v>
                </c:pt>
                <c:pt idx="19">
                  <c:v>4.1257955559220696E-2</c:v>
                </c:pt>
                <c:pt idx="20">
                  <c:v>4.478175995528131E-2</c:v>
                </c:pt>
                <c:pt idx="21">
                  <c:v>4.8563268394493077E-2</c:v>
                </c:pt>
                <c:pt idx="22">
                  <c:v>5.2640643860690256E-2</c:v>
                </c:pt>
                <c:pt idx="23">
                  <c:v>5.7061214814312103E-2</c:v>
                </c:pt>
                <c:pt idx="24">
                  <c:v>6.1884671052476609E-2</c:v>
                </c:pt>
                <c:pt idx="25">
                  <c:v>6.7187787042617866E-2</c:v>
                </c:pt>
                <c:pt idx="26">
                  <c:v>7.3071642325285194E-2</c:v>
                </c:pt>
                <c:pt idx="27">
                  <c:v>7.9673112506841837E-2</c:v>
                </c:pt>
                <c:pt idx="28">
                  <c:v>8.7184073692692543E-2</c:v>
                </c:pt>
                <c:pt idx="29">
                  <c:v>9.5885511272378654E-2</c:v>
                </c:pt>
                <c:pt idx="30">
                  <c:v>0.10621300900605674</c:v>
                </c:pt>
                <c:pt idx="31">
                  <c:v>0.11889624799992615</c:v>
                </c:pt>
                <c:pt idx="32">
                  <c:v>0.13530306916858575</c:v>
                </c:pt>
                <c:pt idx="33">
                  <c:v>0.15850425729610781</c:v>
                </c:pt>
                <c:pt idx="34">
                  <c:v>0.19829849764147942</c:v>
                </c:pt>
              </c:numCache>
            </c:numRef>
          </c:xVal>
          <c:yVal>
            <c:numRef>
              <c:f>'Analytical Solution'!$G$25:$G$59</c:f>
              <c:numCache>
                <c:formatCode>General</c:formatCode>
                <c:ptCount val="35"/>
                <c:pt idx="0">
                  <c:v>1.390228537429878</c:v>
                </c:pt>
                <c:pt idx="1">
                  <c:v>1.3868804201807039</c:v>
                </c:pt>
                <c:pt idx="2">
                  <c:v>1.3831959335786235</c:v>
                </c:pt>
                <c:pt idx="3">
                  <c:v>1.3802105162074623</c:v>
                </c:pt>
                <c:pt idx="4">
                  <c:v>1.3778358655041354</c:v>
                </c:pt>
                <c:pt idx="5">
                  <c:v>1.3785882840512051</c:v>
                </c:pt>
                <c:pt idx="6">
                  <c:v>1.3793471456657904</c:v>
                </c:pt>
                <c:pt idx="7">
                  <c:v>1.380112539453429</c:v>
                </c:pt>
                <c:pt idx="8">
                  <c:v>1.3808845558364768</c:v>
                </c:pt>
                <c:pt idx="9">
                  <c:v>1.3816632865549479</c:v>
                </c:pt>
                <c:pt idx="10">
                  <c:v>1.3824488246651878</c:v>
                </c:pt>
                <c:pt idx="11">
                  <c:v>1.3832412645361516</c:v>
                </c:pt>
                <c:pt idx="12">
                  <c:v>1.3840407018430338</c:v>
                </c:pt>
                <c:pt idx="13">
                  <c:v>1.3848472335579756</c:v>
                </c:pt>
                <c:pt idx="14">
                  <c:v>1.3856609579375525</c:v>
                </c:pt>
                <c:pt idx="15">
                  <c:v>1.3864819745067156</c:v>
                </c:pt>
                <c:pt idx="16">
                  <c:v>1.3873103840388341</c:v>
                </c:pt>
                <c:pt idx="17">
                  <c:v>1.3881462885314524</c:v>
                </c:pt>
                <c:pt idx="18">
                  <c:v>1.3889897911773397</c:v>
                </c:pt>
                <c:pt idx="19">
                  <c:v>1.3898409963303797</c:v>
                </c:pt>
                <c:pt idx="20">
                  <c:v>1.3907000094657966</c:v>
                </c:pt>
                <c:pt idx="21">
                  <c:v>1.3915669371341783</c:v>
                </c:pt>
                <c:pt idx="22">
                  <c:v>1.3924418869087045</c:v>
                </c:pt>
                <c:pt idx="23">
                  <c:v>1.393324967324939</c:v>
                </c:pt>
                <c:pt idx="24">
                  <c:v>1.394216287812482</c:v>
                </c:pt>
                <c:pt idx="25">
                  <c:v>1.3951159586177226</c:v>
                </c:pt>
                <c:pt idx="26">
                  <c:v>1.3960240907168637</c:v>
                </c:pt>
                <c:pt idx="27">
                  <c:v>1.3969407957183091</c:v>
                </c:pt>
                <c:pt idx="28">
                  <c:v>1.397866185753436</c:v>
                </c:pt>
                <c:pt idx="29">
                  <c:v>1.3988003733546792</c:v>
                </c:pt>
                <c:pt idx="30">
                  <c:v>1.3997434713197605</c:v>
                </c:pt>
                <c:pt idx="31">
                  <c:v>1.4006955925607978</c:v>
                </c:pt>
                <c:pt idx="32">
                  <c:v>1.40165684993691</c:v>
                </c:pt>
                <c:pt idx="33">
                  <c:v>1.4026273560688187</c:v>
                </c:pt>
                <c:pt idx="34">
                  <c:v>1.4036072231338093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1-482D-A9DB-FC83C2B5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7840"/>
        <c:axId val="50310144"/>
      </c:scatterChart>
      <c:valAx>
        <c:axId val="503078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ea</a:t>
                </a:r>
              </a:p>
            </c:rich>
          </c:tx>
          <c:layout>
            <c:manualLayout>
              <c:xMode val="edge"/>
              <c:yMode val="edge"/>
              <c:x val="0.51498335183129806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310144"/>
        <c:crosses val="autoZero"/>
        <c:crossBetween val="midCat"/>
      </c:valAx>
      <c:valAx>
        <c:axId val="50310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5513866231647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3078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2"/>
  <sheetViews>
    <sheetView tabSelected="1" zoomScale="15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3"/>
  <sheetViews>
    <sheetView zoomScale="13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3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3911" cy="583071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1:M53"/>
  <sheetViews>
    <sheetView workbookViewId="0">
      <selection activeCell="S20" sqref="S20"/>
    </sheetView>
  </sheetViews>
  <sheetFormatPr defaultRowHeight="12.3" x14ac:dyDescent="0.4"/>
  <cols>
    <col min="1" max="1" width="3.71875" customWidth="1"/>
  </cols>
  <sheetData>
    <row r="1" spans="2:13" s="1" customFormat="1" x14ac:dyDescent="0.4">
      <c r="B1" s="1" t="s">
        <v>20</v>
      </c>
      <c r="F1" s="1" t="s">
        <v>12</v>
      </c>
      <c r="I1" s="1" t="s">
        <v>21</v>
      </c>
      <c r="L1" s="1" t="s">
        <v>53</v>
      </c>
    </row>
    <row r="2" spans="2:13" s="1" customFormat="1" x14ac:dyDescent="0.4">
      <c r="B2" s="1" t="s">
        <v>0</v>
      </c>
      <c r="C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2:13" x14ac:dyDescent="0.4">
      <c r="B3">
        <v>0</v>
      </c>
      <c r="C3">
        <v>0</v>
      </c>
      <c r="F3">
        <v>0</v>
      </c>
      <c r="G3">
        <v>0</v>
      </c>
      <c r="L3">
        <v>0</v>
      </c>
      <c r="M3">
        <v>0</v>
      </c>
    </row>
    <row r="4" spans="2:13" x14ac:dyDescent="0.4">
      <c r="B4">
        <f t="shared" ref="B4:B35" si="0">B3+($B$53-$B$3)/50</f>
        <v>10</v>
      </c>
      <c r="C4">
        <f t="shared" ref="C4:C35" si="1">SQRT(M^2*B4^2*(p0/B4-1))</f>
        <v>84</v>
      </c>
      <c r="F4">
        <f>MAX(pcs,p0)+20</f>
        <v>520</v>
      </c>
      <c r="G4">
        <f>M*F4</f>
        <v>624</v>
      </c>
      <c r="L4">
        <f>L3+($L$53-$B$3)/50</f>
        <v>6.6666660000000002</v>
      </c>
      <c r="M4">
        <f t="shared" ref="M4:M35" si="2">SQRT(M^2*L4^2*($L$53/L4-1))</f>
        <v>55.999994400000006</v>
      </c>
    </row>
    <row r="5" spans="2:13" x14ac:dyDescent="0.4">
      <c r="B5">
        <f t="shared" si="0"/>
        <v>20</v>
      </c>
      <c r="C5">
        <f t="shared" si="1"/>
        <v>117.57550765359255</v>
      </c>
      <c r="L5">
        <f t="shared" ref="L5:L52" si="3">L4+($L$53-$B$3)/50</f>
        <v>13.333332</v>
      </c>
      <c r="M5">
        <f t="shared" si="2"/>
        <v>78.383663930694524</v>
      </c>
    </row>
    <row r="6" spans="2:13" x14ac:dyDescent="0.4">
      <c r="B6">
        <f t="shared" si="0"/>
        <v>30</v>
      </c>
      <c r="C6">
        <f t="shared" si="1"/>
        <v>142.492105044455</v>
      </c>
      <c r="L6">
        <f t="shared" si="3"/>
        <v>19.999998000000001</v>
      </c>
      <c r="M6">
        <f t="shared" si="2"/>
        <v>94.994727196829658</v>
      </c>
    </row>
    <row r="7" spans="2:13" x14ac:dyDescent="0.4">
      <c r="B7">
        <f t="shared" si="0"/>
        <v>40</v>
      </c>
      <c r="C7">
        <f t="shared" si="1"/>
        <v>162.77591959500643</v>
      </c>
      <c r="L7">
        <f t="shared" si="3"/>
        <v>26.666664000000001</v>
      </c>
      <c r="M7">
        <f t="shared" si="2"/>
        <v>108.51726887827631</v>
      </c>
    </row>
    <row r="8" spans="2:13" x14ac:dyDescent="0.4">
      <c r="B8">
        <f t="shared" si="0"/>
        <v>50</v>
      </c>
      <c r="C8">
        <f t="shared" si="1"/>
        <v>180</v>
      </c>
      <c r="L8">
        <f t="shared" si="3"/>
        <v>33.333330000000004</v>
      </c>
      <c r="M8">
        <f t="shared" si="2"/>
        <v>119.999988</v>
      </c>
    </row>
    <row r="9" spans="2:13" x14ac:dyDescent="0.4">
      <c r="B9">
        <f t="shared" si="0"/>
        <v>60</v>
      </c>
      <c r="C9">
        <f t="shared" si="1"/>
        <v>194.97692171126306</v>
      </c>
      <c r="L9">
        <f t="shared" si="3"/>
        <v>39.999996000000003</v>
      </c>
      <c r="M9">
        <f t="shared" si="2"/>
        <v>129.9846014757139</v>
      </c>
    </row>
    <row r="10" spans="2:13" x14ac:dyDescent="0.4">
      <c r="B10">
        <f t="shared" si="0"/>
        <v>70</v>
      </c>
      <c r="C10">
        <f t="shared" si="1"/>
        <v>208.19221887476968</v>
      </c>
      <c r="L10">
        <f t="shared" si="3"/>
        <v>46.666662000000002</v>
      </c>
      <c r="M10">
        <f t="shared" si="2"/>
        <v>138.79479870369852</v>
      </c>
    </row>
    <row r="11" spans="2:13" x14ac:dyDescent="0.4">
      <c r="B11">
        <f t="shared" si="0"/>
        <v>80</v>
      </c>
      <c r="C11">
        <f t="shared" si="1"/>
        <v>219.96363335788033</v>
      </c>
      <c r="L11">
        <f t="shared" si="3"/>
        <v>53.333328000000002</v>
      </c>
      <c r="M11">
        <f t="shared" si="2"/>
        <v>146.64240757434467</v>
      </c>
    </row>
    <row r="12" spans="2:13" x14ac:dyDescent="0.4">
      <c r="B12">
        <f t="shared" si="0"/>
        <v>90</v>
      </c>
      <c r="C12">
        <f t="shared" si="1"/>
        <v>230.51247254758255</v>
      </c>
      <c r="L12">
        <f t="shared" si="3"/>
        <v>59.999994000000001</v>
      </c>
      <c r="M12">
        <f t="shared" si="2"/>
        <v>153.67496633089019</v>
      </c>
    </row>
    <row r="13" spans="2:13" x14ac:dyDescent="0.4">
      <c r="B13">
        <f t="shared" si="0"/>
        <v>100</v>
      </c>
      <c r="C13">
        <f t="shared" si="1"/>
        <v>240</v>
      </c>
      <c r="L13">
        <f t="shared" si="3"/>
        <v>66.666660000000007</v>
      </c>
      <c r="M13">
        <f t="shared" si="2"/>
        <v>159.99998400000001</v>
      </c>
    </row>
    <row r="14" spans="2:13" x14ac:dyDescent="0.4">
      <c r="B14">
        <f t="shared" si="0"/>
        <v>110</v>
      </c>
      <c r="C14">
        <f t="shared" si="1"/>
        <v>248.54778212649578</v>
      </c>
      <c r="L14">
        <f t="shared" si="3"/>
        <v>73.333326000000014</v>
      </c>
      <c r="M14">
        <f t="shared" si="2"/>
        <v>165.69850484781171</v>
      </c>
    </row>
    <row r="15" spans="2:13" x14ac:dyDescent="0.4">
      <c r="B15">
        <f t="shared" si="0"/>
        <v>120</v>
      </c>
      <c r="C15">
        <f t="shared" si="1"/>
        <v>256.24987804875144</v>
      </c>
      <c r="L15">
        <f t="shared" si="3"/>
        <v>79.99999200000002</v>
      </c>
      <c r="M15">
        <f t="shared" si="2"/>
        <v>170.83323494917579</v>
      </c>
    </row>
    <row r="16" spans="2:13" x14ac:dyDescent="0.4">
      <c r="B16">
        <f t="shared" si="0"/>
        <v>130</v>
      </c>
      <c r="C16">
        <f t="shared" si="1"/>
        <v>263.18054639353568</v>
      </c>
      <c r="L16">
        <f t="shared" si="3"/>
        <v>86.666658000000027</v>
      </c>
      <c r="M16">
        <f t="shared" si="2"/>
        <v>175.45368005032074</v>
      </c>
    </row>
    <row r="17" spans="2:13" x14ac:dyDescent="0.4">
      <c r="B17">
        <f t="shared" si="0"/>
        <v>140</v>
      </c>
      <c r="C17">
        <f t="shared" si="1"/>
        <v>269.39933184772377</v>
      </c>
      <c r="L17">
        <f t="shared" si="3"/>
        <v>93.333324000000033</v>
      </c>
      <c r="M17">
        <f t="shared" si="2"/>
        <v>179.59953660519375</v>
      </c>
    </row>
    <row r="18" spans="2:13" x14ac:dyDescent="0.4">
      <c r="B18">
        <f t="shared" si="0"/>
        <v>150</v>
      </c>
      <c r="C18">
        <f t="shared" si="1"/>
        <v>274.95454169735041</v>
      </c>
      <c r="L18">
        <f t="shared" si="3"/>
        <v>99.999990000000039</v>
      </c>
      <c r="M18">
        <f t="shared" si="2"/>
        <v>183.30300946793085</v>
      </c>
    </row>
    <row r="19" spans="2:13" x14ac:dyDescent="0.4">
      <c r="B19">
        <f t="shared" si="0"/>
        <v>160</v>
      </c>
      <c r="C19">
        <f t="shared" si="1"/>
        <v>279.88569095257441</v>
      </c>
      <c r="L19">
        <f t="shared" si="3"/>
        <v>106.66665600000005</v>
      </c>
      <c r="M19">
        <f t="shared" si="2"/>
        <v>186.59044197600358</v>
      </c>
    </row>
    <row r="20" spans="2:13" x14ac:dyDescent="0.4">
      <c r="B20">
        <f t="shared" si="0"/>
        <v>170</v>
      </c>
      <c r="C20">
        <f t="shared" si="1"/>
        <v>284.22526277584831</v>
      </c>
      <c r="L20">
        <f t="shared" si="3"/>
        <v>113.33332200000005</v>
      </c>
      <c r="M20">
        <f t="shared" si="2"/>
        <v>189.48348956888137</v>
      </c>
    </row>
    <row r="21" spans="2:13" x14ac:dyDescent="0.4">
      <c r="B21">
        <f t="shared" si="0"/>
        <v>180</v>
      </c>
      <c r="C21">
        <f t="shared" si="1"/>
        <v>288</v>
      </c>
      <c r="L21">
        <f t="shared" si="3"/>
        <v>119.99998800000006</v>
      </c>
      <c r="M21">
        <f t="shared" si="2"/>
        <v>191.9999808</v>
      </c>
    </row>
    <row r="22" spans="2:13" x14ac:dyDescent="0.4">
      <c r="B22">
        <f t="shared" si="0"/>
        <v>190</v>
      </c>
      <c r="C22">
        <f t="shared" si="1"/>
        <v>291.23186638827838</v>
      </c>
      <c r="L22">
        <f t="shared" si="3"/>
        <v>126.66665400000007</v>
      </c>
      <c r="M22">
        <f t="shared" si="2"/>
        <v>194.15455817672782</v>
      </c>
    </row>
    <row r="23" spans="2:13" x14ac:dyDescent="0.4">
      <c r="B23">
        <f t="shared" si="0"/>
        <v>200</v>
      </c>
      <c r="C23">
        <f t="shared" si="1"/>
        <v>293.9387691339814</v>
      </c>
      <c r="L23">
        <f t="shared" si="3"/>
        <v>133.33332000000007</v>
      </c>
      <c r="M23">
        <f t="shared" si="2"/>
        <v>195.95915982673631</v>
      </c>
    </row>
    <row r="24" spans="2:13" x14ac:dyDescent="0.4">
      <c r="B24">
        <f t="shared" si="0"/>
        <v>210</v>
      </c>
      <c r="C24">
        <f t="shared" si="1"/>
        <v>296.13510430207356</v>
      </c>
      <c r="L24">
        <f t="shared" si="3"/>
        <v>139.99998600000006</v>
      </c>
      <c r="M24">
        <f t="shared" si="2"/>
        <v>197.4233831257088</v>
      </c>
    </row>
    <row r="25" spans="2:13" x14ac:dyDescent="0.4">
      <c r="B25">
        <f t="shared" si="0"/>
        <v>220</v>
      </c>
      <c r="C25">
        <f t="shared" si="1"/>
        <v>297.83216750378057</v>
      </c>
      <c r="L25">
        <f t="shared" si="3"/>
        <v>146.66665200000006</v>
      </c>
      <c r="M25">
        <f t="shared" si="2"/>
        <v>198.55475848037588</v>
      </c>
    </row>
    <row r="26" spans="2:13" x14ac:dyDescent="0.4">
      <c r="B26">
        <f t="shared" si="0"/>
        <v>230</v>
      </c>
      <c r="C26">
        <f t="shared" si="1"/>
        <v>299.03845906505069</v>
      </c>
      <c r="L26">
        <f t="shared" si="3"/>
        <v>153.33331800000005</v>
      </c>
      <c r="M26">
        <f t="shared" si="2"/>
        <v>199.35895277413653</v>
      </c>
    </row>
    <row r="27" spans="2:13" x14ac:dyDescent="0.4">
      <c r="B27">
        <f t="shared" si="0"/>
        <v>240</v>
      </c>
      <c r="C27">
        <f t="shared" si="1"/>
        <v>299.75990392312315</v>
      </c>
      <c r="L27">
        <f t="shared" si="3"/>
        <v>159.99998400000004</v>
      </c>
      <c r="M27">
        <f t="shared" si="2"/>
        <v>199.83991596475516</v>
      </c>
    </row>
    <row r="28" spans="2:13" x14ac:dyDescent="0.4">
      <c r="B28">
        <f t="shared" si="0"/>
        <v>250</v>
      </c>
      <c r="C28">
        <f t="shared" si="1"/>
        <v>300</v>
      </c>
      <c r="L28">
        <f t="shared" si="3"/>
        <v>166.66665000000003</v>
      </c>
      <c r="M28">
        <f t="shared" si="2"/>
        <v>199.99997999999999</v>
      </c>
    </row>
    <row r="29" spans="2:13" x14ac:dyDescent="0.4">
      <c r="B29">
        <f t="shared" si="0"/>
        <v>260</v>
      </c>
      <c r="C29">
        <f t="shared" si="1"/>
        <v>299.75990392312309</v>
      </c>
      <c r="L29">
        <f t="shared" si="3"/>
        <v>173.33331600000002</v>
      </c>
      <c r="M29">
        <f t="shared" si="2"/>
        <v>199.83991596475516</v>
      </c>
    </row>
    <row r="30" spans="2:13" x14ac:dyDescent="0.4">
      <c r="B30">
        <f t="shared" si="0"/>
        <v>270</v>
      </c>
      <c r="C30">
        <f t="shared" si="1"/>
        <v>299.03845906505069</v>
      </c>
      <c r="L30">
        <f t="shared" si="3"/>
        <v>179.99998200000002</v>
      </c>
      <c r="M30">
        <f t="shared" si="2"/>
        <v>199.35895277413653</v>
      </c>
    </row>
    <row r="31" spans="2:13" x14ac:dyDescent="0.4">
      <c r="B31">
        <f t="shared" si="0"/>
        <v>280</v>
      </c>
      <c r="C31">
        <f t="shared" si="1"/>
        <v>297.83216750378057</v>
      </c>
      <c r="L31">
        <f t="shared" si="3"/>
        <v>186.66664800000001</v>
      </c>
      <c r="M31">
        <f t="shared" si="2"/>
        <v>198.55475848037588</v>
      </c>
    </row>
    <row r="32" spans="2:13" x14ac:dyDescent="0.4">
      <c r="B32">
        <f t="shared" si="0"/>
        <v>290</v>
      </c>
      <c r="C32">
        <f t="shared" si="1"/>
        <v>296.13510430207356</v>
      </c>
      <c r="L32">
        <f t="shared" si="3"/>
        <v>193.333314</v>
      </c>
      <c r="M32">
        <f t="shared" si="2"/>
        <v>197.4233831257088</v>
      </c>
    </row>
    <row r="33" spans="2:13" x14ac:dyDescent="0.4">
      <c r="B33">
        <f t="shared" si="0"/>
        <v>300</v>
      </c>
      <c r="C33">
        <f t="shared" si="1"/>
        <v>293.9387691339814</v>
      </c>
      <c r="L33">
        <f t="shared" si="3"/>
        <v>199.99997999999999</v>
      </c>
      <c r="M33">
        <f t="shared" si="2"/>
        <v>195.95915982673631</v>
      </c>
    </row>
    <row r="34" spans="2:13" x14ac:dyDescent="0.4">
      <c r="B34">
        <f t="shared" si="0"/>
        <v>310</v>
      </c>
      <c r="C34">
        <f t="shared" si="1"/>
        <v>291.23186638827832</v>
      </c>
      <c r="L34">
        <f t="shared" si="3"/>
        <v>206.66664599999999</v>
      </c>
      <c r="M34">
        <f t="shared" si="2"/>
        <v>194.15455817672779</v>
      </c>
    </row>
    <row r="35" spans="2:13" x14ac:dyDescent="0.4">
      <c r="B35">
        <f t="shared" si="0"/>
        <v>320</v>
      </c>
      <c r="C35">
        <f t="shared" si="1"/>
        <v>288</v>
      </c>
      <c r="L35">
        <f t="shared" si="3"/>
        <v>213.33331199999998</v>
      </c>
      <c r="M35">
        <f t="shared" si="2"/>
        <v>191.9999808</v>
      </c>
    </row>
    <row r="36" spans="2:13" x14ac:dyDescent="0.4">
      <c r="B36">
        <f t="shared" ref="B36:B52" si="4">B35+($B$53-$B$3)/50</f>
        <v>330</v>
      </c>
      <c r="C36">
        <f t="shared" ref="C36:C53" si="5">SQRT(M^2*B36^2*(p0/B36-1))</f>
        <v>284.22526277584825</v>
      </c>
      <c r="L36">
        <f t="shared" si="3"/>
        <v>219.99997799999997</v>
      </c>
      <c r="M36">
        <f t="shared" ref="M36:M67" si="6">SQRT(M^2*L36^2*($L$53/L36-1))</f>
        <v>189.48348956888131</v>
      </c>
    </row>
    <row r="37" spans="2:13" x14ac:dyDescent="0.4">
      <c r="B37">
        <f t="shared" si="4"/>
        <v>340</v>
      </c>
      <c r="C37">
        <f t="shared" si="5"/>
        <v>279.88569095257446</v>
      </c>
      <c r="L37">
        <f t="shared" si="3"/>
        <v>226.66664399999996</v>
      </c>
      <c r="M37">
        <f t="shared" si="6"/>
        <v>186.5904419760036</v>
      </c>
    </row>
    <row r="38" spans="2:13" x14ac:dyDescent="0.4">
      <c r="B38">
        <f t="shared" si="4"/>
        <v>350</v>
      </c>
      <c r="C38">
        <f t="shared" si="5"/>
        <v>274.95454169735041</v>
      </c>
      <c r="L38">
        <f t="shared" si="3"/>
        <v>233.33330999999995</v>
      </c>
      <c r="M38">
        <f t="shared" si="6"/>
        <v>183.30300946793082</v>
      </c>
    </row>
    <row r="39" spans="2:13" x14ac:dyDescent="0.4">
      <c r="B39">
        <f t="shared" si="4"/>
        <v>360</v>
      </c>
      <c r="C39">
        <f t="shared" si="5"/>
        <v>269.39933184772377</v>
      </c>
      <c r="L39">
        <f t="shared" si="3"/>
        <v>239.99997599999995</v>
      </c>
      <c r="M39">
        <f t="shared" si="6"/>
        <v>179.59953660519378</v>
      </c>
    </row>
    <row r="40" spans="2:13" x14ac:dyDescent="0.4">
      <c r="B40">
        <f t="shared" si="4"/>
        <v>370</v>
      </c>
      <c r="C40">
        <f t="shared" si="5"/>
        <v>263.18054639353568</v>
      </c>
      <c r="L40">
        <f t="shared" si="3"/>
        <v>246.66664199999994</v>
      </c>
      <c r="M40">
        <f t="shared" si="6"/>
        <v>175.45368005032077</v>
      </c>
    </row>
    <row r="41" spans="2:13" x14ac:dyDescent="0.4">
      <c r="B41">
        <f t="shared" si="4"/>
        <v>380</v>
      </c>
      <c r="C41">
        <f t="shared" si="5"/>
        <v>256.2498780487515</v>
      </c>
      <c r="L41">
        <f t="shared" si="3"/>
        <v>253.33330799999993</v>
      </c>
      <c r="M41">
        <f t="shared" si="6"/>
        <v>170.83323494917582</v>
      </c>
    </row>
    <row r="42" spans="2:13" x14ac:dyDescent="0.4">
      <c r="B42">
        <f t="shared" si="4"/>
        <v>390</v>
      </c>
      <c r="C42">
        <f t="shared" si="5"/>
        <v>248.5477821264958</v>
      </c>
      <c r="L42">
        <f t="shared" si="3"/>
        <v>259.99997399999995</v>
      </c>
      <c r="M42">
        <f t="shared" si="6"/>
        <v>165.69850484781176</v>
      </c>
    </row>
    <row r="43" spans="2:13" x14ac:dyDescent="0.4">
      <c r="B43">
        <f t="shared" si="4"/>
        <v>400</v>
      </c>
      <c r="C43">
        <f t="shared" si="5"/>
        <v>240</v>
      </c>
      <c r="L43">
        <f t="shared" si="3"/>
        <v>266.66663999999997</v>
      </c>
      <c r="M43">
        <f t="shared" si="6"/>
        <v>159.99998400000004</v>
      </c>
    </row>
    <row r="44" spans="2:13" x14ac:dyDescent="0.4">
      <c r="B44">
        <f t="shared" si="4"/>
        <v>410</v>
      </c>
      <c r="C44">
        <f t="shared" si="5"/>
        <v>230.51247254758255</v>
      </c>
      <c r="L44">
        <f t="shared" si="3"/>
        <v>273.33330599999999</v>
      </c>
      <c r="M44">
        <f t="shared" si="6"/>
        <v>153.67496633089019</v>
      </c>
    </row>
    <row r="45" spans="2:13" x14ac:dyDescent="0.4">
      <c r="B45">
        <f t="shared" si="4"/>
        <v>420</v>
      </c>
      <c r="C45">
        <f t="shared" si="5"/>
        <v>219.96363335788033</v>
      </c>
      <c r="L45">
        <f t="shared" si="3"/>
        <v>279.99997200000001</v>
      </c>
      <c r="M45">
        <f t="shared" si="6"/>
        <v>146.64240757434465</v>
      </c>
    </row>
    <row r="46" spans="2:13" x14ac:dyDescent="0.4">
      <c r="B46">
        <f t="shared" si="4"/>
        <v>430</v>
      </c>
      <c r="C46">
        <f t="shared" si="5"/>
        <v>208.19221887476971</v>
      </c>
      <c r="L46">
        <f t="shared" si="3"/>
        <v>286.66663800000003</v>
      </c>
      <c r="M46">
        <f t="shared" si="6"/>
        <v>138.79479870369846</v>
      </c>
    </row>
    <row r="47" spans="2:13" x14ac:dyDescent="0.4">
      <c r="B47">
        <f t="shared" si="4"/>
        <v>440</v>
      </c>
      <c r="C47">
        <f t="shared" si="5"/>
        <v>194.97692171126312</v>
      </c>
      <c r="L47">
        <f t="shared" si="3"/>
        <v>293.33330400000006</v>
      </c>
      <c r="M47">
        <f t="shared" si="6"/>
        <v>129.98460147571387</v>
      </c>
    </row>
    <row r="48" spans="2:13" x14ac:dyDescent="0.4">
      <c r="B48">
        <f t="shared" si="4"/>
        <v>450</v>
      </c>
      <c r="C48">
        <f t="shared" si="5"/>
        <v>180.00000000000003</v>
      </c>
      <c r="L48">
        <f t="shared" si="3"/>
        <v>299.99997000000008</v>
      </c>
      <c r="M48">
        <f t="shared" si="6"/>
        <v>119.99998799999995</v>
      </c>
    </row>
    <row r="49" spans="2:13" x14ac:dyDescent="0.4">
      <c r="B49">
        <f t="shared" si="4"/>
        <v>460</v>
      </c>
      <c r="C49">
        <f t="shared" si="5"/>
        <v>162.77591959500637</v>
      </c>
      <c r="L49">
        <f t="shared" si="3"/>
        <v>306.6666360000001</v>
      </c>
      <c r="M49">
        <f t="shared" si="6"/>
        <v>108.51726887827618</v>
      </c>
    </row>
    <row r="50" spans="2:13" x14ac:dyDescent="0.4">
      <c r="B50">
        <f t="shared" si="4"/>
        <v>470</v>
      </c>
      <c r="C50">
        <f t="shared" si="5"/>
        <v>142.49210504445497</v>
      </c>
      <c r="L50">
        <f t="shared" si="3"/>
        <v>313.33330200000012</v>
      </c>
      <c r="M50">
        <f t="shared" si="6"/>
        <v>94.994727196829359</v>
      </c>
    </row>
    <row r="51" spans="2:13" x14ac:dyDescent="0.4">
      <c r="B51">
        <f t="shared" si="4"/>
        <v>480</v>
      </c>
      <c r="C51">
        <f t="shared" si="5"/>
        <v>117.57550765359265</v>
      </c>
      <c r="L51">
        <f t="shared" si="3"/>
        <v>319.99996800000014</v>
      </c>
      <c r="M51">
        <f t="shared" si="6"/>
        <v>78.383663930694212</v>
      </c>
    </row>
    <row r="52" spans="2:13" x14ac:dyDescent="0.4">
      <c r="B52">
        <f t="shared" si="4"/>
        <v>490</v>
      </c>
      <c r="C52">
        <f t="shared" si="5"/>
        <v>84.000000000000043</v>
      </c>
      <c r="L52">
        <f t="shared" si="3"/>
        <v>326.66663400000016</v>
      </c>
      <c r="M52">
        <f t="shared" si="6"/>
        <v>55.999994399999444</v>
      </c>
    </row>
    <row r="53" spans="2:13" x14ac:dyDescent="0.4">
      <c r="B53">
        <f>p0</f>
        <v>500</v>
      </c>
      <c r="C53">
        <f t="shared" si="5"/>
        <v>0</v>
      </c>
      <c r="L53">
        <v>333.33330000000001</v>
      </c>
      <c r="M53">
        <f t="shared" si="6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76"/>
  <sheetViews>
    <sheetView topLeftCell="A4" workbookViewId="0">
      <selection activeCell="D28" sqref="D28"/>
    </sheetView>
  </sheetViews>
  <sheetFormatPr defaultColWidth="9.1640625" defaultRowHeight="15" x14ac:dyDescent="0.5"/>
  <cols>
    <col min="1" max="1" width="3.44140625" style="12" customWidth="1"/>
    <col min="2" max="18" width="12" style="12" customWidth="1"/>
    <col min="19" max="16384" width="9.1640625" style="12"/>
  </cols>
  <sheetData>
    <row r="1" spans="1:13" s="6" customFormat="1" ht="15.6" x14ac:dyDescent="0.6">
      <c r="A1" s="10"/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6" customFormat="1" ht="15.6" x14ac:dyDescent="0.6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6" x14ac:dyDescent="0.6">
      <c r="A3" s="11"/>
      <c r="B3" s="10" t="s">
        <v>2</v>
      </c>
      <c r="C3" s="11"/>
      <c r="D3" s="11"/>
      <c r="E3" s="11"/>
      <c r="F3" s="10" t="s">
        <v>13</v>
      </c>
      <c r="G3" s="10"/>
      <c r="H3" s="11"/>
      <c r="I3" s="11"/>
      <c r="J3" s="11"/>
      <c r="K3" s="11"/>
      <c r="L3" s="11"/>
      <c r="M3" s="11"/>
    </row>
    <row r="4" spans="1:13" ht="15.6" x14ac:dyDescent="0.6">
      <c r="B4" s="13" t="s">
        <v>4</v>
      </c>
      <c r="C4" s="14">
        <v>1.2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6" x14ac:dyDescent="0.6">
      <c r="B5" s="13" t="s">
        <v>3</v>
      </c>
      <c r="C5" s="14">
        <f>C6-(C9-C8)*LN(2)</f>
        <v>1.7475895193733553</v>
      </c>
      <c r="D5" s="11"/>
      <c r="E5" s="11"/>
      <c r="F5" s="10" t="s">
        <v>9</v>
      </c>
      <c r="G5" s="11"/>
      <c r="H5" s="11"/>
      <c r="I5" s="11"/>
      <c r="J5" s="11"/>
      <c r="K5" s="11"/>
      <c r="L5" s="11"/>
      <c r="M5" s="11"/>
    </row>
    <row r="6" spans="1:13" ht="18" x14ac:dyDescent="0.8">
      <c r="B6" s="13" t="s">
        <v>8</v>
      </c>
      <c r="C6" s="14">
        <v>1.788</v>
      </c>
      <c r="D6" s="11"/>
      <c r="E6" s="11"/>
      <c r="F6" s="15" t="s">
        <v>35</v>
      </c>
      <c r="G6" s="14">
        <v>100</v>
      </c>
      <c r="H6" s="11" t="s">
        <v>10</v>
      </c>
      <c r="I6" s="11"/>
      <c r="J6" s="11"/>
      <c r="K6" s="11"/>
      <c r="L6" s="11"/>
      <c r="M6" s="11"/>
    </row>
    <row r="7" spans="1:13" ht="18" x14ac:dyDescent="0.8">
      <c r="B7" s="13"/>
      <c r="C7" s="14"/>
      <c r="D7" s="11"/>
      <c r="E7" s="11"/>
      <c r="F7" s="15" t="s">
        <v>36</v>
      </c>
      <c r="G7" s="14">
        <v>0</v>
      </c>
      <c r="H7" s="11" t="s">
        <v>10</v>
      </c>
      <c r="I7" s="11"/>
      <c r="J7" s="11"/>
      <c r="K7" s="11"/>
      <c r="L7" s="11"/>
      <c r="M7" s="11"/>
    </row>
    <row r="8" spans="1:13" ht="18" x14ac:dyDescent="0.8">
      <c r="B8" s="13" t="s">
        <v>5</v>
      </c>
      <c r="C8" s="14">
        <v>7.7000000000000002E-3</v>
      </c>
      <c r="D8" s="11"/>
      <c r="E8" s="11"/>
      <c r="F8" s="15" t="s">
        <v>37</v>
      </c>
      <c r="G8" s="11">
        <f>N-l*LN(p0)-k*LN(pinit/p0)</f>
        <v>1.390228537429878</v>
      </c>
      <c r="H8" s="11"/>
      <c r="I8" s="11"/>
      <c r="J8" s="11"/>
      <c r="K8" s="11"/>
      <c r="L8" s="11"/>
      <c r="M8" s="11"/>
    </row>
    <row r="9" spans="1:13" ht="15.6" x14ac:dyDescent="0.6">
      <c r="B9" s="13" t="s">
        <v>6</v>
      </c>
      <c r="C9" s="14">
        <v>6.6000000000000003E-2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8" x14ac:dyDescent="0.8">
      <c r="B10" s="6" t="s">
        <v>3</v>
      </c>
      <c r="C10" s="14">
        <v>20000</v>
      </c>
      <c r="D10" s="11" t="s">
        <v>10</v>
      </c>
      <c r="E10" s="11"/>
      <c r="F10" s="15" t="s">
        <v>38</v>
      </c>
      <c r="G10" s="11">
        <f>G6-1/3*G7</f>
        <v>100</v>
      </c>
      <c r="H10" s="11" t="s">
        <v>10</v>
      </c>
      <c r="I10" s="11"/>
      <c r="J10" s="11"/>
      <c r="K10" s="11"/>
      <c r="L10" s="11"/>
      <c r="M10" s="11"/>
    </row>
    <row r="11" spans="1:13" ht="15.6" x14ac:dyDescent="0.6">
      <c r="B11" s="13" t="s">
        <v>7</v>
      </c>
      <c r="C11" s="14">
        <v>0.3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8.600000000000001" x14ac:dyDescent="0.8">
      <c r="B12" s="6" t="s">
        <v>39</v>
      </c>
      <c r="C12" s="14">
        <v>500</v>
      </c>
      <c r="D12" s="11" t="s">
        <v>10</v>
      </c>
      <c r="E12" s="11"/>
      <c r="F12" s="10" t="s">
        <v>14</v>
      </c>
      <c r="G12" s="11"/>
      <c r="H12" s="11"/>
      <c r="I12" s="11"/>
      <c r="J12" s="11"/>
      <c r="K12" s="11"/>
      <c r="L12" s="11"/>
      <c r="M12" s="11"/>
    </row>
    <row r="13" spans="1:13" ht="18" x14ac:dyDescent="0.8">
      <c r="B13" s="6"/>
      <c r="C13" s="11"/>
      <c r="D13" s="11"/>
      <c r="E13" s="11"/>
      <c r="F13" s="15" t="s">
        <v>40</v>
      </c>
      <c r="G13" s="15" t="s">
        <v>41</v>
      </c>
      <c r="H13" s="15" t="s">
        <v>42</v>
      </c>
      <c r="I13" s="11"/>
      <c r="J13" s="11"/>
      <c r="K13" s="11"/>
      <c r="L13" s="11"/>
      <c r="M13" s="11"/>
    </row>
    <row r="14" spans="1:13" ht="18.600000000000001" x14ac:dyDescent="0.8">
      <c r="B14" s="6" t="s">
        <v>43</v>
      </c>
      <c r="C14" s="11">
        <f>M/SQRT(3)</f>
        <v>0.69282032302755092</v>
      </c>
      <c r="D14" s="11"/>
      <c r="E14" s="11"/>
      <c r="F14" s="11">
        <f>(M^2*p0+18*ph+M*SQRT(M^2*p0^2+36*(p0-ph)*ph))/(2*(9+M^2))</f>
        <v>197.79544749999275</v>
      </c>
      <c r="G14" s="11">
        <f>3*(F14-ph)</f>
        <v>293.38634249997824</v>
      </c>
      <c r="H14" s="11">
        <f>N-l*LN(p0)-k*LN(py/p0)</f>
        <v>1.3849766506569512</v>
      </c>
      <c r="I14" s="11"/>
      <c r="J14" s="11"/>
      <c r="K14" s="11"/>
      <c r="L14" s="11"/>
      <c r="M14" s="11"/>
    </row>
    <row r="15" spans="1:13" ht="15.6" x14ac:dyDescent="0.6">
      <c r="B15" s="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5.6" x14ac:dyDescent="0.6">
      <c r="B16" s="6"/>
      <c r="C16" s="11"/>
      <c r="D16" s="11"/>
      <c r="E16" s="11"/>
      <c r="F16" s="10" t="s">
        <v>15</v>
      </c>
      <c r="G16" s="11"/>
      <c r="H16" s="11"/>
      <c r="I16" s="11"/>
      <c r="J16" s="11"/>
      <c r="K16" s="11"/>
      <c r="L16" s="11"/>
      <c r="M16" s="11"/>
    </row>
    <row r="17" spans="1:32" ht="18" x14ac:dyDescent="0.8">
      <c r="B17" s="6"/>
      <c r="C17" s="11"/>
      <c r="D17" s="11"/>
      <c r="E17" s="11"/>
      <c r="F17" s="15" t="s">
        <v>44</v>
      </c>
      <c r="G17" s="15" t="s">
        <v>45</v>
      </c>
      <c r="H17" s="11"/>
      <c r="I17" s="11"/>
      <c r="J17" s="11"/>
      <c r="K17" s="11"/>
      <c r="L17" s="11"/>
      <c r="M17" s="11"/>
    </row>
    <row r="18" spans="1:32" ht="15.6" x14ac:dyDescent="0.6">
      <c r="B18" s="6"/>
      <c r="C18" s="11"/>
      <c r="D18" s="11"/>
      <c r="E18" s="11"/>
      <c r="F18" s="11">
        <f>3*ph/(3-C4)</f>
        <v>166.66666666666666</v>
      </c>
      <c r="G18" s="11">
        <f>C4*F18</f>
        <v>199.99999999999997</v>
      </c>
      <c r="H18" s="11"/>
      <c r="I18" s="11"/>
      <c r="J18" s="11"/>
      <c r="K18" s="11"/>
      <c r="L18" s="11"/>
      <c r="M18" s="11"/>
    </row>
    <row r="19" spans="1:32" ht="15.6" x14ac:dyDescent="0.6">
      <c r="B19" s="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32" ht="15.6" x14ac:dyDescent="0.6">
      <c r="B20" s="6"/>
      <c r="C20" s="11"/>
      <c r="D20" s="11"/>
      <c r="E20" s="11"/>
      <c r="F20" s="10" t="s">
        <v>17</v>
      </c>
      <c r="G20" s="10"/>
      <c r="H20" s="11"/>
      <c r="I20" s="11"/>
      <c r="J20" s="11"/>
      <c r="K20" s="11"/>
      <c r="L20" s="11"/>
      <c r="M20" s="11"/>
    </row>
    <row r="21" spans="1:32" ht="15.6" x14ac:dyDescent="0.6">
      <c r="B21" s="6"/>
      <c r="C21" s="11"/>
      <c r="D21" s="11"/>
      <c r="E21" s="11"/>
      <c r="F21" s="10" t="s">
        <v>18</v>
      </c>
      <c r="G21" s="10" t="s">
        <v>19</v>
      </c>
      <c r="H21" s="11"/>
      <c r="I21" s="11"/>
      <c r="J21" s="11"/>
      <c r="K21" s="10"/>
      <c r="L21" s="10"/>
      <c r="M21" s="10"/>
      <c r="AE21" s="16"/>
      <c r="AF21" s="16"/>
    </row>
    <row r="22" spans="1:32" ht="15.6" x14ac:dyDescent="0.6">
      <c r="B22" s="6"/>
      <c r="C22" s="11"/>
      <c r="D22" s="11"/>
      <c r="E22" s="11"/>
      <c r="F22" s="17">
        <f>k/vy*LN(1+(qy-qinit)/3/pinit)</f>
        <v>3.7920399383163817E-3</v>
      </c>
      <c r="G22" s="17">
        <f>(qy-qinit)/3/G</f>
        <v>4.8897723749996369E-3</v>
      </c>
      <c r="H22" s="11"/>
      <c r="I22" s="11"/>
      <c r="J22" s="11"/>
      <c r="K22" s="11"/>
      <c r="L22" s="11"/>
      <c r="M22" s="11"/>
    </row>
    <row r="23" spans="1:32" ht="15.6" x14ac:dyDescent="0.6">
      <c r="C23" s="11"/>
      <c r="D23" s="11"/>
      <c r="E23" s="11"/>
      <c r="F23" s="11"/>
      <c r="G23" s="11"/>
      <c r="H23" s="11"/>
      <c r="I23" s="23" t="s">
        <v>24</v>
      </c>
      <c r="J23" s="24"/>
      <c r="K23" s="24"/>
      <c r="L23" s="24"/>
      <c r="M23" s="25"/>
      <c r="N23" s="23" t="s">
        <v>27</v>
      </c>
      <c r="O23" s="24"/>
      <c r="P23" s="24"/>
      <c r="Q23" s="24"/>
      <c r="R23" s="26"/>
    </row>
    <row r="24" spans="1:32" s="16" customFormat="1" ht="31.2" x14ac:dyDescent="0.4">
      <c r="A24" s="18"/>
      <c r="B24" s="19" t="s">
        <v>46</v>
      </c>
      <c r="C24" s="19" t="s">
        <v>47</v>
      </c>
      <c r="D24" s="18" t="s">
        <v>0</v>
      </c>
      <c r="E24" s="18" t="s">
        <v>1</v>
      </c>
      <c r="F24" s="18" t="s">
        <v>48</v>
      </c>
      <c r="G24" s="18" t="s">
        <v>16</v>
      </c>
      <c r="H24" s="7" t="s">
        <v>29</v>
      </c>
      <c r="I24" s="8" t="s">
        <v>25</v>
      </c>
      <c r="J24" s="8" t="s">
        <v>26</v>
      </c>
      <c r="K24" s="8" t="s">
        <v>30</v>
      </c>
      <c r="L24" s="8" t="s">
        <v>31</v>
      </c>
      <c r="M24" s="8" t="s">
        <v>25</v>
      </c>
      <c r="N24" s="8" t="s">
        <v>26</v>
      </c>
      <c r="O24" s="8" t="s">
        <v>28</v>
      </c>
      <c r="P24" s="8" t="s">
        <v>32</v>
      </c>
      <c r="Q24" s="8" t="s">
        <v>33</v>
      </c>
      <c r="R24" s="9" t="s">
        <v>34</v>
      </c>
    </row>
    <row r="25" spans="1:32" s="11" customFormat="1" ht="15.6" x14ac:dyDescent="0.6">
      <c r="A25" s="20">
        <v>1</v>
      </c>
      <c r="B25" s="20">
        <f t="shared" ref="B25:B60" si="0">D25+2*E25/3</f>
        <v>100</v>
      </c>
      <c r="C25" s="20">
        <f t="shared" ref="C25:C60" si="1">D25-E25/3</f>
        <v>100</v>
      </c>
      <c r="D25" s="20">
        <f>pinit</f>
        <v>100</v>
      </c>
      <c r="E25" s="28">
        <f>qinit</f>
        <v>0</v>
      </c>
      <c r="F25" s="20">
        <f t="shared" ref="F25:F60" si="2">D25*(E25^2/M^2/D25^2+1)</f>
        <v>100</v>
      </c>
      <c r="G25" s="20">
        <f>N-l*LN(p0/1)-k*LN(F25/p0)</f>
        <v>1.390228537429878</v>
      </c>
      <c r="H25" s="20">
        <f t="shared" ref="H25:H60" si="3">E25/D25</f>
        <v>0</v>
      </c>
      <c r="I25" s="20"/>
      <c r="J25" s="20"/>
      <c r="K25" s="20">
        <v>0</v>
      </c>
      <c r="L25" s="20">
        <f>IF($F25&gt;p0,(#REF!-#REF!),0)</f>
        <v>0</v>
      </c>
      <c r="M25" s="20"/>
      <c r="N25" s="20"/>
      <c r="O25" s="20"/>
      <c r="P25" s="20">
        <v>0</v>
      </c>
      <c r="Q25" s="20">
        <f>0</f>
        <v>0</v>
      </c>
      <c r="R25" s="20">
        <f>L25/3+Q25</f>
        <v>0</v>
      </c>
    </row>
    <row r="26" spans="1:32" s="11" customFormat="1" ht="15.6" x14ac:dyDescent="0.6">
      <c r="A26" s="20">
        <v>2</v>
      </c>
      <c r="B26" s="20">
        <f t="shared" si="0"/>
        <v>173.34658562499456</v>
      </c>
      <c r="C26" s="20">
        <f t="shared" si="1"/>
        <v>100</v>
      </c>
      <c r="D26" s="20">
        <f>D25+($D$29-$D$25)/4</f>
        <v>124.44886187499819</v>
      </c>
      <c r="E26" s="28">
        <f t="shared" ref="E26:E60" si="4">3*(D26-ph)</f>
        <v>73.34658562499456</v>
      </c>
      <c r="F26" s="20">
        <f t="shared" si="2"/>
        <v>154.46856424394906</v>
      </c>
      <c r="G26" s="20">
        <f>N-l*LN(p0/1)-k*LN(F26/p0)</f>
        <v>1.3868804201807039</v>
      </c>
      <c r="H26" s="20">
        <f t="shared" si="3"/>
        <v>0.58937128487898138</v>
      </c>
      <c r="I26" s="20"/>
      <c r="J26" s="20"/>
      <c r="K26" s="20">
        <f>k/G25*LN(D26/D25)</f>
        <v>1.211441231243294E-3</v>
      </c>
      <c r="L26" s="20">
        <f>L25+K26</f>
        <v>1.211441231243294E-3</v>
      </c>
      <c r="M26" s="20"/>
      <c r="N26" s="20"/>
      <c r="O26" s="20"/>
      <c r="P26" s="20">
        <f>+(E26-E25)/3/G</f>
        <v>1.2224430937499092E-3</v>
      </c>
      <c r="Q26" s="20">
        <f>Q25+P26</f>
        <v>1.2224430937499092E-3</v>
      </c>
      <c r="R26" s="20">
        <f t="shared" ref="R26:R59" si="5">L26/3+Q26</f>
        <v>1.6262568374976738E-3</v>
      </c>
    </row>
    <row r="27" spans="1:32" s="11" customFormat="1" ht="15.6" x14ac:dyDescent="0.6">
      <c r="A27" s="20">
        <v>3</v>
      </c>
      <c r="B27" s="20">
        <f t="shared" si="0"/>
        <v>246.69317124998912</v>
      </c>
      <c r="C27" s="20">
        <f t="shared" si="1"/>
        <v>100</v>
      </c>
      <c r="D27" s="20">
        <f>D26+($D$29-$D$25)/4</f>
        <v>148.89772374999637</v>
      </c>
      <c r="E27" s="28">
        <f t="shared" si="4"/>
        <v>146.69317124998912</v>
      </c>
      <c r="F27" s="20">
        <f t="shared" si="2"/>
        <v>249.25970913305946</v>
      </c>
      <c r="G27" s="20">
        <f>N-l*LN(p0/1)-k*LN(F27/p0)</f>
        <v>1.3831959335786235</v>
      </c>
      <c r="H27" s="20">
        <f t="shared" si="3"/>
        <v>0.98519418266118852</v>
      </c>
      <c r="I27" s="20"/>
      <c r="J27" s="20"/>
      <c r="K27" s="20">
        <f>k/G26*LN(D27/D26)</f>
        <v>9.9583835830563926E-4</v>
      </c>
      <c r="L27" s="20">
        <f t="shared" ref="L27:L59" si="6">L26+K27</f>
        <v>2.2072795895489335E-3</v>
      </c>
      <c r="M27" s="20"/>
      <c r="N27" s="20"/>
      <c r="O27" s="20"/>
      <c r="P27" s="20">
        <f>+(E27-E26)/3/G</f>
        <v>1.2224430937499092E-3</v>
      </c>
      <c r="Q27" s="20">
        <f t="shared" ref="Q27:Q59" si="7">Q26+P27</f>
        <v>2.4448861874998185E-3</v>
      </c>
      <c r="R27" s="20">
        <f t="shared" si="5"/>
        <v>3.1806460506827961E-3</v>
      </c>
    </row>
    <row r="28" spans="1:32" s="11" customFormat="1" ht="15.6" x14ac:dyDescent="0.6">
      <c r="A28" s="20">
        <v>4</v>
      </c>
      <c r="B28" s="20">
        <f t="shared" si="0"/>
        <v>320.03975687498371</v>
      </c>
      <c r="C28" s="20">
        <f t="shared" si="1"/>
        <v>100</v>
      </c>
      <c r="D28" s="20">
        <f>D27+($D$29-$D$25)/4</f>
        <v>173.34658562499456</v>
      </c>
      <c r="E28" s="28">
        <f t="shared" si="4"/>
        <v>220.03975687498368</v>
      </c>
      <c r="F28" s="20">
        <f t="shared" si="2"/>
        <v>367.31210286637383</v>
      </c>
      <c r="G28" s="20">
        <f>N-l*LN(p0/1)-k*LN(F28/p0)</f>
        <v>1.3802105162074623</v>
      </c>
      <c r="H28" s="20">
        <f t="shared" si="3"/>
        <v>1.2693630859912162</v>
      </c>
      <c r="I28" s="20"/>
      <c r="J28" s="20"/>
      <c r="K28" s="20">
        <f>k/G27*LN(D28/D27)</f>
        <v>8.4634183707083357E-4</v>
      </c>
      <c r="L28" s="20">
        <f t="shared" si="6"/>
        <v>3.0536214266197671E-3</v>
      </c>
      <c r="M28" s="20"/>
      <c r="N28" s="20"/>
      <c r="O28" s="20"/>
      <c r="P28" s="20">
        <f>+(E28-E27)/3/G</f>
        <v>1.2224430937499092E-3</v>
      </c>
      <c r="Q28" s="20">
        <f t="shared" si="7"/>
        <v>3.6673292812497279E-3</v>
      </c>
      <c r="R28" s="20">
        <f t="shared" si="5"/>
        <v>4.6852030901229835E-3</v>
      </c>
    </row>
    <row r="29" spans="1:32" s="11" customFormat="1" ht="15.6" x14ac:dyDescent="0.6">
      <c r="A29" s="20">
        <v>5</v>
      </c>
      <c r="B29" s="20">
        <f t="shared" si="0"/>
        <v>393.38634249997824</v>
      </c>
      <c r="C29" s="20">
        <f t="shared" si="1"/>
        <v>100</v>
      </c>
      <c r="D29" s="20">
        <f>py</f>
        <v>197.79544749999275</v>
      </c>
      <c r="E29" s="28">
        <f t="shared" si="4"/>
        <v>293.38634249997824</v>
      </c>
      <c r="F29" s="20">
        <f t="shared" si="2"/>
        <v>499.99999999999994</v>
      </c>
      <c r="G29" s="20">
        <f t="shared" ref="G29:G60" si="8">N-l*LN(F29/1)</f>
        <v>1.3778358655041354</v>
      </c>
      <c r="H29" s="20">
        <f t="shared" si="3"/>
        <v>1.4832815729997477</v>
      </c>
      <c r="I29" s="20"/>
      <c r="J29" s="20"/>
      <c r="K29" s="20">
        <f>k/G28*LN(D29/D28)</f>
        <v>7.3607705610878452E-4</v>
      </c>
      <c r="L29" s="20">
        <f t="shared" si="6"/>
        <v>3.7896984827285518E-3</v>
      </c>
      <c r="M29" s="20"/>
      <c r="N29" s="20"/>
      <c r="O29" s="20"/>
      <c r="P29" s="20">
        <f>+(E29-E28)/3/G</f>
        <v>1.2224430937499092E-3</v>
      </c>
      <c r="Q29" s="20">
        <f t="shared" si="7"/>
        <v>4.8897723749996369E-3</v>
      </c>
      <c r="R29" s="20">
        <f t="shared" si="5"/>
        <v>6.1530052025758212E-3</v>
      </c>
    </row>
    <row r="30" spans="1:32" s="11" customFormat="1" ht="15.6" x14ac:dyDescent="0.6">
      <c r="A30" s="20">
        <v>6</v>
      </c>
      <c r="B30" s="20">
        <f t="shared" si="0"/>
        <v>390.37387983868859</v>
      </c>
      <c r="C30" s="20">
        <f t="shared" si="1"/>
        <v>100</v>
      </c>
      <c r="D30" s="20">
        <f t="shared" ref="D30:D40" si="9">D29+($D$60-$D$29)/31</f>
        <v>196.79129327956286</v>
      </c>
      <c r="E30" s="28">
        <f t="shared" si="4"/>
        <v>290.37387983868859</v>
      </c>
      <c r="F30" s="20">
        <f t="shared" si="2"/>
        <v>494.33222797367716</v>
      </c>
      <c r="G30" s="20">
        <f t="shared" si="8"/>
        <v>1.3785882840512051</v>
      </c>
      <c r="H30" s="20">
        <f t="shared" si="3"/>
        <v>1.4755423118551376</v>
      </c>
      <c r="I30" s="20">
        <f t="shared" ref="I30:I59" si="10">((3-H29)/(3-H30))^(l)</f>
        <v>0.99966413878289684</v>
      </c>
      <c r="J30" s="20">
        <f t="shared" ref="J30:J59" si="11">( (M^2+H30^2)/(M^2+H29^2))^(-k+l)</f>
        <v>0.99963215852784149</v>
      </c>
      <c r="K30" s="20">
        <f>+LN(I30*J30)/G28</f>
        <v>-5.0994161055632531E-4</v>
      </c>
      <c r="L30" s="20">
        <f t="shared" si="6"/>
        <v>3.2797568721722264E-3</v>
      </c>
      <c r="M30" s="20">
        <f t="shared" ref="M30:M59" si="12">( (M-H30)/(M-H29) )^ ( (l-k)*3/M/(M-3))</f>
        <v>1.0022454609322502</v>
      </c>
      <c r="N30" s="20">
        <f t="shared" ref="N30:N59" si="13">( (M+H30)/(M+H29) )^ ( (l-k)*3/M/(M+3))</f>
        <v>0.99989976997887531</v>
      </c>
      <c r="O30" s="20">
        <f t="shared" ref="O30:O59" si="14">( (3-H30)/(3-H29) ) ^ ( 2*(l-k)*3/(3^2-M^2))</f>
        <v>1.0002355255419584</v>
      </c>
      <c r="P30" s="20">
        <f t="shared" ref="P30:P59" si="15">+LN(M30*N30*O30)/G29-(ATAN(H30/M)-ATAN(H29/M))*2*(l-k)/M/G29+(E30-E29)/3/G</f>
        <v>1.8563279210001688E-3</v>
      </c>
      <c r="Q30" s="20">
        <f t="shared" si="7"/>
        <v>6.7461002959998059E-3</v>
      </c>
      <c r="R30" s="20">
        <f t="shared" si="5"/>
        <v>7.8393525867238821E-3</v>
      </c>
    </row>
    <row r="31" spans="1:32" s="11" customFormat="1" ht="15.6" x14ac:dyDescent="0.6">
      <c r="A31" s="20">
        <v>7</v>
      </c>
      <c r="B31" s="20">
        <f t="shared" si="0"/>
        <v>387.36141717739895</v>
      </c>
      <c r="C31" s="20">
        <f t="shared" si="1"/>
        <v>100</v>
      </c>
      <c r="D31" s="20">
        <f t="shared" si="9"/>
        <v>195.78713905913298</v>
      </c>
      <c r="E31" s="28">
        <f t="shared" si="4"/>
        <v>287.36141717739895</v>
      </c>
      <c r="F31" s="20">
        <f t="shared" si="2"/>
        <v>488.6809947672233</v>
      </c>
      <c r="G31" s="20">
        <f t="shared" si="8"/>
        <v>1.3793471456657904</v>
      </c>
      <c r="H31" s="20">
        <f t="shared" si="3"/>
        <v>1.4677236643751563</v>
      </c>
      <c r="I31" s="20">
        <f t="shared" si="10"/>
        <v>0.99966242090455137</v>
      </c>
      <c r="J31" s="20">
        <f t="shared" si="11"/>
        <v>0.99962798666572983</v>
      </c>
      <c r="K31" s="20">
        <f t="shared" ref="K31:K59" si="16">+LN(I31*J31)/G29</f>
        <v>-5.1509664849326098E-4</v>
      </c>
      <c r="L31" s="20">
        <f t="shared" si="6"/>
        <v>2.7646602236789655E-3</v>
      </c>
      <c r="M31" s="20">
        <f t="shared" si="12"/>
        <v>1.0023335730691871</v>
      </c>
      <c r="N31" s="20">
        <f t="shared" si="13"/>
        <v>0.99989844709170705</v>
      </c>
      <c r="O31" s="20">
        <f t="shared" si="14"/>
        <v>1.0002367305647932</v>
      </c>
      <c r="P31" s="20">
        <f t="shared" si="15"/>
        <v>1.9219809801881238E-3</v>
      </c>
      <c r="Q31" s="20">
        <f t="shared" si="7"/>
        <v>8.6680812761879295E-3</v>
      </c>
      <c r="R31" s="20">
        <f t="shared" si="5"/>
        <v>9.5896346840809183E-3</v>
      </c>
    </row>
    <row r="32" spans="1:32" s="11" customFormat="1" ht="15.6" x14ac:dyDescent="0.6">
      <c r="A32" s="20">
        <v>8</v>
      </c>
      <c r="B32" s="20">
        <f t="shared" si="0"/>
        <v>384.3489545161093</v>
      </c>
      <c r="C32" s="20">
        <f t="shared" si="1"/>
        <v>100</v>
      </c>
      <c r="D32" s="20">
        <f t="shared" si="9"/>
        <v>194.7829848387031</v>
      </c>
      <c r="E32" s="28">
        <f t="shared" si="4"/>
        <v>284.3489545161093</v>
      </c>
      <c r="F32" s="20">
        <f t="shared" si="2"/>
        <v>483.04655616569772</v>
      </c>
      <c r="G32" s="20">
        <f t="shared" si="8"/>
        <v>1.380112539453429</v>
      </c>
      <c r="H32" s="20">
        <f t="shared" si="3"/>
        <v>1.4598244027915193</v>
      </c>
      <c r="I32" s="20">
        <f t="shared" si="10"/>
        <v>0.99966068536245412</v>
      </c>
      <c r="J32" s="20">
        <f t="shared" si="11"/>
        <v>0.99962375174576135</v>
      </c>
      <c r="K32" s="20">
        <f t="shared" si="16"/>
        <v>-5.191479424533071E-4</v>
      </c>
      <c r="L32" s="20">
        <f t="shared" si="6"/>
        <v>2.2455122812256585E-3</v>
      </c>
      <c r="M32" s="20">
        <f t="shared" si="12"/>
        <v>1.0024280055549322</v>
      </c>
      <c r="N32" s="20">
        <f t="shared" si="13"/>
        <v>0.99989709739718979</v>
      </c>
      <c r="O32" s="20">
        <f t="shared" si="14"/>
        <v>1.000237947981619</v>
      </c>
      <c r="P32" s="20">
        <f t="shared" si="15"/>
        <v>1.9921812995271309E-3</v>
      </c>
      <c r="Q32" s="20">
        <f t="shared" si="7"/>
        <v>1.0660262575715061E-2</v>
      </c>
      <c r="R32" s="20">
        <f t="shared" si="5"/>
        <v>1.1408766669456947E-2</v>
      </c>
    </row>
    <row r="33" spans="1:18" s="11" customFormat="1" ht="15.6" x14ac:dyDescent="0.6">
      <c r="A33" s="20">
        <v>9</v>
      </c>
      <c r="B33" s="20">
        <f t="shared" si="0"/>
        <v>381.33649185481966</v>
      </c>
      <c r="C33" s="20">
        <f t="shared" si="1"/>
        <v>100</v>
      </c>
      <c r="D33" s="20">
        <f t="shared" si="9"/>
        <v>193.77883061827322</v>
      </c>
      <c r="E33" s="28">
        <f t="shared" si="4"/>
        <v>281.33649185481966</v>
      </c>
      <c r="F33" s="20">
        <f t="shared" si="2"/>
        <v>477.42917325603179</v>
      </c>
      <c r="G33" s="20">
        <f t="shared" si="8"/>
        <v>1.3808845558364768</v>
      </c>
      <c r="H33" s="20">
        <f t="shared" si="3"/>
        <v>1.4518432738869558</v>
      </c>
      <c r="I33" s="20">
        <f t="shared" si="10"/>
        <v>0.99965893188276056</v>
      </c>
      <c r="J33" s="20">
        <f t="shared" si="11"/>
        <v>0.99961945284795861</v>
      </c>
      <c r="K33" s="20">
        <f t="shared" si="16"/>
        <v>-5.2325179701869754E-4</v>
      </c>
      <c r="L33" s="20">
        <f t="shared" si="6"/>
        <v>1.722260484206961E-3</v>
      </c>
      <c r="M33" s="20">
        <f t="shared" si="12"/>
        <v>1.0025294512171132</v>
      </c>
      <c r="N33" s="20">
        <f t="shared" si="13"/>
        <v>0.99989572015426564</v>
      </c>
      <c r="O33" s="20">
        <f t="shared" si="14"/>
        <v>1.0002391779846385</v>
      </c>
      <c r="P33" s="20">
        <f t="shared" si="15"/>
        <v>2.0674216279625481E-3</v>
      </c>
      <c r="Q33" s="20">
        <f t="shared" si="7"/>
        <v>1.2727684203677609E-2</v>
      </c>
      <c r="R33" s="20">
        <f t="shared" si="5"/>
        <v>1.3301771031746595E-2</v>
      </c>
    </row>
    <row r="34" spans="1:18" s="11" customFormat="1" ht="15.6" x14ac:dyDescent="0.6">
      <c r="A34" s="20">
        <v>10</v>
      </c>
      <c r="B34" s="20">
        <f t="shared" si="0"/>
        <v>378.32402919353001</v>
      </c>
      <c r="C34" s="20">
        <f t="shared" si="1"/>
        <v>100</v>
      </c>
      <c r="D34" s="20">
        <f t="shared" si="9"/>
        <v>192.77467639784334</v>
      </c>
      <c r="E34" s="28">
        <f t="shared" si="4"/>
        <v>278.32402919353001</v>
      </c>
      <c r="F34" s="20">
        <f t="shared" si="2"/>
        <v>471.82911256511505</v>
      </c>
      <c r="G34" s="20">
        <f t="shared" si="8"/>
        <v>1.3816632865549479</v>
      </c>
      <c r="H34" s="20">
        <f t="shared" si="3"/>
        <v>1.4437789983323959</v>
      </c>
      <c r="I34" s="20">
        <f t="shared" si="10"/>
        <v>0.99965716018593598</v>
      </c>
      <c r="J34" s="20">
        <f t="shared" si="11"/>
        <v>0.99961508905665974</v>
      </c>
      <c r="K34" s="20">
        <f t="shared" si="16"/>
        <v>-5.2740890096475001E-4</v>
      </c>
      <c r="L34" s="20">
        <f t="shared" si="6"/>
        <v>1.1948515832422109E-3</v>
      </c>
      <c r="M34" s="20">
        <f t="shared" si="12"/>
        <v>1.0026387077224264</v>
      </c>
      <c r="N34" s="20">
        <f t="shared" si="13"/>
        <v>0.99989431459569522</v>
      </c>
      <c r="O34" s="20">
        <f t="shared" si="14"/>
        <v>1.0002404207700484</v>
      </c>
      <c r="P34" s="20">
        <f t="shared" si="15"/>
        <v>2.1482689546997828E-3</v>
      </c>
      <c r="Q34" s="20">
        <f t="shared" si="7"/>
        <v>1.4875953158377392E-2</v>
      </c>
      <c r="R34" s="20">
        <f t="shared" si="5"/>
        <v>1.5274237019458129E-2</v>
      </c>
    </row>
    <row r="35" spans="1:18" s="11" customFormat="1" ht="15.6" x14ac:dyDescent="0.6">
      <c r="A35" s="20">
        <v>11</v>
      </c>
      <c r="B35" s="20">
        <f t="shared" si="0"/>
        <v>375.31156653224036</v>
      </c>
      <c r="C35" s="20">
        <f t="shared" si="1"/>
        <v>100</v>
      </c>
      <c r="D35" s="20">
        <f t="shared" si="9"/>
        <v>191.77052217741345</v>
      </c>
      <c r="E35" s="28">
        <f t="shared" si="4"/>
        <v>275.31156653224036</v>
      </c>
      <c r="F35" s="20">
        <f t="shared" si="2"/>
        <v>466.24664620221972</v>
      </c>
      <c r="G35" s="20">
        <f t="shared" si="8"/>
        <v>1.3824488246651878</v>
      </c>
      <c r="H35" s="20">
        <f t="shared" si="3"/>
        <v>1.4356302700033337</v>
      </c>
      <c r="I35" s="20">
        <f t="shared" si="10"/>
        <v>0.99965536998660709</v>
      </c>
      <c r="J35" s="20">
        <f t="shared" si="11"/>
        <v>0.99961065946256145</v>
      </c>
      <c r="K35" s="20">
        <f t="shared" si="16"/>
        <v>-5.3161993810768539E-4</v>
      </c>
      <c r="L35" s="20">
        <f t="shared" si="6"/>
        <v>6.6323164513452547E-4</v>
      </c>
      <c r="M35" s="20">
        <f t="shared" si="12"/>
        <v>1.0027566981815483</v>
      </c>
      <c r="N35" s="20">
        <f t="shared" si="13"/>
        <v>0.99989287992692411</v>
      </c>
      <c r="O35" s="20">
        <f t="shared" si="14"/>
        <v>1.000241676538145</v>
      </c>
      <c r="P35" s="20">
        <f t="shared" si="15"/>
        <v>2.2353790669644991E-3</v>
      </c>
      <c r="Q35" s="20">
        <f t="shared" si="7"/>
        <v>1.7111332225341891E-2</v>
      </c>
      <c r="R35" s="20">
        <f t="shared" si="5"/>
        <v>1.7332409440386734E-2</v>
      </c>
    </row>
    <row r="36" spans="1:18" s="11" customFormat="1" ht="15.6" x14ac:dyDescent="0.6">
      <c r="A36" s="20">
        <v>12</v>
      </c>
      <c r="B36" s="20">
        <f t="shared" si="0"/>
        <v>372.29910387095072</v>
      </c>
      <c r="C36" s="20">
        <f t="shared" si="1"/>
        <v>100</v>
      </c>
      <c r="D36" s="20">
        <f t="shared" si="9"/>
        <v>190.76636795698357</v>
      </c>
      <c r="E36" s="28">
        <f t="shared" si="4"/>
        <v>272.29910387095072</v>
      </c>
      <c r="F36" s="20">
        <f t="shared" si="2"/>
        <v>460.68205200592274</v>
      </c>
      <c r="G36" s="20">
        <f t="shared" si="8"/>
        <v>1.3832412645361516</v>
      </c>
      <c r="H36" s="20">
        <f t="shared" si="3"/>
        <v>1.4273957552745995</v>
      </c>
      <c r="I36" s="20">
        <f t="shared" si="10"/>
        <v>0.99965356099340874</v>
      </c>
      <c r="J36" s="20">
        <f t="shared" si="11"/>
        <v>0.99960616316497175</v>
      </c>
      <c r="K36" s="20">
        <f t="shared" si="16"/>
        <v>-5.3588558571061211E-4</v>
      </c>
      <c r="L36" s="20">
        <f t="shared" si="6"/>
        <v>1.2734605942391335E-4</v>
      </c>
      <c r="M36" s="20">
        <f t="shared" si="12"/>
        <v>1.0028844968128976</v>
      </c>
      <c r="N36" s="20">
        <f t="shared" si="13"/>
        <v>0.99989141532488968</v>
      </c>
      <c r="O36" s="20">
        <f t="shared" si="14"/>
        <v>1.0002429454934314</v>
      </c>
      <c r="P36" s="20">
        <f t="shared" si="15"/>
        <v>2.3295146755082439E-3</v>
      </c>
      <c r="Q36" s="20">
        <f t="shared" si="7"/>
        <v>1.9440846900850135E-2</v>
      </c>
      <c r="R36" s="20">
        <f t="shared" si="5"/>
        <v>1.9483295587324773E-2</v>
      </c>
    </row>
    <row r="37" spans="1:18" s="11" customFormat="1" ht="15.6" x14ac:dyDescent="0.6">
      <c r="A37" s="20">
        <v>13</v>
      </c>
      <c r="B37" s="20">
        <f t="shared" si="0"/>
        <v>369.28664120966107</v>
      </c>
      <c r="C37" s="20">
        <f t="shared" si="1"/>
        <v>100</v>
      </c>
      <c r="D37" s="20">
        <f t="shared" si="9"/>
        <v>189.76221373655369</v>
      </c>
      <c r="E37" s="28">
        <f t="shared" si="4"/>
        <v>269.28664120966107</v>
      </c>
      <c r="F37" s="20">
        <f t="shared" si="2"/>
        <v>455.13561369569322</v>
      </c>
      <c r="G37" s="20">
        <f t="shared" si="8"/>
        <v>1.3840407018430338</v>
      </c>
      <c r="H37" s="20">
        <f t="shared" si="3"/>
        <v>1.4190740922927412</v>
      </c>
      <c r="I37" s="20">
        <f t="shared" si="10"/>
        <v>0.99965173290882592</v>
      </c>
      <c r="J37" s="20">
        <f t="shared" si="11"/>
        <v>0.99960159927428804</v>
      </c>
      <c r="K37" s="20">
        <f t="shared" si="16"/>
        <v>-5.4020651273536632E-4</v>
      </c>
      <c r="L37" s="20">
        <f t="shared" si="6"/>
        <v>-4.1286045331145296E-4</v>
      </c>
      <c r="M37" s="20">
        <f t="shared" si="12"/>
        <v>1.0030233611763224</v>
      </c>
      <c r="N37" s="20">
        <f t="shared" si="13"/>
        <v>0.9998899199367679</v>
      </c>
      <c r="O37" s="20">
        <f t="shared" si="14"/>
        <v>1.0002442278447281</v>
      </c>
      <c r="P37" s="20">
        <f t="shared" si="15"/>
        <v>2.4315681717002459E-3</v>
      </c>
      <c r="Q37" s="20">
        <f t="shared" si="7"/>
        <v>2.1872415072550382E-2</v>
      </c>
      <c r="R37" s="20">
        <f t="shared" si="5"/>
        <v>2.1734794921446563E-2</v>
      </c>
    </row>
    <row r="38" spans="1:18" s="11" customFormat="1" ht="15.6" x14ac:dyDescent="0.6">
      <c r="A38" s="20">
        <v>14</v>
      </c>
      <c r="B38" s="20">
        <f t="shared" si="0"/>
        <v>366.27417854837142</v>
      </c>
      <c r="C38" s="20">
        <f t="shared" si="1"/>
        <v>100</v>
      </c>
      <c r="D38" s="20">
        <f t="shared" si="9"/>
        <v>188.75805951612381</v>
      </c>
      <c r="E38" s="28">
        <f t="shared" si="4"/>
        <v>266.27417854837142</v>
      </c>
      <c r="F38" s="20">
        <f t="shared" si="2"/>
        <v>449.60762102831831</v>
      </c>
      <c r="G38" s="20">
        <f t="shared" si="8"/>
        <v>1.3848472335579756</v>
      </c>
      <c r="H38" s="20">
        <f t="shared" si="3"/>
        <v>1.4106638902251809</v>
      </c>
      <c r="I38" s="20">
        <f t="shared" si="10"/>
        <v>0.99964988542903044</v>
      </c>
      <c r="J38" s="20">
        <f t="shared" si="11"/>
        <v>0.99959696691472133</v>
      </c>
      <c r="K38" s="20">
        <f t="shared" si="16"/>
        <v>-5.4458337792544686E-4</v>
      </c>
      <c r="L38" s="20">
        <f t="shared" si="6"/>
        <v>-9.5744383123689983E-4</v>
      </c>
      <c r="M38" s="20">
        <f t="shared" si="12"/>
        <v>1.0031747730267098</v>
      </c>
      <c r="N38" s="20">
        <f t="shared" si="13"/>
        <v>0.99988839287865205</v>
      </c>
      <c r="O38" s="20">
        <f t="shared" si="14"/>
        <v>1.0002455238052885</v>
      </c>
      <c r="P38" s="20">
        <f t="shared" si="15"/>
        <v>2.5425904587648668E-3</v>
      </c>
      <c r="Q38" s="20">
        <f t="shared" si="7"/>
        <v>2.4415005531315249E-2</v>
      </c>
      <c r="R38" s="20">
        <f t="shared" si="5"/>
        <v>2.4095857587569616E-2</v>
      </c>
    </row>
    <row r="39" spans="1:18" s="11" customFormat="1" ht="15.6" x14ac:dyDescent="0.6">
      <c r="A39" s="20">
        <v>15</v>
      </c>
      <c r="B39" s="20">
        <f t="shared" si="0"/>
        <v>363.26171588708178</v>
      </c>
      <c r="C39" s="20">
        <f t="shared" si="1"/>
        <v>100</v>
      </c>
      <c r="D39" s="20">
        <f t="shared" si="9"/>
        <v>187.75390529569393</v>
      </c>
      <c r="E39" s="28">
        <f t="shared" si="4"/>
        <v>263.26171588708178</v>
      </c>
      <c r="F39" s="20">
        <f t="shared" si="2"/>
        <v>444.0983699593483</v>
      </c>
      <c r="G39" s="20">
        <f t="shared" si="8"/>
        <v>1.3856609579375525</v>
      </c>
      <c r="H39" s="20">
        <f t="shared" si="3"/>
        <v>1.402163728485277</v>
      </c>
      <c r="I39" s="20">
        <f t="shared" si="10"/>
        <v>0.99964801824371297</v>
      </c>
      <c r="J39" s="20">
        <f t="shared" si="11"/>
        <v>0.99959226522728928</v>
      </c>
      <c r="K39" s="20">
        <f t="shared" si="16"/>
        <v>-5.4901682770475396E-4</v>
      </c>
      <c r="L39" s="20">
        <f t="shared" si="6"/>
        <v>-1.5064606589416537E-3</v>
      </c>
      <c r="M39" s="20">
        <f t="shared" si="12"/>
        <v>1.0033404906027712</v>
      </c>
      <c r="N39" s="20">
        <f t="shared" si="13"/>
        <v>0.99988683323416405</v>
      </c>
      <c r="O39" s="20">
        <f t="shared" si="14"/>
        <v>1.000246833592916</v>
      </c>
      <c r="P39" s="20">
        <f t="shared" si="15"/>
        <v>2.663827837233197E-3</v>
      </c>
      <c r="Q39" s="20">
        <f t="shared" si="7"/>
        <v>2.7078833368548445E-2</v>
      </c>
      <c r="R39" s="20">
        <f t="shared" si="5"/>
        <v>2.6576679815567893E-2</v>
      </c>
    </row>
    <row r="40" spans="1:18" s="11" customFormat="1" ht="15.6" x14ac:dyDescent="0.6">
      <c r="A40" s="20">
        <v>16</v>
      </c>
      <c r="B40" s="20">
        <f t="shared" si="0"/>
        <v>360.24925322579213</v>
      </c>
      <c r="C40" s="20">
        <f t="shared" si="1"/>
        <v>100</v>
      </c>
      <c r="D40" s="20">
        <f t="shared" si="9"/>
        <v>186.74975107526404</v>
      </c>
      <c r="E40" s="28">
        <f t="shared" si="4"/>
        <v>260.24925322579213</v>
      </c>
      <c r="F40" s="20">
        <f t="shared" si="2"/>
        <v>438.60816280975052</v>
      </c>
      <c r="G40" s="20">
        <f t="shared" si="8"/>
        <v>1.3864819745067156</v>
      </c>
      <c r="H40" s="20">
        <f t="shared" si="3"/>
        <v>1.3935721559323859</v>
      </c>
      <c r="I40" s="20">
        <f t="shared" si="10"/>
        <v>0.9996461310359086</v>
      </c>
      <c r="J40" s="20">
        <f t="shared" si="11"/>
        <v>0.99958749337310049</v>
      </c>
      <c r="K40" s="20">
        <f t="shared" si="16"/>
        <v>-5.5350749387832253E-4</v>
      </c>
      <c r="L40" s="20">
        <f t="shared" si="6"/>
        <v>-2.059968152819976E-3</v>
      </c>
      <c r="M40" s="20">
        <f t="shared" si="12"/>
        <v>1.0035226162687318</v>
      </c>
      <c r="N40" s="20">
        <f t="shared" si="13"/>
        <v>0.99988524005298973</v>
      </c>
      <c r="O40" s="20">
        <f t="shared" si="14"/>
        <v>1.0002481574300872</v>
      </c>
      <c r="P40" s="20">
        <f t="shared" si="15"/>
        <v>2.7967696985653793E-3</v>
      </c>
      <c r="Q40" s="20">
        <f t="shared" si="7"/>
        <v>2.9875603067113825E-2</v>
      </c>
      <c r="R40" s="20">
        <f t="shared" si="5"/>
        <v>2.9188947016173833E-2</v>
      </c>
    </row>
    <row r="41" spans="1:18" s="11" customFormat="1" ht="15.6" x14ac:dyDescent="0.6">
      <c r="A41" s="20">
        <v>17</v>
      </c>
      <c r="B41" s="20">
        <f t="shared" si="0"/>
        <v>357.23679056450248</v>
      </c>
      <c r="C41" s="20">
        <f t="shared" si="1"/>
        <v>100</v>
      </c>
      <c r="D41" s="20">
        <f t="shared" ref="D41:D59" si="17">D40+($D$60-$D$29)/31</f>
        <v>185.74559685483416</v>
      </c>
      <c r="E41" s="28">
        <f t="shared" si="4"/>
        <v>257.23679056450248</v>
      </c>
      <c r="F41" s="20">
        <f t="shared" si="2"/>
        <v>433.13730843796924</v>
      </c>
      <c r="G41" s="20">
        <f t="shared" si="8"/>
        <v>1.3873103840388341</v>
      </c>
      <c r="H41" s="20">
        <f t="shared" si="3"/>
        <v>1.3848876900459766</v>
      </c>
      <c r="I41" s="20">
        <f t="shared" si="10"/>
        <v>0.99964422348181847</v>
      </c>
      <c r="J41" s="20">
        <f t="shared" si="11"/>
        <v>0.99958265053695616</v>
      </c>
      <c r="K41" s="20">
        <f t="shared" si="16"/>
        <v>-5.5805599111559065E-4</v>
      </c>
      <c r="L41" s="20">
        <f t="shared" si="6"/>
        <v>-2.6180241439355666E-3</v>
      </c>
      <c r="M41" s="20">
        <f t="shared" si="12"/>
        <v>1.0037236850398892</v>
      </c>
      <c r="N41" s="20">
        <f t="shared" si="13"/>
        <v>0.99988361234933654</v>
      </c>
      <c r="O41" s="20">
        <f t="shared" si="14"/>
        <v>1.0002494955440766</v>
      </c>
      <c r="P41" s="20">
        <f t="shared" si="15"/>
        <v>2.9432109125853479E-3</v>
      </c>
      <c r="Q41" s="20">
        <f t="shared" si="7"/>
        <v>3.2818813979699171E-2</v>
      </c>
      <c r="R41" s="20">
        <f t="shared" si="5"/>
        <v>3.1946139265053984E-2</v>
      </c>
    </row>
    <row r="42" spans="1:18" s="11" customFormat="1" ht="15.6" x14ac:dyDescent="0.6">
      <c r="A42" s="20">
        <v>18</v>
      </c>
      <c r="B42" s="20">
        <f t="shared" si="0"/>
        <v>354.22432790321284</v>
      </c>
      <c r="C42" s="20">
        <f t="shared" si="1"/>
        <v>100</v>
      </c>
      <c r="D42" s="20">
        <f t="shared" si="17"/>
        <v>184.74144263440428</v>
      </c>
      <c r="E42" s="28">
        <f t="shared" si="4"/>
        <v>254.22432790321284</v>
      </c>
      <c r="F42" s="20">
        <f t="shared" si="2"/>
        <v>427.68612241759587</v>
      </c>
      <c r="G42" s="20">
        <f t="shared" si="8"/>
        <v>1.3881462885314524</v>
      </c>
      <c r="H42" s="20">
        <f t="shared" si="3"/>
        <v>1.376108816072809</v>
      </c>
      <c r="I42" s="20">
        <f t="shared" si="10"/>
        <v>0.99964229525062342</v>
      </c>
      <c r="J42" s="20">
        <f t="shared" si="11"/>
        <v>0.99957773593129784</v>
      </c>
      <c r="K42" s="20">
        <f t="shared" si="16"/>
        <v>-5.6266291419913373E-4</v>
      </c>
      <c r="L42" s="20">
        <f t="shared" si="6"/>
        <v>-3.1806870581347004E-3</v>
      </c>
      <c r="M42" s="20">
        <f t="shared" si="12"/>
        <v>1.0039467819243548</v>
      </c>
      <c r="N42" s="20">
        <f t="shared" si="13"/>
        <v>0.9998819491003077</v>
      </c>
      <c r="O42" s="20">
        <f t="shared" si="14"/>
        <v>1.000250848167088</v>
      </c>
      <c r="P42" s="20">
        <f t="shared" si="15"/>
        <v>3.1053344777327769E-3</v>
      </c>
      <c r="Q42" s="20">
        <f t="shared" si="7"/>
        <v>3.5924148457431949E-2</v>
      </c>
      <c r="R42" s="20">
        <f t="shared" si="5"/>
        <v>3.4863919438053718E-2</v>
      </c>
    </row>
    <row r="43" spans="1:18" s="11" customFormat="1" ht="15.6" x14ac:dyDescent="0.6">
      <c r="A43" s="20">
        <v>19</v>
      </c>
      <c r="B43" s="20">
        <f t="shared" si="0"/>
        <v>351.21186524192319</v>
      </c>
      <c r="C43" s="20">
        <f t="shared" si="1"/>
        <v>100</v>
      </c>
      <c r="D43" s="20">
        <f t="shared" si="17"/>
        <v>183.7372884139744</v>
      </c>
      <c r="E43" s="28">
        <f t="shared" si="4"/>
        <v>251.21186524192319</v>
      </c>
      <c r="F43" s="20">
        <f t="shared" si="2"/>
        <v>422.25492722086631</v>
      </c>
      <c r="G43" s="20">
        <f t="shared" si="8"/>
        <v>1.3889897911773397</v>
      </c>
      <c r="H43" s="20">
        <f t="shared" si="3"/>
        <v>1.3672339861461509</v>
      </c>
      <c r="I43" s="20">
        <f t="shared" si="10"/>
        <v>0.99964034600429374</v>
      </c>
      <c r="J43" s="20">
        <f t="shared" si="11"/>
        <v>0.99957274880053126</v>
      </c>
      <c r="K43" s="20">
        <f t="shared" si="16"/>
        <v>-5.673288350172181E-4</v>
      </c>
      <c r="L43" s="20">
        <f t="shared" si="6"/>
        <v>-3.7480158931519182E-3</v>
      </c>
      <c r="M43" s="20">
        <f t="shared" si="12"/>
        <v>1.0041956996551689</v>
      </c>
      <c r="N43" s="20">
        <f t="shared" si="13"/>
        <v>0.99988024924418695</v>
      </c>
      <c r="O43" s="20">
        <f t="shared" si="14"/>
        <v>1.0002522155363875</v>
      </c>
      <c r="P43" s="20">
        <f t="shared" si="15"/>
        <v>3.2858225541102879E-3</v>
      </c>
      <c r="Q43" s="20">
        <f t="shared" si="7"/>
        <v>3.9209971011542236E-2</v>
      </c>
      <c r="R43" s="20">
        <f t="shared" si="5"/>
        <v>3.7960632380491598E-2</v>
      </c>
    </row>
    <row r="44" spans="1:18" s="11" customFormat="1" ht="15.6" x14ac:dyDescent="0.6">
      <c r="A44" s="20">
        <v>20</v>
      </c>
      <c r="B44" s="20">
        <f t="shared" si="0"/>
        <v>348.19940258063355</v>
      </c>
      <c r="C44" s="20">
        <f t="shared" si="1"/>
        <v>100</v>
      </c>
      <c r="D44" s="20">
        <f t="shared" si="17"/>
        <v>182.73313419354452</v>
      </c>
      <c r="E44" s="28">
        <f t="shared" si="4"/>
        <v>248.19940258063355</v>
      </c>
      <c r="F44" s="20">
        <f t="shared" si="2"/>
        <v>416.84405240820809</v>
      </c>
      <c r="G44" s="20">
        <f t="shared" si="8"/>
        <v>1.3898409963303797</v>
      </c>
      <c r="H44" s="20">
        <f t="shared" si="3"/>
        <v>1.3582616183759506</v>
      </c>
      <c r="I44" s="20">
        <f t="shared" si="10"/>
        <v>0.99963837539739098</v>
      </c>
      <c r="J44" s="20">
        <f t="shared" si="11"/>
        <v>0.99956768842575949</v>
      </c>
      <c r="K44" s="20">
        <f t="shared" si="16"/>
        <v>-5.7205429927950754E-4</v>
      </c>
      <c r="L44" s="20">
        <f t="shared" si="6"/>
        <v>-4.3200701924314255E-3</v>
      </c>
      <c r="M44" s="20">
        <f t="shared" si="12"/>
        <v>1.0044751540250205</v>
      </c>
      <c r="N44" s="20">
        <f t="shared" si="13"/>
        <v>0.99987851167862907</v>
      </c>
      <c r="O44" s="20">
        <f t="shared" si="14"/>
        <v>1.0002535978944436</v>
      </c>
      <c r="P44" s="20">
        <f t="shared" si="15"/>
        <v>3.4880079451556001E-3</v>
      </c>
      <c r="Q44" s="20">
        <f t="shared" si="7"/>
        <v>4.2697978956697837E-2</v>
      </c>
      <c r="R44" s="20">
        <f t="shared" si="5"/>
        <v>4.1257955559220696E-2</v>
      </c>
    </row>
    <row r="45" spans="1:18" s="11" customFormat="1" ht="15.6" x14ac:dyDescent="0.6">
      <c r="A45" s="20">
        <v>21</v>
      </c>
      <c r="B45" s="20">
        <f t="shared" si="0"/>
        <v>345.1869399193439</v>
      </c>
      <c r="C45" s="20">
        <f t="shared" si="1"/>
        <v>100</v>
      </c>
      <c r="D45" s="20">
        <f t="shared" si="17"/>
        <v>181.72897997311463</v>
      </c>
      <c r="E45" s="28">
        <f t="shared" si="4"/>
        <v>245.1869399193439</v>
      </c>
      <c r="F45" s="20">
        <f t="shared" si="2"/>
        <v>411.45383482407084</v>
      </c>
      <c r="G45" s="20">
        <f t="shared" si="8"/>
        <v>1.3907000094657966</v>
      </c>
      <c r="H45" s="20">
        <f t="shared" si="3"/>
        <v>1.3491900959088494</v>
      </c>
      <c r="I45" s="20">
        <f t="shared" si="10"/>
        <v>0.99963638307686387</v>
      </c>
      <c r="J45" s="20">
        <f t="shared" si="11"/>
        <v>0.99956255412996131</v>
      </c>
      <c r="K45" s="20">
        <f t="shared" si="16"/>
        <v>-5.7683982293039245E-4</v>
      </c>
      <c r="L45" s="20">
        <f t="shared" si="6"/>
        <v>-4.8969100153618177E-3</v>
      </c>
      <c r="M45" s="20">
        <f t="shared" si="12"/>
        <v>1.0047910829650455</v>
      </c>
      <c r="N45" s="20">
        <f t="shared" si="13"/>
        <v>0.9998767352587502</v>
      </c>
      <c r="O45" s="20">
        <f t="shared" si="14"/>
        <v>1.0002549954890696</v>
      </c>
      <c r="P45" s="20">
        <f t="shared" si="15"/>
        <v>3.716084337037415E-3</v>
      </c>
      <c r="Q45" s="20">
        <f t="shared" si="7"/>
        <v>4.641406329373525E-2</v>
      </c>
      <c r="R45" s="20">
        <f t="shared" si="5"/>
        <v>4.478175995528131E-2</v>
      </c>
    </row>
    <row r="46" spans="1:18" s="11" customFormat="1" ht="15.6" x14ac:dyDescent="0.6">
      <c r="A46" s="20">
        <v>22</v>
      </c>
      <c r="B46" s="20">
        <f t="shared" si="0"/>
        <v>342.17447725805425</v>
      </c>
      <c r="C46" s="20">
        <f t="shared" si="1"/>
        <v>100</v>
      </c>
      <c r="D46" s="20">
        <f t="shared" si="17"/>
        <v>180.72482575268475</v>
      </c>
      <c r="E46" s="28">
        <f t="shared" si="4"/>
        <v>242.17447725805425</v>
      </c>
      <c r="F46" s="20">
        <f t="shared" si="2"/>
        <v>406.08461879928666</v>
      </c>
      <c r="G46" s="20">
        <f t="shared" si="8"/>
        <v>1.3915669371341783</v>
      </c>
      <c r="H46" s="20">
        <f t="shared" si="3"/>
        <v>1.3400177659568535</v>
      </c>
      <c r="I46" s="20">
        <f t="shared" si="10"/>
        <v>0.99963436868183797</v>
      </c>
      <c r="J46" s="20">
        <f t="shared" si="11"/>
        <v>0.99955734528365459</v>
      </c>
      <c r="K46" s="20">
        <f t="shared" si="16"/>
        <v>-5.8168588823502457E-4</v>
      </c>
      <c r="L46" s="20">
        <f t="shared" si="6"/>
        <v>-5.4785959035968425E-3</v>
      </c>
      <c r="M46" s="20">
        <f t="shared" si="12"/>
        <v>1.0051510700131434</v>
      </c>
      <c r="N46" s="20">
        <f t="shared" si="13"/>
        <v>0.99987491879511015</v>
      </c>
      <c r="O46" s="20">
        <f t="shared" si="14"/>
        <v>1.0002564085735719</v>
      </c>
      <c r="P46" s="20">
        <f t="shared" si="15"/>
        <v>3.9754037352901124E-3</v>
      </c>
      <c r="Q46" s="20">
        <f t="shared" si="7"/>
        <v>5.0389467029025359E-2</v>
      </c>
      <c r="R46" s="20">
        <f t="shared" si="5"/>
        <v>4.8563268394493077E-2</v>
      </c>
    </row>
    <row r="47" spans="1:18" s="11" customFormat="1" ht="15.6" x14ac:dyDescent="0.6">
      <c r="A47" s="20">
        <v>23</v>
      </c>
      <c r="B47" s="20">
        <f t="shared" si="0"/>
        <v>339.16201459676461</v>
      </c>
      <c r="C47" s="20">
        <f t="shared" si="1"/>
        <v>100</v>
      </c>
      <c r="D47" s="20">
        <f t="shared" si="17"/>
        <v>179.72067153225487</v>
      </c>
      <c r="E47" s="28">
        <f t="shared" si="4"/>
        <v>239.16201459676461</v>
      </c>
      <c r="F47" s="20">
        <f t="shared" si="2"/>
        <v>400.73675636021306</v>
      </c>
      <c r="G47" s="20">
        <f t="shared" si="8"/>
        <v>1.3924418869087045</v>
      </c>
      <c r="H47" s="20">
        <f t="shared" si="3"/>
        <v>1.3307429387934469</v>
      </c>
      <c r="I47" s="20">
        <f t="shared" si="10"/>
        <v>0.99963233184339717</v>
      </c>
      <c r="J47" s="20">
        <f t="shared" si="11"/>
        <v>0.99955206131108731</v>
      </c>
      <c r="K47" s="20">
        <f t="shared" si="16"/>
        <v>-5.8659293950912819E-4</v>
      </c>
      <c r="L47" s="20">
        <f t="shared" si="6"/>
        <v>-6.0651888431059705E-3</v>
      </c>
      <c r="M47" s="20">
        <f t="shared" si="12"/>
        <v>1.005564957053328</v>
      </c>
      <c r="N47" s="20">
        <f t="shared" si="13"/>
        <v>0.99987306105158125</v>
      </c>
      <c r="O47" s="20">
        <f t="shared" si="14"/>
        <v>1.0002578374069031</v>
      </c>
      <c r="P47" s="20">
        <f t="shared" si="15"/>
        <v>4.2729064460335598E-3</v>
      </c>
      <c r="Q47" s="20">
        <f t="shared" si="7"/>
        <v>5.4662373475058916E-2</v>
      </c>
      <c r="R47" s="20">
        <f t="shared" si="5"/>
        <v>5.2640643860690256E-2</v>
      </c>
    </row>
    <row r="48" spans="1:18" s="11" customFormat="1" ht="15.6" x14ac:dyDescent="0.6">
      <c r="A48" s="20">
        <v>24</v>
      </c>
      <c r="B48" s="20">
        <f t="shared" si="0"/>
        <v>336.14955193547496</v>
      </c>
      <c r="C48" s="20">
        <f t="shared" si="1"/>
        <v>100</v>
      </c>
      <c r="D48" s="20">
        <f t="shared" si="17"/>
        <v>178.71651731182499</v>
      </c>
      <c r="E48" s="28">
        <f t="shared" si="4"/>
        <v>236.14955193547496</v>
      </c>
      <c r="F48" s="20">
        <f t="shared" si="2"/>
        <v>395.41060744492751</v>
      </c>
      <c r="G48" s="20">
        <f t="shared" si="8"/>
        <v>1.393324967324939</v>
      </c>
      <c r="H48" s="20">
        <f t="shared" si="3"/>
        <v>1.3213638867158579</v>
      </c>
      <c r="I48" s="20">
        <f t="shared" si="10"/>
        <v>0.99963027218435896</v>
      </c>
      <c r="J48" s="20">
        <f t="shared" si="11"/>
        <v>0.99954670169700277</v>
      </c>
      <c r="K48" s="20">
        <f t="shared" si="16"/>
        <v>-5.915613784618286E-4</v>
      </c>
      <c r="L48" s="20">
        <f t="shared" si="6"/>
        <v>-6.6567502215677992E-3</v>
      </c>
      <c r="M48" s="20">
        <f t="shared" si="12"/>
        <v>1.0060457530200122</v>
      </c>
      <c r="N48" s="20">
        <f t="shared" si="13"/>
        <v>0.99987116074309534</v>
      </c>
      <c r="O48" s="20">
        <f t="shared" si="14"/>
        <v>1.0002592822538205</v>
      </c>
      <c r="P48" s="20">
        <f t="shared" si="15"/>
        <v>4.6177580797757863E-3</v>
      </c>
      <c r="Q48" s="20">
        <f t="shared" si="7"/>
        <v>5.9280131554834706E-2</v>
      </c>
      <c r="R48" s="20">
        <f t="shared" si="5"/>
        <v>5.7061214814312103E-2</v>
      </c>
    </row>
    <row r="49" spans="1:19" s="11" customFormat="1" ht="15.6" x14ac:dyDescent="0.6">
      <c r="A49" s="20">
        <v>25</v>
      </c>
      <c r="B49" s="20">
        <f t="shared" si="0"/>
        <v>333.13708927418531</v>
      </c>
      <c r="C49" s="20">
        <f t="shared" si="1"/>
        <v>100</v>
      </c>
      <c r="D49" s="20">
        <f t="shared" si="17"/>
        <v>177.7123630913951</v>
      </c>
      <c r="E49" s="28">
        <f t="shared" si="4"/>
        <v>233.13708927418531</v>
      </c>
      <c r="F49" s="20">
        <f t="shared" si="2"/>
        <v>390.10654012675087</v>
      </c>
      <c r="G49" s="20">
        <f t="shared" si="8"/>
        <v>1.394216287812482</v>
      </c>
      <c r="H49" s="20">
        <f t="shared" si="3"/>
        <v>1.311878842972146</v>
      </c>
      <c r="I49" s="20">
        <f t="shared" si="10"/>
        <v>0.99962818931904096</v>
      </c>
      <c r="J49" s="20">
        <f t="shared" si="11"/>
        <v>0.9995412659940287</v>
      </c>
      <c r="K49" s="20">
        <f t="shared" si="16"/>
        <v>-5.9659155911878008E-4</v>
      </c>
      <c r="L49" s="20">
        <f t="shared" si="6"/>
        <v>-7.2533417806865796E-3</v>
      </c>
      <c r="M49" s="20">
        <f t="shared" si="12"/>
        <v>1.0066110200633509</v>
      </c>
      <c r="N49" s="20">
        <f t="shared" si="13"/>
        <v>0.99986921653326133</v>
      </c>
      <c r="O49" s="20">
        <f t="shared" si="14"/>
        <v>1.0002607433850492</v>
      </c>
      <c r="P49" s="20">
        <f t="shared" si="15"/>
        <v>5.022320091204094E-3</v>
      </c>
      <c r="Q49" s="20">
        <f t="shared" si="7"/>
        <v>6.4302451646038802E-2</v>
      </c>
      <c r="R49" s="20">
        <f t="shared" si="5"/>
        <v>6.1884671052476609E-2</v>
      </c>
    </row>
    <row r="50" spans="1:19" s="11" customFormat="1" ht="15.6" x14ac:dyDescent="0.6">
      <c r="A50" s="20">
        <v>26</v>
      </c>
      <c r="B50" s="20">
        <f t="shared" si="0"/>
        <v>330.12462661289567</v>
      </c>
      <c r="C50" s="20">
        <f t="shared" si="1"/>
        <v>100</v>
      </c>
      <c r="D50" s="20">
        <f t="shared" si="17"/>
        <v>176.70820887096522</v>
      </c>
      <c r="E50" s="28">
        <f t="shared" si="4"/>
        <v>230.12462661289567</v>
      </c>
      <c r="F50" s="20">
        <f t="shared" si="2"/>
        <v>384.82493084539243</v>
      </c>
      <c r="G50" s="20">
        <f t="shared" si="8"/>
        <v>1.3951159586177226</v>
      </c>
      <c r="H50" s="20">
        <f t="shared" si="3"/>
        <v>1.3022860006517063</v>
      </c>
      <c r="I50" s="20">
        <f t="shared" si="10"/>
        <v>0.99962608285302079</v>
      </c>
      <c r="J50" s="20">
        <f t="shared" si="11"/>
        <v>0.99953575383074755</v>
      </c>
      <c r="K50" s="20">
        <f t="shared" si="16"/>
        <v>-6.0168378228758301E-4</v>
      </c>
      <c r="L50" s="20">
        <f t="shared" si="6"/>
        <v>-7.8550255629741619E-3</v>
      </c>
      <c r="M50" s="20">
        <f t="shared" si="12"/>
        <v>1.0072850581867689</v>
      </c>
      <c r="N50" s="20">
        <f t="shared" si="13"/>
        <v>0.99986722703184305</v>
      </c>
      <c r="O50" s="20">
        <f t="shared" si="14"/>
        <v>1.0002622210774512</v>
      </c>
      <c r="P50" s="20">
        <f t="shared" si="15"/>
        <v>5.5036772509037797E-3</v>
      </c>
      <c r="Q50" s="20">
        <f t="shared" si="7"/>
        <v>6.9806128896942585E-2</v>
      </c>
      <c r="R50" s="20">
        <f t="shared" si="5"/>
        <v>6.7187787042617866E-2</v>
      </c>
    </row>
    <row r="51" spans="1:19" s="11" customFormat="1" ht="15.6" x14ac:dyDescent="0.6">
      <c r="A51" s="20">
        <v>27</v>
      </c>
      <c r="B51" s="20">
        <f t="shared" si="0"/>
        <v>327.11216395160602</v>
      </c>
      <c r="C51" s="20">
        <f t="shared" si="1"/>
        <v>100</v>
      </c>
      <c r="D51" s="20">
        <f t="shared" si="17"/>
        <v>175.70405465053534</v>
      </c>
      <c r="E51" s="28">
        <f t="shared" si="4"/>
        <v>227.11216395160602</v>
      </c>
      <c r="F51" s="20">
        <f t="shared" si="2"/>
        <v>379.56616464602098</v>
      </c>
      <c r="G51" s="20">
        <f t="shared" si="8"/>
        <v>1.3960240907168637</v>
      </c>
      <c r="H51" s="20">
        <f t="shared" si="3"/>
        <v>1.2925835115377291</v>
      </c>
      <c r="I51" s="20">
        <f t="shared" si="10"/>
        <v>0.99962395238288659</v>
      </c>
      <c r="J51" s="20">
        <f t="shared" si="11"/>
        <v>0.99953016492050506</v>
      </c>
      <c r="K51" s="20">
        <f t="shared" si="16"/>
        <v>-6.068382895283792E-4</v>
      </c>
      <c r="L51" s="20">
        <f t="shared" si="6"/>
        <v>-8.4618638525025408E-3</v>
      </c>
      <c r="M51" s="20">
        <f t="shared" si="12"/>
        <v>1.0081024824761935</v>
      </c>
      <c r="N51" s="20">
        <f t="shared" si="13"/>
        <v>0.99986519079209102</v>
      </c>
      <c r="O51" s="20">
        <f t="shared" si="14"/>
        <v>1.0002637156142011</v>
      </c>
      <c r="P51" s="20">
        <f t="shared" si="15"/>
        <v>6.0861347125101273E-3</v>
      </c>
      <c r="Q51" s="20">
        <f t="shared" si="7"/>
        <v>7.5892263609452712E-2</v>
      </c>
      <c r="R51" s="20">
        <f t="shared" si="5"/>
        <v>7.3071642325285194E-2</v>
      </c>
    </row>
    <row r="52" spans="1:19" s="11" customFormat="1" ht="15.6" x14ac:dyDescent="0.6">
      <c r="A52" s="20">
        <v>28</v>
      </c>
      <c r="B52" s="20">
        <f t="shared" si="0"/>
        <v>324.09970129031637</v>
      </c>
      <c r="C52" s="20">
        <f t="shared" si="1"/>
        <v>100</v>
      </c>
      <c r="D52" s="20">
        <f t="shared" si="17"/>
        <v>174.69990043010546</v>
      </c>
      <c r="E52" s="28">
        <f t="shared" si="4"/>
        <v>224.09970129031637</v>
      </c>
      <c r="F52" s="20">
        <f t="shared" si="2"/>
        <v>374.33063542658039</v>
      </c>
      <c r="G52" s="20">
        <f t="shared" si="8"/>
        <v>1.3969407957183091</v>
      </c>
      <c r="H52" s="20">
        <f t="shared" si="3"/>
        <v>1.2827694849200841</v>
      </c>
      <c r="I52" s="20">
        <f t="shared" si="10"/>
        <v>0.9996217974959799</v>
      </c>
      <c r="J52" s="20">
        <f t="shared" si="11"/>
        <v>0.99952449907102492</v>
      </c>
      <c r="K52" s="20">
        <f t="shared" si="16"/>
        <v>-6.1205525658401447E-4</v>
      </c>
      <c r="L52" s="20">
        <f t="shared" si="6"/>
        <v>-9.0739191090865555E-3</v>
      </c>
      <c r="M52" s="20">
        <f t="shared" si="12"/>
        <v>1.0091143529769757</v>
      </c>
      <c r="N52" s="20">
        <f t="shared" si="13"/>
        <v>0.99986310630791431</v>
      </c>
      <c r="O52" s="20">
        <f t="shared" si="14"/>
        <v>1.0002652272849657</v>
      </c>
      <c r="P52" s="20">
        <f t="shared" si="15"/>
        <v>6.8054886004179837E-3</v>
      </c>
      <c r="Q52" s="20">
        <f t="shared" si="7"/>
        <v>8.269775220987069E-2</v>
      </c>
      <c r="R52" s="20">
        <f t="shared" si="5"/>
        <v>7.9673112506841837E-2</v>
      </c>
    </row>
    <row r="53" spans="1:19" s="11" customFormat="1" ht="15.6" x14ac:dyDescent="0.6">
      <c r="A53" s="20">
        <v>29</v>
      </c>
      <c r="B53" s="20">
        <f t="shared" si="0"/>
        <v>321.08723862902673</v>
      </c>
      <c r="C53" s="20">
        <f t="shared" si="1"/>
        <v>100</v>
      </c>
      <c r="D53" s="20">
        <f t="shared" si="17"/>
        <v>173.69574620967558</v>
      </c>
      <c r="E53" s="28">
        <f t="shared" si="4"/>
        <v>221.08723862902673</v>
      </c>
      <c r="F53" s="20">
        <f t="shared" si="2"/>
        <v>369.11874619368359</v>
      </c>
      <c r="G53" s="20">
        <f t="shared" si="8"/>
        <v>1.397866185753436</v>
      </c>
      <c r="H53" s="20">
        <f t="shared" si="3"/>
        <v>1.2728419863670286</v>
      </c>
      <c r="I53" s="20">
        <f t="shared" si="10"/>
        <v>0.99961961777012875</v>
      </c>
      <c r="J53" s="20">
        <f t="shared" si="11"/>
        <v>0.99951875619489872</v>
      </c>
      <c r="K53" s="20">
        <f t="shared" si="16"/>
        <v>-6.1733478622584125E-4</v>
      </c>
      <c r="L53" s="20">
        <f t="shared" si="6"/>
        <v>-9.6912538953123975E-3</v>
      </c>
      <c r="M53" s="20">
        <f t="shared" si="12"/>
        <v>1.0103992726339726</v>
      </c>
      <c r="N53" s="20">
        <f t="shared" si="13"/>
        <v>0.99986097201088497</v>
      </c>
      <c r="O53" s="20">
        <f t="shared" si="14"/>
        <v>1.0002667563860921</v>
      </c>
      <c r="P53" s="20">
        <f t="shared" si="15"/>
        <v>7.7167394479259865E-3</v>
      </c>
      <c r="Q53" s="20">
        <f t="shared" si="7"/>
        <v>9.0414491657796678E-2</v>
      </c>
      <c r="R53" s="20">
        <f t="shared" si="5"/>
        <v>8.7184073692692543E-2</v>
      </c>
    </row>
    <row r="54" spans="1:19" s="11" customFormat="1" ht="15.6" x14ac:dyDescent="0.6">
      <c r="A54" s="20">
        <v>30</v>
      </c>
      <c r="B54" s="20">
        <f t="shared" si="0"/>
        <v>318.07477596773708</v>
      </c>
      <c r="C54" s="20">
        <f t="shared" si="1"/>
        <v>100</v>
      </c>
      <c r="D54" s="20">
        <f t="shared" si="17"/>
        <v>172.69159198924569</v>
      </c>
      <c r="E54" s="28">
        <f t="shared" si="4"/>
        <v>218.07477596773708</v>
      </c>
      <c r="F54" s="20">
        <f t="shared" si="2"/>
        <v>363.93090932743553</v>
      </c>
      <c r="G54" s="20">
        <f t="shared" si="8"/>
        <v>1.3988003733546792</v>
      </c>
      <c r="H54" s="20">
        <f t="shared" si="3"/>
        <v>1.2627990364540598</v>
      </c>
      <c r="I54" s="20">
        <f t="shared" si="10"/>
        <v>0.99961741277337202</v>
      </c>
      <c r="J54" s="20">
        <f t="shared" si="11"/>
        <v>0.99951293632102911</v>
      </c>
      <c r="K54" s="20">
        <f t="shared" si="16"/>
        <v>-6.2267690046234766E-4</v>
      </c>
      <c r="L54" s="20">
        <f t="shared" si="6"/>
        <v>-1.0313930795774745E-2</v>
      </c>
      <c r="M54" s="20">
        <f t="shared" si="12"/>
        <v>1.0120848947535972</v>
      </c>
      <c r="N54" s="20">
        <f t="shared" si="13"/>
        <v>0.99985878626706037</v>
      </c>
      <c r="O54" s="20">
        <f t="shared" si="14"/>
        <v>1.0002683032208013</v>
      </c>
      <c r="P54" s="20">
        <f t="shared" si="15"/>
        <v>8.9089965465068942E-3</v>
      </c>
      <c r="Q54" s="20">
        <f t="shared" si="7"/>
        <v>9.9323488204303575E-2</v>
      </c>
      <c r="R54" s="20">
        <f t="shared" si="5"/>
        <v>9.5885511272378654E-2</v>
      </c>
    </row>
    <row r="55" spans="1:19" s="11" customFormat="1" ht="15.6" x14ac:dyDescent="0.6">
      <c r="A55" s="20">
        <v>31</v>
      </c>
      <c r="B55" s="20">
        <f t="shared" si="0"/>
        <v>315.06231330644744</v>
      </c>
      <c r="C55" s="20">
        <f t="shared" si="1"/>
        <v>100</v>
      </c>
      <c r="D55" s="20">
        <f t="shared" si="17"/>
        <v>171.68743776881581</v>
      </c>
      <c r="E55" s="28">
        <f t="shared" si="4"/>
        <v>215.06231330644744</v>
      </c>
      <c r="F55" s="20">
        <f t="shared" si="2"/>
        <v>358.76754685554738</v>
      </c>
      <c r="G55" s="20">
        <f t="shared" si="8"/>
        <v>1.3997434713197605</v>
      </c>
      <c r="H55" s="20">
        <f t="shared" si="3"/>
        <v>1.252638609448163</v>
      </c>
      <c r="I55" s="20">
        <f t="shared" si="10"/>
        <v>0.9996151820636745</v>
      </c>
      <c r="J55" s="20">
        <f t="shared" si="11"/>
        <v>0.99950703960710974</v>
      </c>
      <c r="K55" s="20">
        <f t="shared" si="16"/>
        <v>-6.2808153205740243E-4</v>
      </c>
      <c r="L55" s="20">
        <f t="shared" si="6"/>
        <v>-1.0942012327832148E-2</v>
      </c>
      <c r="M55" s="20">
        <f t="shared" si="12"/>
        <v>1.0143933774621181</v>
      </c>
      <c r="N55" s="20">
        <f t="shared" si="13"/>
        <v>0.99985654737361285</v>
      </c>
      <c r="O55" s="20">
        <f t="shared" si="14"/>
        <v>1.0002698680993887</v>
      </c>
      <c r="P55" s="20">
        <f t="shared" si="15"/>
        <v>1.0536858244363878E-2</v>
      </c>
      <c r="Q55" s="20">
        <f t="shared" si="7"/>
        <v>0.10986034644866745</v>
      </c>
      <c r="R55" s="20">
        <f t="shared" si="5"/>
        <v>0.10621300900605674</v>
      </c>
    </row>
    <row r="56" spans="1:19" s="11" customFormat="1" ht="15.6" x14ac:dyDescent="0.6">
      <c r="A56" s="20">
        <v>32</v>
      </c>
      <c r="B56" s="20">
        <f t="shared" si="0"/>
        <v>312.04985064515779</v>
      </c>
      <c r="C56" s="20">
        <f t="shared" si="1"/>
        <v>100</v>
      </c>
      <c r="D56" s="20">
        <f t="shared" si="17"/>
        <v>170.68328354838593</v>
      </c>
      <c r="E56" s="28">
        <f t="shared" si="4"/>
        <v>212.04985064515779</v>
      </c>
      <c r="F56" s="20">
        <f t="shared" si="2"/>
        <v>353.62909073712876</v>
      </c>
      <c r="G56" s="20">
        <f t="shared" si="8"/>
        <v>1.4006955925607978</v>
      </c>
      <c r="H56" s="20">
        <f t="shared" si="3"/>
        <v>1.2423586319456124</v>
      </c>
      <c r="I56" s="20">
        <f t="shared" si="10"/>
        <v>0.99961292518863076</v>
      </c>
      <c r="J56" s="20">
        <f t="shared" si="11"/>
        <v>0.9995010663532341</v>
      </c>
      <c r="K56" s="20">
        <f t="shared" si="16"/>
        <v>-6.3354851529652458E-4</v>
      </c>
      <c r="L56" s="20">
        <f t="shared" si="6"/>
        <v>-1.1575560843128673E-2</v>
      </c>
      <c r="M56" s="20">
        <f t="shared" si="12"/>
        <v>1.0177491302749362</v>
      </c>
      <c r="N56" s="20">
        <f t="shared" si="13"/>
        <v>0.99985425355525182</v>
      </c>
      <c r="O56" s="20">
        <f t="shared" si="14"/>
        <v>1.0002714513394304</v>
      </c>
      <c r="P56" s="20">
        <f t="shared" si="15"/>
        <v>1.2894421832301597E-2</v>
      </c>
      <c r="Q56" s="20">
        <f t="shared" si="7"/>
        <v>0.12275476828096904</v>
      </c>
      <c r="R56" s="20">
        <f t="shared" si="5"/>
        <v>0.11889624799992615</v>
      </c>
    </row>
    <row r="57" spans="1:19" s="11" customFormat="1" ht="15.6" x14ac:dyDescent="0.6">
      <c r="A57" s="20">
        <v>33</v>
      </c>
      <c r="B57" s="20">
        <f t="shared" si="0"/>
        <v>309.03738798386814</v>
      </c>
      <c r="C57" s="20">
        <f t="shared" si="1"/>
        <v>100</v>
      </c>
      <c r="D57" s="20">
        <f t="shared" si="17"/>
        <v>169.67912932795605</v>
      </c>
      <c r="E57" s="28">
        <f t="shared" si="4"/>
        <v>209.03738798386814</v>
      </c>
      <c r="F57" s="20">
        <f t="shared" si="2"/>
        <v>348.51598315655525</v>
      </c>
      <c r="G57" s="20">
        <f t="shared" si="8"/>
        <v>1.40165684993691</v>
      </c>
      <c r="H57" s="20">
        <f t="shared" si="3"/>
        <v>1.2319569814614053</v>
      </c>
      <c r="I57" s="20">
        <f t="shared" si="10"/>
        <v>0.99961064168516001</v>
      </c>
      <c r="J57" s="20">
        <f t="shared" si="11"/>
        <v>0.9994950170167306</v>
      </c>
      <c r="K57" s="20">
        <f t="shared" si="16"/>
        <v>-6.3907757593880819E-4</v>
      </c>
      <c r="L57" s="20">
        <f t="shared" si="6"/>
        <v>-1.2214638419067482E-2</v>
      </c>
      <c r="M57" s="20">
        <f t="shared" si="12"/>
        <v>1.0230787655835412</v>
      </c>
      <c r="N57" s="20">
        <f t="shared" si="13"/>
        <v>0.99985190296042359</v>
      </c>
      <c r="O57" s="20">
        <f t="shared" si="14"/>
        <v>1.0002730532660005</v>
      </c>
      <c r="P57" s="20">
        <f t="shared" si="15"/>
        <v>1.6619847027305866E-2</v>
      </c>
      <c r="Q57" s="20">
        <f t="shared" si="7"/>
        <v>0.13937461530827491</v>
      </c>
      <c r="R57" s="20">
        <f t="shared" si="5"/>
        <v>0.13530306916858575</v>
      </c>
    </row>
    <row r="58" spans="1:19" s="11" customFormat="1" ht="15.6" x14ac:dyDescent="0.6">
      <c r="A58" s="20">
        <v>34</v>
      </c>
      <c r="B58" s="20">
        <f t="shared" si="0"/>
        <v>306.0249253225785</v>
      </c>
      <c r="C58" s="20">
        <f t="shared" si="1"/>
        <v>100</v>
      </c>
      <c r="D58" s="20">
        <f t="shared" si="17"/>
        <v>168.67497510752617</v>
      </c>
      <c r="E58" s="28">
        <f t="shared" si="4"/>
        <v>206.0249253225785</v>
      </c>
      <c r="F58" s="20">
        <f t="shared" si="2"/>
        <v>343.42867682783339</v>
      </c>
      <c r="G58" s="20">
        <f t="shared" si="8"/>
        <v>1.4026273560688187</v>
      </c>
      <c r="H58" s="20">
        <f t="shared" si="3"/>
        <v>1.2214314849683106</v>
      </c>
      <c r="I58" s="20">
        <f t="shared" si="10"/>
        <v>0.99960833107918834</v>
      </c>
      <c r="J58" s="20">
        <f t="shared" si="11"/>
        <v>0.99948889222833415</v>
      </c>
      <c r="K58" s="20">
        <f t="shared" si="16"/>
        <v>-6.4466832028235266E-4</v>
      </c>
      <c r="L58" s="20">
        <f t="shared" si="6"/>
        <v>-1.2859306739349834E-2</v>
      </c>
      <c r="M58" s="20">
        <f t="shared" si="12"/>
        <v>1.0328797728542771</v>
      </c>
      <c r="N58" s="20">
        <f t="shared" si="13"/>
        <v>0.99984949365727216</v>
      </c>
      <c r="O58" s="20">
        <f t="shared" si="14"/>
        <v>1.0002746742118913</v>
      </c>
      <c r="P58" s="20">
        <f t="shared" si="15"/>
        <v>2.341607756761618E-2</v>
      </c>
      <c r="Q58" s="20">
        <f t="shared" si="7"/>
        <v>0.1627906928758911</v>
      </c>
      <c r="R58" s="20">
        <f t="shared" si="5"/>
        <v>0.15850425729610781</v>
      </c>
    </row>
    <row r="59" spans="1:19" s="11" customFormat="1" ht="15.6" x14ac:dyDescent="0.6">
      <c r="A59" s="20">
        <v>35</v>
      </c>
      <c r="B59" s="20">
        <f t="shared" si="0"/>
        <v>303.01246266128885</v>
      </c>
      <c r="C59" s="20">
        <f t="shared" si="1"/>
        <v>100</v>
      </c>
      <c r="D59" s="20">
        <f t="shared" si="17"/>
        <v>167.67082088709628</v>
      </c>
      <c r="E59" s="28">
        <f t="shared" si="4"/>
        <v>203.01246266128885</v>
      </c>
      <c r="F59" s="20">
        <f t="shared" si="2"/>
        <v>338.36763530990203</v>
      </c>
      <c r="G59" s="20">
        <f t="shared" si="8"/>
        <v>1.4036072231338093</v>
      </c>
      <c r="H59" s="20">
        <f t="shared" si="3"/>
        <v>1.2107799173834213</v>
      </c>
      <c r="I59" s="20">
        <f t="shared" si="10"/>
        <v>0.99960599288532193</v>
      </c>
      <c r="J59" s="20">
        <f t="shared" si="11"/>
        <v>0.9994826928098095</v>
      </c>
      <c r="K59" s="20">
        <f t="shared" si="16"/>
        <v>-6.503202232665009E-4</v>
      </c>
      <c r="L59" s="20">
        <f t="shared" si="6"/>
        <v>-1.3509626962616334E-2</v>
      </c>
      <c r="M59" s="20">
        <f t="shared" si="12"/>
        <v>1.0572193259792222</v>
      </c>
      <c r="N59" s="20">
        <f t="shared" si="13"/>
        <v>0.99984702362934563</v>
      </c>
      <c r="O59" s="20">
        <f t="shared" si="14"/>
        <v>1.0002763145178446</v>
      </c>
      <c r="P59" s="20">
        <f t="shared" si="15"/>
        <v>4.0011013753127087E-2</v>
      </c>
      <c r="Q59" s="20">
        <f t="shared" si="7"/>
        <v>0.2028017066290182</v>
      </c>
      <c r="R59" s="20">
        <f t="shared" si="5"/>
        <v>0.19829849764147942</v>
      </c>
    </row>
    <row r="60" spans="1:19" s="11" customFormat="1" ht="15.6" x14ac:dyDescent="0.6">
      <c r="A60" s="20">
        <v>36</v>
      </c>
      <c r="B60" s="20">
        <f t="shared" si="0"/>
        <v>300</v>
      </c>
      <c r="C60" s="20">
        <f t="shared" si="1"/>
        <v>100</v>
      </c>
      <c r="D60" s="20">
        <f>pcs</f>
        <v>166.66666666666666</v>
      </c>
      <c r="E60" s="20">
        <f t="shared" si="4"/>
        <v>199.99999999999997</v>
      </c>
      <c r="F60" s="20">
        <f t="shared" si="2"/>
        <v>333.33333333333331</v>
      </c>
      <c r="G60" s="20">
        <f t="shared" si="8"/>
        <v>1.4045965626392742</v>
      </c>
      <c r="H60" s="20">
        <f t="shared" si="3"/>
        <v>1.2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9" s="11" customFormat="1" ht="15.6" x14ac:dyDescent="0.6"/>
    <row r="62" spans="1:19" x14ac:dyDescent="0.5">
      <c r="O62" s="21"/>
      <c r="P62" s="21"/>
      <c r="Q62" s="21"/>
      <c r="R62" s="21"/>
      <c r="S62" s="21"/>
    </row>
    <row r="63" spans="1:19" s="21" customFormat="1" x14ac:dyDescent="0.4"/>
    <row r="64" spans="1:19" x14ac:dyDescent="0.5">
      <c r="C64" s="22"/>
      <c r="D64" s="22"/>
      <c r="E64" s="22"/>
    </row>
    <row r="65" spans="3:5" x14ac:dyDescent="0.5">
      <c r="C65" s="22"/>
      <c r="D65" s="22"/>
      <c r="E65" s="22"/>
    </row>
    <row r="66" spans="3:5" x14ac:dyDescent="0.5">
      <c r="C66" s="22"/>
      <c r="D66" s="22"/>
      <c r="E66" s="22"/>
    </row>
    <row r="67" spans="3:5" x14ac:dyDescent="0.5">
      <c r="C67" s="22"/>
      <c r="D67" s="22"/>
      <c r="E67" s="22"/>
    </row>
    <row r="68" spans="3:5" x14ac:dyDescent="0.5">
      <c r="C68" s="22"/>
      <c r="D68" s="22"/>
      <c r="E68" s="22"/>
    </row>
    <row r="69" spans="3:5" x14ac:dyDescent="0.5">
      <c r="C69" s="22"/>
      <c r="D69" s="22"/>
      <c r="E69" s="22"/>
    </row>
    <row r="70" spans="3:5" x14ac:dyDescent="0.5">
      <c r="C70" s="22"/>
      <c r="D70" s="22"/>
      <c r="E70" s="22"/>
    </row>
    <row r="71" spans="3:5" x14ac:dyDescent="0.5">
      <c r="C71" s="22"/>
      <c r="D71" s="22"/>
      <c r="E71" s="22"/>
    </row>
    <row r="72" spans="3:5" x14ac:dyDescent="0.5">
      <c r="C72" s="22"/>
      <c r="D72" s="22"/>
      <c r="E72" s="22"/>
    </row>
    <row r="73" spans="3:5" x14ac:dyDescent="0.5">
      <c r="C73" s="22"/>
      <c r="D73" s="22"/>
      <c r="E73" s="22"/>
    </row>
    <row r="74" spans="3:5" x14ac:dyDescent="0.5">
      <c r="C74" s="22"/>
      <c r="D74" s="22"/>
      <c r="E74" s="22"/>
    </row>
    <row r="75" spans="3:5" x14ac:dyDescent="0.5">
      <c r="C75" s="22"/>
      <c r="D75" s="22"/>
      <c r="E75" s="22"/>
    </row>
    <row r="76" spans="3:5" x14ac:dyDescent="0.5">
      <c r="C76" s="22"/>
      <c r="D76" s="22"/>
      <c r="E76" s="22"/>
    </row>
  </sheetData>
  <phoneticPr fontId="0" type="noConversion"/>
  <pageMargins left="0.17" right="0.18" top="0.22" bottom="0.2" header="0.19" footer="0.16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selection activeCell="H45" sqref="H45"/>
    </sheetView>
  </sheetViews>
  <sheetFormatPr defaultRowHeight="12.3" x14ac:dyDescent="0.4"/>
  <cols>
    <col min="2" max="2" width="19.83203125" customWidth="1"/>
    <col min="3" max="3" width="22.83203125" customWidth="1"/>
    <col min="4" max="4" width="16.83203125" customWidth="1"/>
    <col min="8" max="8" width="19.83203125" customWidth="1"/>
    <col min="9" max="9" width="22.83203125" customWidth="1"/>
    <col min="10" max="10" width="16.83203125" customWidth="1"/>
  </cols>
  <sheetData>
    <row r="1" spans="1:10" x14ac:dyDescent="0.4">
      <c r="A1" s="27" t="s">
        <v>51</v>
      </c>
      <c r="G1" s="27" t="s">
        <v>52</v>
      </c>
    </row>
    <row r="2" spans="1:10" ht="14.4" x14ac:dyDescent="0.55000000000000004">
      <c r="A2" s="2" t="s">
        <v>22</v>
      </c>
      <c r="B2" s="3" t="s">
        <v>23</v>
      </c>
      <c r="C2" s="3" t="s">
        <v>49</v>
      </c>
      <c r="D2" s="3" t="s">
        <v>50</v>
      </c>
      <c r="G2" s="3" t="s">
        <v>22</v>
      </c>
      <c r="H2" s="3" t="s">
        <v>23</v>
      </c>
      <c r="I2" s="3" t="s">
        <v>49</v>
      </c>
      <c r="J2" s="3" t="s">
        <v>50</v>
      </c>
    </row>
    <row r="3" spans="1:10" ht="14.4" x14ac:dyDescent="0.55000000000000004">
      <c r="A3" s="4">
        <v>1</v>
      </c>
      <c r="B3" s="5">
        <v>0</v>
      </c>
      <c r="C3" s="30">
        <v>3.1025000000000001E-20</v>
      </c>
      <c r="D3" s="32">
        <v>1.1336000000000001E-18</v>
      </c>
      <c r="G3" s="5">
        <v>1</v>
      </c>
      <c r="H3" s="37">
        <v>0</v>
      </c>
      <c r="I3" s="34">
        <v>3.4432E-20</v>
      </c>
      <c r="J3" s="36">
        <v>1.1155299999999999E-18</v>
      </c>
    </row>
    <row r="4" spans="1:10" ht="14.4" x14ac:dyDescent="0.55000000000000004">
      <c r="A4" s="4">
        <v>2</v>
      </c>
      <c r="B4" s="5">
        <v>27.852</v>
      </c>
      <c r="C4" s="29">
        <v>6.2140999999999997E-4</v>
      </c>
      <c r="D4" s="31">
        <v>4.7150799999999999E-4</v>
      </c>
      <c r="G4" s="5">
        <v>2</v>
      </c>
      <c r="H4" s="37">
        <v>27.54</v>
      </c>
      <c r="I4" s="33">
        <v>6.2208999999999995E-4</v>
      </c>
      <c r="J4" s="35">
        <v>4.8953799999999997E-4</v>
      </c>
    </row>
    <row r="5" spans="1:10" ht="14.4" x14ac:dyDescent="0.55000000000000004">
      <c r="A5" s="4">
        <v>3</v>
      </c>
      <c r="B5" s="5">
        <v>55.71</v>
      </c>
      <c r="C5" s="29">
        <v>1.2309E-3</v>
      </c>
      <c r="D5" s="31">
        <v>9.0720000000000004E-4</v>
      </c>
      <c r="G5" s="5">
        <v>3</v>
      </c>
      <c r="H5" s="37">
        <v>55.45</v>
      </c>
      <c r="I5" s="33">
        <v>1.2313999999999999E-3</v>
      </c>
      <c r="J5" s="35">
        <v>9.2153999999999999E-4</v>
      </c>
    </row>
    <row r="6" spans="1:10" ht="14.4" x14ac:dyDescent="0.55000000000000004">
      <c r="A6" s="4">
        <v>4</v>
      </c>
      <c r="B6" s="5">
        <v>83.56</v>
      </c>
      <c r="C6" s="29">
        <v>1.8295E-3</v>
      </c>
      <c r="D6" s="31">
        <v>1.31032E-3</v>
      </c>
      <c r="G6" s="5">
        <v>4</v>
      </c>
      <c r="H6" s="37">
        <v>83.34</v>
      </c>
      <c r="I6" s="33">
        <v>1.8299E-3</v>
      </c>
      <c r="J6" s="35">
        <v>1.32278E-3</v>
      </c>
    </row>
    <row r="7" spans="1:10" ht="14.4" x14ac:dyDescent="0.55000000000000004">
      <c r="A7" s="4">
        <v>5</v>
      </c>
      <c r="B7" s="5">
        <v>111.28</v>
      </c>
      <c r="C7" s="29">
        <v>2.4217000000000002E-3</v>
      </c>
      <c r="D7" s="31">
        <v>1.6867799999999999E-3</v>
      </c>
      <c r="G7" s="5">
        <v>5</v>
      </c>
      <c r="H7" s="37">
        <v>111.22</v>
      </c>
      <c r="I7" s="33">
        <v>2.4191E-3</v>
      </c>
      <c r="J7" s="35">
        <v>1.6963600000000001E-3</v>
      </c>
    </row>
    <row r="8" spans="1:10" ht="14.4" x14ac:dyDescent="0.55000000000000004">
      <c r="A8" s="4">
        <v>6</v>
      </c>
      <c r="B8" s="5">
        <v>111.36</v>
      </c>
      <c r="C8" s="29">
        <v>2.4819999999999998E-3</v>
      </c>
      <c r="D8" s="31">
        <v>1.7248400000000001E-3</v>
      </c>
      <c r="G8" s="5">
        <v>6</v>
      </c>
      <c r="H8" s="37">
        <v>113.85</v>
      </c>
      <c r="I8" s="33">
        <v>4.3447E-3</v>
      </c>
      <c r="J8" s="35">
        <v>2.5156800000000002E-3</v>
      </c>
    </row>
    <row r="9" spans="1:10" ht="14.4" x14ac:dyDescent="0.55000000000000004">
      <c r="A9" s="4">
        <v>7</v>
      </c>
      <c r="B9" s="5">
        <v>113.94</v>
      </c>
      <c r="C9" s="29">
        <v>4.2136999999999999E-3</v>
      </c>
      <c r="D9" s="31">
        <v>2.4483399999999998E-3</v>
      </c>
      <c r="G9" s="5">
        <v>7</v>
      </c>
      <c r="H9" s="37">
        <v>116.68</v>
      </c>
      <c r="I9" s="33">
        <v>6.3423999999999998E-3</v>
      </c>
      <c r="J9" s="35">
        <v>3.3134000000000002E-3</v>
      </c>
    </row>
    <row r="10" spans="1:10" ht="14.4" x14ac:dyDescent="0.55000000000000004">
      <c r="A10" s="4">
        <v>8</v>
      </c>
      <c r="B10" s="5">
        <v>116.77</v>
      </c>
      <c r="C10" s="29">
        <v>6.1615000000000003E-3</v>
      </c>
      <c r="D10" s="31">
        <v>3.2296999999999998E-3</v>
      </c>
      <c r="G10" s="5">
        <v>8</v>
      </c>
      <c r="H10" s="37">
        <v>119.53</v>
      </c>
      <c r="I10" s="33">
        <v>8.4162000000000004E-3</v>
      </c>
      <c r="J10" s="35">
        <v>4.1092000000000004E-3</v>
      </c>
    </row>
    <row r="11" spans="1:10" ht="14.4" x14ac:dyDescent="0.55000000000000004">
      <c r="A11" s="4">
        <v>9</v>
      </c>
      <c r="B11" s="5">
        <v>119.61</v>
      </c>
      <c r="C11" s="29">
        <v>8.1927000000000007E-3</v>
      </c>
      <c r="D11" s="31">
        <v>4.0106999999999999E-3</v>
      </c>
      <c r="G11" s="5">
        <v>9</v>
      </c>
      <c r="H11" s="37">
        <v>122.38</v>
      </c>
      <c r="I11" s="33">
        <v>1.0571000000000001E-2</v>
      </c>
      <c r="J11" s="35">
        <v>4.9036000000000001E-3</v>
      </c>
    </row>
    <row r="12" spans="1:10" ht="14.4" x14ac:dyDescent="0.55000000000000004">
      <c r="A12" s="4">
        <v>10</v>
      </c>
      <c r="B12" s="5">
        <v>122.46</v>
      </c>
      <c r="C12" s="29">
        <v>1.0302E-2</v>
      </c>
      <c r="D12" s="31">
        <v>4.7873999999999998E-3</v>
      </c>
      <c r="G12" s="5">
        <v>10</v>
      </c>
      <c r="H12" s="37">
        <v>125.54</v>
      </c>
      <c r="I12" s="33">
        <v>1.2810999999999999E-2</v>
      </c>
      <c r="J12" s="35">
        <v>5.6423999999999997E-3</v>
      </c>
    </row>
    <row r="13" spans="1:10" ht="14.4" x14ac:dyDescent="0.55000000000000004">
      <c r="A13" s="4">
        <v>11</v>
      </c>
      <c r="B13" s="5">
        <v>125.32</v>
      </c>
      <c r="C13" s="29">
        <v>1.2489E-2</v>
      </c>
      <c r="D13" s="31">
        <v>5.5579999999999996E-3</v>
      </c>
      <c r="G13" s="5">
        <v>11</v>
      </c>
      <c r="H13" s="37">
        <v>128.37</v>
      </c>
      <c r="I13" s="33">
        <v>1.5143999999999999E-2</v>
      </c>
      <c r="J13" s="35">
        <v>6.4092000000000003E-3</v>
      </c>
    </row>
    <row r="14" spans="1:10" ht="14.4" x14ac:dyDescent="0.55000000000000004">
      <c r="A14" s="4">
        <v>12</v>
      </c>
      <c r="B14" s="5">
        <v>128.16</v>
      </c>
      <c r="C14" s="29">
        <v>1.4755000000000001E-2</v>
      </c>
      <c r="D14" s="31">
        <v>6.3206E-3</v>
      </c>
      <c r="G14" s="5">
        <v>12</v>
      </c>
      <c r="H14" s="37">
        <v>131.30000000000001</v>
      </c>
      <c r="I14" s="33">
        <v>1.7575E-2</v>
      </c>
      <c r="J14" s="35">
        <v>7.1732000000000002E-3</v>
      </c>
    </row>
    <row r="15" spans="1:10" ht="14.4" x14ac:dyDescent="0.55000000000000004">
      <c r="A15" s="4">
        <v>13</v>
      </c>
      <c r="B15" s="5">
        <v>130.99</v>
      </c>
      <c r="C15" s="29">
        <v>1.7104999999999999E-2</v>
      </c>
      <c r="D15" s="31">
        <v>7.0764000000000001E-3</v>
      </c>
      <c r="G15" s="5">
        <v>13</v>
      </c>
      <c r="H15" s="37">
        <v>134.16</v>
      </c>
      <c r="I15" s="33">
        <v>2.0112000000000001E-2</v>
      </c>
      <c r="J15" s="35">
        <v>7.9413999999999995E-3</v>
      </c>
    </row>
    <row r="16" spans="1:10" ht="14.4" x14ac:dyDescent="0.55000000000000004">
      <c r="A16" s="4">
        <v>14</v>
      </c>
      <c r="B16" s="5">
        <v>133.81</v>
      </c>
      <c r="C16" s="29">
        <v>1.9542E-2</v>
      </c>
      <c r="D16" s="31">
        <v>7.8230000000000001E-3</v>
      </c>
      <c r="G16" s="5">
        <v>14</v>
      </c>
      <c r="H16" s="37">
        <v>137.06</v>
      </c>
      <c r="I16" s="33">
        <v>2.2764E-2</v>
      </c>
      <c r="J16" s="35">
        <v>8.7011999999999992E-3</v>
      </c>
    </row>
    <row r="17" spans="1:10" ht="14.4" x14ac:dyDescent="0.55000000000000004">
      <c r="A17" s="4">
        <v>15</v>
      </c>
      <c r="B17" s="5">
        <v>136.69999999999999</v>
      </c>
      <c r="C17" s="29">
        <v>2.2134999999999998E-2</v>
      </c>
      <c r="D17" s="31">
        <v>8.5793999999999992E-3</v>
      </c>
      <c r="G17" s="5">
        <v>15</v>
      </c>
      <c r="H17" s="37">
        <v>139.94</v>
      </c>
      <c r="I17" s="33">
        <v>2.5541000000000001E-2</v>
      </c>
      <c r="J17" s="35">
        <v>9.4616000000000006E-3</v>
      </c>
    </row>
    <row r="18" spans="1:10" ht="14.4" x14ac:dyDescent="0.55000000000000004">
      <c r="A18" s="4">
        <v>16</v>
      </c>
      <c r="B18" s="5">
        <v>139.53</v>
      </c>
      <c r="C18" s="29">
        <v>2.4799999999999999E-2</v>
      </c>
      <c r="D18" s="31">
        <v>9.3185999999999998E-3</v>
      </c>
      <c r="G18" s="5">
        <v>16</v>
      </c>
      <c r="H18" s="37">
        <v>142.83000000000001</v>
      </c>
      <c r="I18" s="33">
        <v>2.8454E-2</v>
      </c>
      <c r="J18" s="35">
        <v>1.02206E-2</v>
      </c>
    </row>
    <row r="19" spans="1:10" ht="14.4" x14ac:dyDescent="0.55000000000000004">
      <c r="A19" s="4">
        <v>17</v>
      </c>
      <c r="B19" s="5">
        <v>142.34</v>
      </c>
      <c r="C19" s="29">
        <v>2.7557000000000002E-2</v>
      </c>
      <c r="D19" s="31">
        <v>1.0044000000000001E-2</v>
      </c>
      <c r="G19" s="5">
        <v>17</v>
      </c>
      <c r="H19" s="37">
        <v>145.77000000000001</v>
      </c>
      <c r="I19" s="33">
        <v>3.1516000000000002E-2</v>
      </c>
      <c r="J19" s="35">
        <v>1.0968E-2</v>
      </c>
    </row>
    <row r="20" spans="1:10" ht="14.4" x14ac:dyDescent="0.55000000000000004">
      <c r="A20" s="4">
        <v>18</v>
      </c>
      <c r="B20" s="5">
        <v>145.19</v>
      </c>
      <c r="C20" s="29">
        <v>3.0485999999999999E-2</v>
      </c>
      <c r="D20" s="31">
        <v>1.0774799999999999E-2</v>
      </c>
      <c r="G20" s="5">
        <v>18</v>
      </c>
      <c r="H20" s="37">
        <v>148.68</v>
      </c>
      <c r="I20" s="33">
        <v>3.4742000000000002E-2</v>
      </c>
      <c r="J20" s="35">
        <v>1.172E-2</v>
      </c>
    </row>
    <row r="21" spans="1:10" ht="14.4" x14ac:dyDescent="0.55000000000000004">
      <c r="A21" s="4">
        <v>19</v>
      </c>
      <c r="B21" s="5">
        <v>148.05000000000001</v>
      </c>
      <c r="C21" s="29">
        <v>3.3569000000000002E-2</v>
      </c>
      <c r="D21" s="31">
        <v>1.1501000000000001E-2</v>
      </c>
      <c r="G21" s="5">
        <v>19</v>
      </c>
      <c r="H21" s="37">
        <v>151.61000000000001</v>
      </c>
      <c r="I21" s="33">
        <v>3.8150999999999997E-2</v>
      </c>
      <c r="J21" s="35">
        <v>1.2473E-2</v>
      </c>
    </row>
    <row r="22" spans="1:10" ht="14.4" x14ac:dyDescent="0.55000000000000004">
      <c r="A22" s="4">
        <v>20</v>
      </c>
      <c r="B22" s="5">
        <v>150.9</v>
      </c>
      <c r="C22" s="29">
        <v>3.6808E-2</v>
      </c>
      <c r="D22" s="31">
        <v>1.222E-2</v>
      </c>
      <c r="G22" s="5">
        <v>20</v>
      </c>
      <c r="H22" s="37">
        <v>154.69</v>
      </c>
      <c r="I22" s="33">
        <v>4.1764999999999997E-2</v>
      </c>
      <c r="J22" s="35">
        <v>1.3174999999999999E-2</v>
      </c>
    </row>
    <row r="23" spans="1:10" ht="14.4" x14ac:dyDescent="0.55000000000000004">
      <c r="A23" s="4">
        <v>21</v>
      </c>
      <c r="B23" s="5">
        <v>153.72999999999999</v>
      </c>
      <c r="C23" s="29">
        <v>4.0207E-2</v>
      </c>
      <c r="D23" s="31">
        <v>1.2929E-2</v>
      </c>
      <c r="G23" s="5">
        <v>21</v>
      </c>
      <c r="H23" s="37">
        <v>157.57</v>
      </c>
      <c r="I23" s="33">
        <v>4.5608000000000003E-2</v>
      </c>
      <c r="J23" s="35">
        <v>1.3896E-2</v>
      </c>
    </row>
    <row r="24" spans="1:10" ht="14.4" x14ac:dyDescent="0.55000000000000004">
      <c r="A24" s="4">
        <v>22</v>
      </c>
      <c r="B24" s="5">
        <v>156.6</v>
      </c>
      <c r="C24" s="29">
        <v>4.3841999999999999E-2</v>
      </c>
      <c r="D24" s="31">
        <v>1.3639999999999999E-2</v>
      </c>
      <c r="G24" s="5">
        <v>22</v>
      </c>
      <c r="H24" s="37">
        <v>160.46</v>
      </c>
      <c r="I24" s="33">
        <v>4.9710999999999998E-2</v>
      </c>
      <c r="J24" s="35">
        <v>1.4619E-2</v>
      </c>
    </row>
    <row r="25" spans="1:10" ht="14.4" x14ac:dyDescent="0.55000000000000004">
      <c r="A25" s="4">
        <v>23</v>
      </c>
      <c r="B25" s="5">
        <v>159.47999999999999</v>
      </c>
      <c r="C25" s="29">
        <v>4.7699999999999999E-2</v>
      </c>
      <c r="D25" s="31">
        <v>1.4344000000000001E-2</v>
      </c>
      <c r="G25" s="5">
        <v>23</v>
      </c>
      <c r="H25" s="37">
        <v>163.4</v>
      </c>
      <c r="I25" s="33">
        <v>5.4114000000000002E-2</v>
      </c>
      <c r="J25" s="35">
        <v>1.5350000000000001E-2</v>
      </c>
    </row>
    <row r="26" spans="1:10" ht="14.4" x14ac:dyDescent="0.55000000000000004">
      <c r="A26" s="4">
        <v>24</v>
      </c>
      <c r="B26" s="5">
        <v>162.32</v>
      </c>
      <c r="C26" s="29">
        <v>5.1788000000000001E-2</v>
      </c>
      <c r="D26" s="31">
        <v>1.504E-2</v>
      </c>
      <c r="G26" s="5">
        <v>24</v>
      </c>
      <c r="H26" s="37">
        <v>166.38</v>
      </c>
      <c r="I26" s="33">
        <v>5.8860999999999997E-2</v>
      </c>
      <c r="J26" s="35">
        <v>1.6084999999999999E-2</v>
      </c>
    </row>
    <row r="27" spans="1:10" ht="14.4" x14ac:dyDescent="0.55000000000000004">
      <c r="A27" s="4">
        <v>25</v>
      </c>
      <c r="B27" s="5">
        <v>165.14</v>
      </c>
      <c r="C27" s="29">
        <v>5.6126000000000002E-2</v>
      </c>
      <c r="D27" s="31">
        <v>1.5722E-2</v>
      </c>
      <c r="G27" s="5">
        <v>25</v>
      </c>
      <c r="H27" s="37">
        <v>169.44</v>
      </c>
      <c r="I27" s="33">
        <v>6.4014000000000001E-2</v>
      </c>
      <c r="J27" s="35">
        <v>1.6768000000000002E-2</v>
      </c>
    </row>
    <row r="28" spans="1:10" ht="14.4" x14ac:dyDescent="0.55000000000000004">
      <c r="A28" s="4">
        <v>26</v>
      </c>
      <c r="B28" s="5">
        <v>168.01</v>
      </c>
      <c r="C28" s="29">
        <v>6.0860999999999998E-2</v>
      </c>
      <c r="D28" s="31">
        <v>1.6409E-2</v>
      </c>
      <c r="G28" s="5">
        <v>26</v>
      </c>
      <c r="H28" s="37">
        <v>172.37</v>
      </c>
      <c r="I28" s="33">
        <v>6.9648000000000002E-2</v>
      </c>
      <c r="J28" s="35">
        <v>1.7479999999999999E-2</v>
      </c>
    </row>
    <row r="29" spans="1:10" ht="14.4" x14ac:dyDescent="0.55000000000000004">
      <c r="A29" s="4">
        <v>27</v>
      </c>
      <c r="B29" s="5">
        <v>170.87</v>
      </c>
      <c r="C29" s="29">
        <v>6.5976999999999994E-2</v>
      </c>
      <c r="D29" s="31">
        <v>1.7089E-2</v>
      </c>
      <c r="G29" s="5">
        <v>27</v>
      </c>
      <c r="H29" s="37">
        <v>175.37</v>
      </c>
      <c r="I29" s="33">
        <v>7.5864000000000001E-2</v>
      </c>
      <c r="J29" s="35">
        <v>1.8206E-2</v>
      </c>
    </row>
    <row r="30" spans="1:10" ht="14.4" x14ac:dyDescent="0.55000000000000004">
      <c r="A30" s="4">
        <v>28</v>
      </c>
      <c r="B30" s="5">
        <v>173.73</v>
      </c>
      <c r="C30" s="29">
        <v>7.1554000000000006E-2</v>
      </c>
      <c r="D30" s="31">
        <v>1.7763999999999999E-2</v>
      </c>
      <c r="G30" s="5">
        <v>28</v>
      </c>
      <c r="H30" s="37">
        <v>178.43</v>
      </c>
      <c r="I30" s="33">
        <v>8.2798999999999998E-2</v>
      </c>
      <c r="J30" s="35">
        <v>1.8889E-2</v>
      </c>
    </row>
    <row r="31" spans="1:10" ht="14.4" x14ac:dyDescent="0.55000000000000004">
      <c r="A31" s="4">
        <v>29</v>
      </c>
      <c r="B31" s="5">
        <v>176.58</v>
      </c>
      <c r="C31" s="29">
        <v>7.7674000000000007E-2</v>
      </c>
      <c r="D31" s="31">
        <v>1.8429999999999998E-2</v>
      </c>
      <c r="G31" s="5">
        <v>29</v>
      </c>
      <c r="H31" s="37">
        <v>181.44</v>
      </c>
      <c r="I31" s="33">
        <v>9.0645000000000003E-2</v>
      </c>
      <c r="J31" s="35">
        <v>1.9612999999999998E-2</v>
      </c>
    </row>
    <row r="32" spans="1:10" ht="14.4" x14ac:dyDescent="0.55000000000000004">
      <c r="A32" s="4">
        <v>30</v>
      </c>
      <c r="B32" s="5">
        <v>179.41</v>
      </c>
      <c r="C32" s="29">
        <v>8.4430000000000005E-2</v>
      </c>
      <c r="D32" s="31">
        <v>1.9088000000000001E-2</v>
      </c>
      <c r="G32" s="5">
        <v>30</v>
      </c>
      <c r="H32" s="37">
        <v>184.55</v>
      </c>
      <c r="I32" s="33">
        <v>9.9681000000000006E-2</v>
      </c>
      <c r="J32" s="35">
        <v>2.0313000000000001E-2</v>
      </c>
    </row>
    <row r="33" spans="1:10" ht="14.4" x14ac:dyDescent="0.55000000000000004">
      <c r="A33" s="4">
        <v>31</v>
      </c>
      <c r="B33" s="5">
        <v>182.27</v>
      </c>
      <c r="C33" s="29">
        <v>9.2118000000000005E-2</v>
      </c>
      <c r="D33" s="31">
        <v>1.9746E-2</v>
      </c>
      <c r="G33" s="5">
        <v>31</v>
      </c>
      <c r="H33" s="37">
        <v>187.65</v>
      </c>
      <c r="I33" s="33">
        <v>0.11033999999999999</v>
      </c>
      <c r="J33" s="35">
        <v>2.1011999999999999E-2</v>
      </c>
    </row>
    <row r="34" spans="1:10" ht="14.4" x14ac:dyDescent="0.55000000000000004">
      <c r="A34" s="4">
        <v>32</v>
      </c>
      <c r="B34" s="5">
        <v>185.13</v>
      </c>
      <c r="C34" s="29">
        <v>0.10088</v>
      </c>
      <c r="D34" s="31">
        <v>2.0397999999999999E-2</v>
      </c>
      <c r="G34" s="5">
        <v>32</v>
      </c>
      <c r="H34" s="37">
        <v>190.7</v>
      </c>
      <c r="I34" s="33">
        <v>0.12336</v>
      </c>
      <c r="J34" s="35">
        <v>2.1683999999999998E-2</v>
      </c>
    </row>
    <row r="35" spans="1:10" ht="14.4" x14ac:dyDescent="0.55000000000000004">
      <c r="A35" s="4">
        <v>33</v>
      </c>
      <c r="B35" s="5">
        <v>187.98</v>
      </c>
      <c r="C35" s="29">
        <v>0.11111</v>
      </c>
      <c r="D35" s="31">
        <v>2.104E-2</v>
      </c>
      <c r="G35" s="5">
        <v>33</v>
      </c>
      <c r="H35" s="37">
        <v>193.76</v>
      </c>
      <c r="I35" s="33">
        <v>0.1401</v>
      </c>
      <c r="J35" s="35">
        <v>2.2377999999999999E-2</v>
      </c>
    </row>
    <row r="36" spans="1:10" ht="14.4" x14ac:dyDescent="0.55000000000000004">
      <c r="A36" s="4">
        <v>34</v>
      </c>
      <c r="B36" s="5">
        <v>190.83</v>
      </c>
      <c r="C36" s="29">
        <v>0.12349</v>
      </c>
      <c r="D36" s="31">
        <v>2.1680000000000001E-2</v>
      </c>
      <c r="G36" s="5">
        <v>34</v>
      </c>
      <c r="H36" s="37">
        <v>196.87</v>
      </c>
      <c r="I36" s="33">
        <v>0.16363</v>
      </c>
      <c r="J36" s="35">
        <v>2.3066E-2</v>
      </c>
    </row>
    <row r="37" spans="1:10" ht="14.4" x14ac:dyDescent="0.55000000000000004">
      <c r="A37" s="4">
        <v>35</v>
      </c>
      <c r="B37" s="5">
        <v>193.68</v>
      </c>
      <c r="C37" s="29">
        <v>0.13908000000000001</v>
      </c>
      <c r="D37" s="31">
        <v>2.2318000000000001E-2</v>
      </c>
      <c r="G37" s="5">
        <v>35</v>
      </c>
      <c r="H37" s="37">
        <v>200.21</v>
      </c>
      <c r="I37" s="33">
        <v>0.20374</v>
      </c>
      <c r="J37" s="35">
        <v>2.3806000000000001E-2</v>
      </c>
    </row>
    <row r="38" spans="1:10" ht="14.4" x14ac:dyDescent="0.55000000000000004">
      <c r="A38" s="4">
        <v>36</v>
      </c>
      <c r="B38" s="5">
        <v>196.54</v>
      </c>
      <c r="C38" s="29">
        <v>0.16039</v>
      </c>
      <c r="D38" s="31">
        <v>2.2943999999999999E-2</v>
      </c>
      <c r="G38" s="5"/>
      <c r="H38" s="5"/>
      <c r="I38" s="31"/>
      <c r="J3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Sheet2</vt:lpstr>
      <vt:lpstr>Analytical Solution</vt:lpstr>
      <vt:lpstr>Phase2</vt:lpstr>
      <vt:lpstr>Stress Path</vt:lpstr>
      <vt:lpstr>q-epsa</vt:lpstr>
      <vt:lpstr>ev-ea</vt:lpstr>
      <vt:lpstr>v-ea</vt:lpstr>
      <vt:lpstr>G</vt:lpstr>
      <vt:lpstr>Gamma</vt:lpstr>
      <vt:lpstr>k</vt:lpstr>
      <vt:lpstr>l</vt:lpstr>
      <vt:lpstr>M</vt:lpstr>
      <vt:lpstr>MJ</vt:lpstr>
      <vt:lpstr>N</vt:lpstr>
      <vt:lpstr>nu</vt:lpstr>
      <vt:lpstr>p0</vt:lpstr>
      <vt:lpstr>pcs</vt:lpstr>
      <vt:lpstr>ph</vt:lpstr>
      <vt:lpstr>pinit</vt:lpstr>
      <vt:lpstr>py</vt:lpstr>
      <vt:lpstr>qcs</vt:lpstr>
      <vt:lpstr>qinit</vt:lpstr>
      <vt:lpstr>qy</vt:lpstr>
      <vt:lpstr>vy</vt:lpstr>
    </vt:vector>
  </TitlesOfParts>
  <Company>Rocscience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Hammah</dc:creator>
  <cp:lastModifiedBy>Alireza Azami</cp:lastModifiedBy>
  <cp:lastPrinted>2005-12-15T19:34:43Z</cp:lastPrinted>
  <dcterms:created xsi:type="dcterms:W3CDTF">2004-11-19T21:26:55Z</dcterms:created>
  <dcterms:modified xsi:type="dcterms:W3CDTF">2020-11-04T13:38:02Z</dcterms:modified>
</cp:coreProperties>
</file>