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7260" windowWidth="10770" windowHeight="7140" activeTab="5"/>
  </bookViews>
  <sheets>
    <sheet name="Sheet2" sheetId="6" r:id="rId1"/>
    <sheet name="Analytical Solution" sheetId="1" r:id="rId2"/>
    <sheet name="Stress-Path" sheetId="10" r:id="rId3"/>
    <sheet name="Phase2" sheetId="8" r:id="rId4"/>
    <sheet name="q-epsa" sheetId="4" r:id="rId5"/>
    <sheet name="ev-ea" sheetId="5" r:id="rId6"/>
    <sheet name="v-ea" sheetId="7" r:id="rId7"/>
  </sheets>
  <definedNames>
    <definedName name="G">'Analytical Solution'!$C$10</definedName>
    <definedName name="Gamma">'Analytical Solution'!$C$5</definedName>
    <definedName name="k">'Analytical Solution'!$C$8</definedName>
    <definedName name="l">'Analytical Solution'!$C$9</definedName>
    <definedName name="M">'Analytical Solution'!$C$4</definedName>
    <definedName name="MJ">'Analytical Solution'!$C$14</definedName>
    <definedName name="N">'Analytical Solution'!$C$6</definedName>
    <definedName name="nu">'Analytical Solution'!$C$11</definedName>
    <definedName name="p0">'Analytical Solution'!$C$12</definedName>
    <definedName name="pcs">'Analytical Solution'!$E$18</definedName>
    <definedName name="ph">'Analytical Solution'!$F$10</definedName>
    <definedName name="pinit">'Analytical Solution'!$F$6</definedName>
    <definedName name="py">'Analytical Solution'!$E$14</definedName>
    <definedName name="qcs">'Analytical Solution'!$F$18</definedName>
    <definedName name="qinit">'Analytical Solution'!$F$7</definedName>
    <definedName name="qy">'Analytical Solution'!$F$14</definedName>
    <definedName name="vy">'Analytical Solution'!$G$14</definedName>
  </definedNames>
  <calcPr calcId="125725"/>
</workbook>
</file>

<file path=xl/calcChain.xml><?xml version="1.0" encoding="utf-8"?>
<calcChain xmlns="http://schemas.openxmlformats.org/spreadsheetml/2006/main">
  <c r="M5" i="6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4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4"/>
  <c r="F4"/>
  <c r="G4" s="1"/>
  <c r="B53"/>
  <c r="C53" s="1"/>
  <c r="C5" i="1"/>
  <c r="F8"/>
  <c r="F10"/>
  <c r="C14"/>
  <c r="E14"/>
  <c r="F14" s="1"/>
  <c r="F22" s="1"/>
  <c r="E18"/>
  <c r="F18"/>
  <c r="B25"/>
  <c r="C25"/>
  <c r="R29"/>
  <c r="B60"/>
  <c r="C60" s="1"/>
  <c r="D60" l="1"/>
  <c r="G60" s="1"/>
  <c r="D25"/>
  <c r="G25" s="1"/>
  <c r="H25"/>
  <c r="F25"/>
  <c r="E25"/>
  <c r="F60"/>
  <c r="H60"/>
  <c r="E60"/>
  <c r="B4" i="6"/>
  <c r="C4" s="1"/>
  <c r="G14" i="1"/>
  <c r="E22" s="1"/>
  <c r="B29"/>
  <c r="B30" l="1"/>
  <c r="B26"/>
  <c r="C29"/>
  <c r="H29" s="1"/>
  <c r="B5" i="6"/>
  <c r="D29" i="1" l="1"/>
  <c r="G29" s="1"/>
  <c r="E29"/>
  <c r="B6" i="6"/>
  <c r="C5"/>
  <c r="C30" i="1"/>
  <c r="H30" s="1"/>
  <c r="I30" s="1"/>
  <c r="B31"/>
  <c r="F29"/>
  <c r="B27"/>
  <c r="C26"/>
  <c r="H26" s="1"/>
  <c r="E26" l="1"/>
  <c r="E30"/>
  <c r="D26"/>
  <c r="G26" s="1"/>
  <c r="C6" i="6"/>
  <c r="B7"/>
  <c r="C27" i="1"/>
  <c r="H27" s="1"/>
  <c r="B28"/>
  <c r="D30"/>
  <c r="G30" s="1"/>
  <c r="J30"/>
  <c r="N30"/>
  <c r="M30"/>
  <c r="P30" s="1"/>
  <c r="Q30" s="1"/>
  <c r="O30"/>
  <c r="C31"/>
  <c r="H31" s="1"/>
  <c r="B32"/>
  <c r="F26"/>
  <c r="F30"/>
  <c r="E31" l="1"/>
  <c r="D31"/>
  <c r="G31" s="1"/>
  <c r="C28"/>
  <c r="H28" s="1"/>
  <c r="D28"/>
  <c r="G28" s="1"/>
  <c r="K30" s="1"/>
  <c r="L30" s="1"/>
  <c r="F28"/>
  <c r="B8" i="6"/>
  <c r="C7"/>
  <c r="F31" i="1"/>
  <c r="E27"/>
  <c r="F27"/>
  <c r="O31"/>
  <c r="M31"/>
  <c r="N31"/>
  <c r="J31"/>
  <c r="F32"/>
  <c r="C32"/>
  <c r="H32" s="1"/>
  <c r="B33"/>
  <c r="E32"/>
  <c r="I31"/>
  <c r="K31" s="1"/>
  <c r="D27"/>
  <c r="G27" s="1"/>
  <c r="D32" l="1"/>
  <c r="G32" s="1"/>
  <c r="P31"/>
  <c r="Q31" s="1"/>
  <c r="R30"/>
  <c r="L31"/>
  <c r="C8" i="6"/>
  <c r="B9"/>
  <c r="J32" i="1"/>
  <c r="N32"/>
  <c r="O32"/>
  <c r="M32"/>
  <c r="E33"/>
  <c r="C33"/>
  <c r="H33" s="1"/>
  <c r="B34"/>
  <c r="F33"/>
  <c r="D33"/>
  <c r="G33" s="1"/>
  <c r="I32"/>
  <c r="E28"/>
  <c r="P32" l="1"/>
  <c r="Q32" s="1"/>
  <c r="C34"/>
  <c r="H34" s="1"/>
  <c r="B35"/>
  <c r="B10" i="6"/>
  <c r="C9"/>
  <c r="R31" i="1"/>
  <c r="M33"/>
  <c r="O33"/>
  <c r="J33"/>
  <c r="N33"/>
  <c r="I34"/>
  <c r="K32"/>
  <c r="L32" s="1"/>
  <c r="I33"/>
  <c r="K33" l="1"/>
  <c r="L33" s="1"/>
  <c r="R32"/>
  <c r="J34"/>
  <c r="N34"/>
  <c r="M34"/>
  <c r="O34"/>
  <c r="C35"/>
  <c r="H35" s="1"/>
  <c r="I35" s="1"/>
  <c r="B36"/>
  <c r="F35"/>
  <c r="D34"/>
  <c r="G34" s="1"/>
  <c r="C10" i="6"/>
  <c r="B11"/>
  <c r="P33" i="1"/>
  <c r="Q33" s="1"/>
  <c r="F34"/>
  <c r="K34"/>
  <c r="E34"/>
  <c r="E35" l="1"/>
  <c r="P34"/>
  <c r="D35"/>
  <c r="G35" s="1"/>
  <c r="D36"/>
  <c r="G36" s="1"/>
  <c r="C36"/>
  <c r="H36" s="1"/>
  <c r="I36" s="1"/>
  <c r="B37"/>
  <c r="L34"/>
  <c r="R33"/>
  <c r="B12" i="6"/>
  <c r="C11"/>
  <c r="O35" i="1"/>
  <c r="M35"/>
  <c r="J35"/>
  <c r="K35" s="1"/>
  <c r="N35"/>
  <c r="Q34"/>
  <c r="E36" l="1"/>
  <c r="F36"/>
  <c r="C12" i="6"/>
  <c r="B13"/>
  <c r="R34" i="1"/>
  <c r="L35"/>
  <c r="J36"/>
  <c r="K36" s="1"/>
  <c r="N36"/>
  <c r="O36"/>
  <c r="M36"/>
  <c r="E37"/>
  <c r="C37"/>
  <c r="H37" s="1"/>
  <c r="B38"/>
  <c r="F37"/>
  <c r="D37"/>
  <c r="G37" s="1"/>
  <c r="P35"/>
  <c r="Q35" s="1"/>
  <c r="P36" l="1"/>
  <c r="Q36" s="1"/>
  <c r="B14" i="6"/>
  <c r="C13"/>
  <c r="M37" i="1"/>
  <c r="O37"/>
  <c r="J37"/>
  <c r="N37"/>
  <c r="I37"/>
  <c r="K37" s="1"/>
  <c r="C38"/>
  <c r="H38" s="1"/>
  <c r="B39"/>
  <c r="L36"/>
  <c r="R35"/>
  <c r="J38" l="1"/>
  <c r="N38"/>
  <c r="M38"/>
  <c r="O38"/>
  <c r="C39"/>
  <c r="H39" s="1"/>
  <c r="B40"/>
  <c r="C14" i="6"/>
  <c r="B15"/>
  <c r="D38" i="1"/>
  <c r="G38" s="1"/>
  <c r="F38"/>
  <c r="R36"/>
  <c r="L37"/>
  <c r="E38"/>
  <c r="I38"/>
  <c r="K38" s="1"/>
  <c r="P37"/>
  <c r="Q37" s="1"/>
  <c r="D39" l="1"/>
  <c r="G39" s="1"/>
  <c r="F39"/>
  <c r="O39"/>
  <c r="M39"/>
  <c r="N39"/>
  <c r="J39"/>
  <c r="D40"/>
  <c r="G40" s="1"/>
  <c r="C40"/>
  <c r="H40" s="1"/>
  <c r="I40" s="1"/>
  <c r="B41"/>
  <c r="I39"/>
  <c r="K39" s="1"/>
  <c r="L38"/>
  <c r="R37"/>
  <c r="B16" i="6"/>
  <c r="C15"/>
  <c r="E39" i="1"/>
  <c r="P38"/>
  <c r="Q38" s="1"/>
  <c r="E40" l="1"/>
  <c r="F40"/>
  <c r="P39"/>
  <c r="Q39" s="1"/>
  <c r="C16" i="6"/>
  <c r="B17"/>
  <c r="C41" i="1"/>
  <c r="H41" s="1"/>
  <c r="B42"/>
  <c r="R38"/>
  <c r="L39"/>
  <c r="J40"/>
  <c r="K40" s="1"/>
  <c r="N40"/>
  <c r="I41"/>
  <c r="O40"/>
  <c r="M40"/>
  <c r="P40" l="1"/>
  <c r="Q40" s="1"/>
  <c r="F41"/>
  <c r="D41"/>
  <c r="G41" s="1"/>
  <c r="E41"/>
  <c r="B18" i="6"/>
  <c r="C17"/>
  <c r="M41" i="1"/>
  <c r="O41"/>
  <c r="J41"/>
  <c r="K41" s="1"/>
  <c r="N41"/>
  <c r="L40"/>
  <c r="R39"/>
  <c r="C42"/>
  <c r="H42" s="1"/>
  <c r="I42" s="1"/>
  <c r="B43"/>
  <c r="F42" l="1"/>
  <c r="E42"/>
  <c r="C18" i="6"/>
  <c r="B19"/>
  <c r="P41" i="1"/>
  <c r="Q41" s="1"/>
  <c r="R40"/>
  <c r="L41"/>
  <c r="J42"/>
  <c r="K42" s="1"/>
  <c r="N42"/>
  <c r="M42"/>
  <c r="O42"/>
  <c r="C43"/>
  <c r="H43" s="1"/>
  <c r="I43" s="1"/>
  <c r="B44"/>
  <c r="D42"/>
  <c r="G42" s="1"/>
  <c r="D43" l="1"/>
  <c r="G43" s="1"/>
  <c r="F43"/>
  <c r="C44"/>
  <c r="H44" s="1"/>
  <c r="B45"/>
  <c r="B20" i="6"/>
  <c r="C19"/>
  <c r="O43" i="1"/>
  <c r="M43"/>
  <c r="N43"/>
  <c r="J43"/>
  <c r="K43" s="1"/>
  <c r="L42"/>
  <c r="R41"/>
  <c r="E43"/>
  <c r="P42"/>
  <c r="Q42" s="1"/>
  <c r="J44" l="1"/>
  <c r="N44"/>
  <c r="O44"/>
  <c r="M44"/>
  <c r="I44"/>
  <c r="P43"/>
  <c r="Q43" s="1"/>
  <c r="E44"/>
  <c r="F44"/>
  <c r="C45"/>
  <c r="H45" s="1"/>
  <c r="B46"/>
  <c r="F45"/>
  <c r="R42"/>
  <c r="L43"/>
  <c r="C20" i="6"/>
  <c r="B21"/>
  <c r="D44" i="1"/>
  <c r="G44" s="1"/>
  <c r="D45" l="1"/>
  <c r="G45" s="1"/>
  <c r="E45"/>
  <c r="C46"/>
  <c r="H46" s="1"/>
  <c r="I46" s="1"/>
  <c r="B47"/>
  <c r="P44"/>
  <c r="Q44" s="1"/>
  <c r="R43"/>
  <c r="B22" i="6"/>
  <c r="C21"/>
  <c r="M45" i="1"/>
  <c r="O45"/>
  <c r="J45"/>
  <c r="N45"/>
  <c r="K44"/>
  <c r="L44" s="1"/>
  <c r="I45"/>
  <c r="E46" l="1"/>
  <c r="D46"/>
  <c r="G46" s="1"/>
  <c r="K45"/>
  <c r="F46"/>
  <c r="R44"/>
  <c r="L45"/>
  <c r="C47"/>
  <c r="H47" s="1"/>
  <c r="B48"/>
  <c r="E47"/>
  <c r="D47"/>
  <c r="G47" s="1"/>
  <c r="F47"/>
  <c r="C22" i="6"/>
  <c r="B23"/>
  <c r="J46" i="1"/>
  <c r="K46" s="1"/>
  <c r="N46"/>
  <c r="I47"/>
  <c r="M46"/>
  <c r="O46"/>
  <c r="P45"/>
  <c r="Q45" s="1"/>
  <c r="P46" l="1"/>
  <c r="Q46" s="1"/>
  <c r="C48"/>
  <c r="H48" s="1"/>
  <c r="I48" s="1"/>
  <c r="B49"/>
  <c r="B24" i="6"/>
  <c r="C23"/>
  <c r="L46" i="1"/>
  <c r="R45"/>
  <c r="O47"/>
  <c r="M47"/>
  <c r="P47" s="1"/>
  <c r="N47"/>
  <c r="J47"/>
  <c r="K47" s="1"/>
  <c r="Q47" l="1"/>
  <c r="E48"/>
  <c r="F48"/>
  <c r="D48"/>
  <c r="G48" s="1"/>
  <c r="R46"/>
  <c r="L47"/>
  <c r="C49"/>
  <c r="H49" s="1"/>
  <c r="B50"/>
  <c r="C24" i="6"/>
  <c r="B25"/>
  <c r="J48" i="1"/>
  <c r="K48" s="1"/>
  <c r="N48"/>
  <c r="I49"/>
  <c r="O48"/>
  <c r="M48"/>
  <c r="B26" i="6" l="1"/>
  <c r="C25"/>
  <c r="E50" i="1"/>
  <c r="C50"/>
  <c r="H50" s="1"/>
  <c r="I50" s="1"/>
  <c r="B51"/>
  <c r="M49"/>
  <c r="O49"/>
  <c r="J49"/>
  <c r="K49" s="1"/>
  <c r="N49"/>
  <c r="L48"/>
  <c r="R47"/>
  <c r="P48"/>
  <c r="Q48" s="1"/>
  <c r="F49"/>
  <c r="D49"/>
  <c r="G49" s="1"/>
  <c r="E49"/>
  <c r="R48" l="1"/>
  <c r="L49"/>
  <c r="C51"/>
  <c r="H51" s="1"/>
  <c r="B52"/>
  <c r="E51"/>
  <c r="D51"/>
  <c r="G51" s="1"/>
  <c r="F51"/>
  <c r="D50"/>
  <c r="G50" s="1"/>
  <c r="C26" i="6"/>
  <c r="B27"/>
  <c r="J50" i="1"/>
  <c r="K50" s="1"/>
  <c r="N50"/>
  <c r="I51"/>
  <c r="O50"/>
  <c r="M50"/>
  <c r="P49"/>
  <c r="Q49" s="1"/>
  <c r="F50"/>
  <c r="F52" l="1"/>
  <c r="D52"/>
  <c r="G52" s="1"/>
  <c r="C52"/>
  <c r="H52" s="1"/>
  <c r="B53"/>
  <c r="E52"/>
  <c r="B28" i="6"/>
  <c r="C27"/>
  <c r="L50" i="1"/>
  <c r="R49"/>
  <c r="O51"/>
  <c r="M51"/>
  <c r="N51"/>
  <c r="J51"/>
  <c r="K51" s="1"/>
  <c r="I52"/>
  <c r="P50"/>
  <c r="Q50" s="1"/>
  <c r="P51" l="1"/>
  <c r="Q51" s="1"/>
  <c r="C53"/>
  <c r="H53" s="1"/>
  <c r="B54"/>
  <c r="D53"/>
  <c r="G53" s="1"/>
  <c r="R50"/>
  <c r="L51"/>
  <c r="C28" i="6"/>
  <c r="B29"/>
  <c r="J52" i="1"/>
  <c r="K52" s="1"/>
  <c r="N52"/>
  <c r="I53"/>
  <c r="O52"/>
  <c r="M52"/>
  <c r="F53" l="1"/>
  <c r="P52"/>
  <c r="Q52" s="1"/>
  <c r="B30" i="6"/>
  <c r="C29"/>
  <c r="E53" i="1"/>
  <c r="M53"/>
  <c r="O53"/>
  <c r="N53"/>
  <c r="J53"/>
  <c r="K53" s="1"/>
  <c r="L52"/>
  <c r="R51"/>
  <c r="D54"/>
  <c r="G54" s="1"/>
  <c r="F54"/>
  <c r="E54"/>
  <c r="C54"/>
  <c r="H54" s="1"/>
  <c r="B55"/>
  <c r="C30" i="6" l="1"/>
  <c r="B31"/>
  <c r="C55" i="1"/>
  <c r="H55" s="1"/>
  <c r="B56"/>
  <c r="E55"/>
  <c r="F55"/>
  <c r="D55"/>
  <c r="G55" s="1"/>
  <c r="R52"/>
  <c r="L53"/>
  <c r="J54"/>
  <c r="N54"/>
  <c r="O54"/>
  <c r="M54"/>
  <c r="P53"/>
  <c r="Q53" s="1"/>
  <c r="I54"/>
  <c r="B32" i="6" l="1"/>
  <c r="C31"/>
  <c r="P54" i="1"/>
  <c r="Q54" s="1"/>
  <c r="R53"/>
  <c r="O55"/>
  <c r="M55"/>
  <c r="J55"/>
  <c r="N55"/>
  <c r="E56"/>
  <c r="C56"/>
  <c r="H56" s="1"/>
  <c r="B57"/>
  <c r="K54"/>
  <c r="L54" s="1"/>
  <c r="I55"/>
  <c r="K55" s="1"/>
  <c r="R54" l="1"/>
  <c r="L55"/>
  <c r="C32" i="6"/>
  <c r="B33"/>
  <c r="J56" i="1"/>
  <c r="N56"/>
  <c r="O56"/>
  <c r="M56"/>
  <c r="C57"/>
  <c r="H57" s="1"/>
  <c r="B58"/>
  <c r="I56"/>
  <c r="F56"/>
  <c r="P55"/>
  <c r="Q55" s="1"/>
  <c r="D56"/>
  <c r="G56" s="1"/>
  <c r="F57" l="1"/>
  <c r="D57"/>
  <c r="G57" s="1"/>
  <c r="F58"/>
  <c r="C58"/>
  <c r="H58" s="1"/>
  <c r="B59"/>
  <c r="B34" i="6"/>
  <c r="C33"/>
  <c r="R55" i="1"/>
  <c r="P56"/>
  <c r="Q56" s="1"/>
  <c r="E57"/>
  <c r="M57"/>
  <c r="O57"/>
  <c r="N57"/>
  <c r="J57"/>
  <c r="I58"/>
  <c r="K56"/>
  <c r="L56" s="1"/>
  <c r="I57"/>
  <c r="P57" l="1"/>
  <c r="K57"/>
  <c r="E58"/>
  <c r="D58"/>
  <c r="G58" s="1"/>
  <c r="R56"/>
  <c r="L57"/>
  <c r="C59"/>
  <c r="H59" s="1"/>
  <c r="D59"/>
  <c r="G59" s="1"/>
  <c r="Q57"/>
  <c r="C34" i="6"/>
  <c r="B35"/>
  <c r="J58" i="1"/>
  <c r="K58" s="1"/>
  <c r="N58"/>
  <c r="I59"/>
  <c r="M58"/>
  <c r="O58"/>
  <c r="F59" l="1"/>
  <c r="B36" i="6"/>
  <c r="C35"/>
  <c r="L58" i="1"/>
  <c r="R57"/>
  <c r="P58"/>
  <c r="Q58" s="1"/>
  <c r="O59"/>
  <c r="M59"/>
  <c r="J59"/>
  <c r="N59"/>
  <c r="K59"/>
  <c r="E59"/>
  <c r="R58" l="1"/>
  <c r="L59"/>
  <c r="P59"/>
  <c r="Q59" s="1"/>
  <c r="C36" i="6"/>
  <c r="B37"/>
  <c r="B38" l="1"/>
  <c r="C37"/>
  <c r="R59" i="1"/>
  <c r="C38" i="6" l="1"/>
  <c r="B39"/>
  <c r="B40" l="1"/>
  <c r="C39"/>
  <c r="C40" l="1"/>
  <c r="B41"/>
  <c r="B42" l="1"/>
  <c r="C41"/>
  <c r="C42" l="1"/>
  <c r="B43"/>
  <c r="B44" l="1"/>
  <c r="C43"/>
  <c r="C44" l="1"/>
  <c r="B45"/>
  <c r="B46" l="1"/>
  <c r="C45"/>
  <c r="C46" l="1"/>
  <c r="B47"/>
  <c r="B48" l="1"/>
  <c r="C47"/>
  <c r="C48" l="1"/>
  <c r="B49"/>
  <c r="B50" l="1"/>
  <c r="C49"/>
  <c r="C50" l="1"/>
  <c r="B51"/>
  <c r="B52" l="1"/>
  <c r="C52" s="1"/>
  <c r="C51"/>
</calcChain>
</file>

<file path=xl/sharedStrings.xml><?xml version="1.0" encoding="utf-8"?>
<sst xmlns="http://schemas.openxmlformats.org/spreadsheetml/2006/main" count="71" uniqueCount="55">
  <si>
    <t>p</t>
  </si>
  <si>
    <t>q</t>
  </si>
  <si>
    <t>Modified Cam Clay Parameters</t>
  </si>
  <si>
    <t>G</t>
  </si>
  <si>
    <t>M</t>
  </si>
  <si>
    <t>k</t>
  </si>
  <si>
    <t>l</t>
  </si>
  <si>
    <t>n</t>
  </si>
  <si>
    <t>N</t>
  </si>
  <si>
    <t>Initial state</t>
  </si>
  <si>
    <t>kPa</t>
  </si>
  <si>
    <t>Drained Triaxial Test</t>
  </si>
  <si>
    <t>CSL</t>
  </si>
  <si>
    <t>Modelling Parameters</t>
  </si>
  <si>
    <t xml:space="preserve">Intersection of Load Path with Initial Yield Envelope </t>
  </si>
  <si>
    <t>Intersection of Load Path with Critical State Line</t>
  </si>
  <si>
    <t>v</t>
  </si>
  <si>
    <t>Strains at Elastic Limit</t>
  </si>
  <si>
    <t>Vol.</t>
  </si>
  <si>
    <t>Dev.</t>
  </si>
  <si>
    <t>Initial Yield Envelope</t>
  </si>
  <si>
    <t>Loading Path</t>
  </si>
  <si>
    <t>Stage Number</t>
  </si>
  <si>
    <t>Deviatoric Stress [kPa]</t>
  </si>
  <si>
    <t>Calculation of Volumetric Strain</t>
  </si>
  <si>
    <t>first term</t>
  </si>
  <si>
    <t>second term</t>
  </si>
  <si>
    <t>Calculation of Deviatoric Strain</t>
  </si>
  <si>
    <t>third term</t>
  </si>
  <si>
    <t>ɳ</t>
  </si>
  <si>
    <r>
      <t>p</t>
    </r>
    <r>
      <rPr>
        <i/>
        <vertAlign val="subscript"/>
        <sz val="12"/>
        <rFont val="Garamond"/>
        <family val="1"/>
      </rPr>
      <t>init</t>
    </r>
  </si>
  <si>
    <r>
      <t>q</t>
    </r>
    <r>
      <rPr>
        <b/>
        <i/>
        <vertAlign val="subscript"/>
        <sz val="12"/>
        <rFont val="Garamond"/>
        <family val="1"/>
      </rPr>
      <t>init</t>
    </r>
  </si>
  <si>
    <r>
      <t>v</t>
    </r>
    <r>
      <rPr>
        <i/>
        <vertAlign val="subscript"/>
        <sz val="12"/>
        <rFont val="Garamond"/>
        <family val="1"/>
      </rPr>
      <t>init</t>
    </r>
  </si>
  <si>
    <r>
      <t>p</t>
    </r>
    <r>
      <rPr>
        <b/>
        <i/>
        <vertAlign val="subscript"/>
        <sz val="12"/>
        <rFont val="Garamond"/>
        <family val="1"/>
      </rPr>
      <t>h</t>
    </r>
  </si>
  <si>
    <r>
      <t>p</t>
    </r>
    <r>
      <rPr>
        <b/>
        <vertAlign val="subscript"/>
        <sz val="12"/>
        <rFont val="Arial"/>
        <family val="2"/>
      </rPr>
      <t>0</t>
    </r>
  </si>
  <si>
    <r>
      <t>p</t>
    </r>
    <r>
      <rPr>
        <i/>
        <vertAlign val="subscript"/>
        <sz val="12"/>
        <rFont val="Garamond"/>
        <family val="1"/>
      </rPr>
      <t>yield</t>
    </r>
  </si>
  <si>
    <r>
      <t>q</t>
    </r>
    <r>
      <rPr>
        <i/>
        <vertAlign val="subscript"/>
        <sz val="12"/>
        <rFont val="Garamond"/>
        <family val="1"/>
      </rPr>
      <t>yield</t>
    </r>
  </si>
  <si>
    <r>
      <t>v</t>
    </r>
    <r>
      <rPr>
        <b/>
        <i/>
        <vertAlign val="subscript"/>
        <sz val="12"/>
        <rFont val="Garamond"/>
        <family val="1"/>
      </rPr>
      <t>yield</t>
    </r>
  </si>
  <si>
    <r>
      <t>M</t>
    </r>
    <r>
      <rPr>
        <b/>
        <vertAlign val="subscript"/>
        <sz val="12"/>
        <rFont val="Arial"/>
        <family val="2"/>
      </rPr>
      <t>J</t>
    </r>
  </si>
  <si>
    <r>
      <t>p</t>
    </r>
    <r>
      <rPr>
        <i/>
        <vertAlign val="subscript"/>
        <sz val="12"/>
        <rFont val="Garamond"/>
        <family val="1"/>
      </rPr>
      <t>CSL</t>
    </r>
  </si>
  <si>
    <r>
      <t>q</t>
    </r>
    <r>
      <rPr>
        <i/>
        <vertAlign val="subscript"/>
        <sz val="12"/>
        <rFont val="Garamond"/>
        <family val="1"/>
      </rPr>
      <t>CSL</t>
    </r>
  </si>
  <si>
    <r>
      <t>s</t>
    </r>
    <r>
      <rPr>
        <b/>
        <i/>
        <vertAlign val="subscript"/>
        <sz val="12"/>
        <rFont val="Garamond"/>
        <family val="1"/>
      </rPr>
      <t>a</t>
    </r>
  </si>
  <si>
    <r>
      <t>s</t>
    </r>
    <r>
      <rPr>
        <b/>
        <i/>
        <vertAlign val="subscript"/>
        <sz val="12"/>
        <rFont val="Garamond"/>
        <family val="1"/>
      </rPr>
      <t>r</t>
    </r>
  </si>
  <si>
    <r>
      <t>p</t>
    </r>
    <r>
      <rPr>
        <b/>
        <i/>
        <vertAlign val="subscript"/>
        <sz val="12"/>
        <rFont val="Garamond"/>
        <family val="1"/>
      </rPr>
      <t>0</t>
    </r>
  </si>
  <si>
    <r>
      <rPr>
        <b/>
        <sz val="12"/>
        <rFont val="Calibri"/>
        <family val="2"/>
      </rPr>
      <t>Δε</t>
    </r>
    <r>
      <rPr>
        <b/>
        <i/>
        <vertAlign val="subscript"/>
        <sz val="12"/>
        <rFont val="Garamond"/>
        <family val="1"/>
      </rPr>
      <t>v</t>
    </r>
  </si>
  <si>
    <t>p'</t>
  </si>
  <si>
    <r>
      <rPr>
        <b/>
        <sz val="12"/>
        <rFont val="Calibri"/>
        <family val="2"/>
      </rPr>
      <t>ε</t>
    </r>
    <r>
      <rPr>
        <b/>
        <i/>
        <vertAlign val="subscript"/>
        <sz val="12"/>
        <rFont val="Garamond"/>
        <family val="1"/>
      </rPr>
      <t>v</t>
    </r>
  </si>
  <si>
    <r>
      <rPr>
        <b/>
        <sz val="12"/>
        <rFont val="Calibri"/>
        <family val="2"/>
      </rPr>
      <t>Δε</t>
    </r>
    <r>
      <rPr>
        <b/>
        <i/>
        <vertAlign val="subscript"/>
        <sz val="12"/>
        <rFont val="Garamond"/>
        <family val="1"/>
      </rPr>
      <t>q</t>
    </r>
  </si>
  <si>
    <r>
      <rPr>
        <b/>
        <sz val="12"/>
        <rFont val="Calibri"/>
        <family val="2"/>
      </rPr>
      <t>ε</t>
    </r>
    <r>
      <rPr>
        <b/>
        <i/>
        <vertAlign val="subscript"/>
        <sz val="12"/>
        <rFont val="Garamond"/>
        <family val="1"/>
      </rPr>
      <t>q</t>
    </r>
  </si>
  <si>
    <r>
      <rPr>
        <b/>
        <sz val="12"/>
        <rFont val="Calibri"/>
        <family val="2"/>
      </rPr>
      <t>ε</t>
    </r>
    <r>
      <rPr>
        <b/>
        <i/>
        <vertAlign val="subscript"/>
        <sz val="12"/>
        <rFont val="Garamond"/>
        <family val="1"/>
      </rPr>
      <t>a</t>
    </r>
  </si>
  <si>
    <t>Axial Strain</t>
  </si>
  <si>
    <t xml:space="preserve">Volumetric Strain </t>
  </si>
  <si>
    <t>Phase2-Load Control</t>
  </si>
  <si>
    <t>Phase2-Displacement Control</t>
  </si>
  <si>
    <t>Final Yield Envelope</t>
  </si>
</sst>
</file>

<file path=xl/styles.xml><?xml version="1.0" encoding="utf-8"?>
<styleSheet xmlns="http://schemas.openxmlformats.org/spreadsheetml/2006/main">
  <fonts count="1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name val="Garamond"/>
      <family val="1"/>
    </font>
    <font>
      <sz val="12"/>
      <name val="Garamond"/>
      <family val="1"/>
    </font>
    <font>
      <sz val="12"/>
      <name val="Arial"/>
      <family val="2"/>
    </font>
    <font>
      <b/>
      <sz val="12"/>
      <name val="Symbol"/>
      <family val="1"/>
      <charset val="2"/>
    </font>
    <font>
      <b/>
      <i/>
      <sz val="12"/>
      <name val="Garamond"/>
      <family val="1"/>
    </font>
    <font>
      <i/>
      <vertAlign val="subscript"/>
      <sz val="12"/>
      <name val="Garamond"/>
      <family val="1"/>
    </font>
    <font>
      <b/>
      <i/>
      <vertAlign val="subscript"/>
      <sz val="12"/>
      <name val="Garamond"/>
      <family val="1"/>
    </font>
    <font>
      <b/>
      <vertAlign val="subscript"/>
      <sz val="12"/>
      <name val="Arial"/>
      <family val="2"/>
    </font>
    <font>
      <b/>
      <i/>
      <sz val="12"/>
      <name val="Symbol"/>
      <family val="1"/>
      <charset val="2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6" fillId="0" borderId="0"/>
    <xf numFmtId="0" fontId="2" fillId="0" borderId="0"/>
    <xf numFmtId="0" fontId="1" fillId="0" borderId="0"/>
  </cellStyleXfs>
  <cellXfs count="42">
    <xf numFmtId="0" fontId="0" fillId="0" borderId="0" xfId="0"/>
    <xf numFmtId="0" fontId="4" fillId="0" borderId="0" xfId="0" applyFont="1"/>
    <xf numFmtId="0" fontId="3" fillId="0" borderId="0" xfId="0" applyFont="1"/>
    <xf numFmtId="0" fontId="17" fillId="0" borderId="0" xfId="1" applyFont="1"/>
    <xf numFmtId="0" fontId="17" fillId="0" borderId="0" xfId="1" applyFont="1"/>
    <xf numFmtId="0" fontId="16" fillId="0" borderId="0" xfId="1"/>
    <xf numFmtId="11" fontId="16" fillId="0" borderId="0" xfId="1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 applyProtection="1">
      <protection locked="0"/>
    </xf>
    <xf numFmtId="0" fontId="9" fillId="2" borderId="0" xfId="0" applyFont="1" applyFill="1"/>
    <xf numFmtId="0" fontId="7" fillId="2" borderId="0" xfId="0" applyFont="1" applyFill="1" applyProtection="1">
      <protection locked="0"/>
    </xf>
    <xf numFmtId="0" fontId="10" fillId="0" borderId="0" xfId="0" applyFont="1"/>
    <xf numFmtId="0" fontId="4" fillId="2" borderId="0" xfId="0" applyFont="1" applyFill="1"/>
    <xf numFmtId="0" fontId="10" fillId="0" borderId="0" xfId="0" applyFont="1" applyAlignment="1">
      <alignment vertical="center" wrapText="1"/>
    </xf>
    <xf numFmtId="0" fontId="7" fillId="0" borderId="0" xfId="0" applyFont="1" applyBorder="1"/>
    <xf numFmtId="0" fontId="10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7" fillId="3" borderId="1" xfId="0" applyFont="1" applyFill="1" applyBorder="1"/>
    <xf numFmtId="0" fontId="7" fillId="0" borderId="1" xfId="0" applyFont="1" applyBorder="1"/>
    <xf numFmtId="0" fontId="4" fillId="0" borderId="0" xfId="0" applyFont="1" applyAlignment="1">
      <alignment vertical="center" wrapText="1"/>
    </xf>
    <xf numFmtId="11" fontId="8" fillId="0" borderId="0" xfId="0" applyNumberFormat="1" applyFont="1"/>
    <xf numFmtId="0" fontId="8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8" fillId="0" borderId="3" xfId="0" applyFont="1" applyBorder="1"/>
    <xf numFmtId="0" fontId="8" fillId="0" borderId="4" xfId="0" applyFont="1" applyBorder="1"/>
    <xf numFmtId="0" fontId="5" fillId="0" borderId="0" xfId="0" applyFont="1"/>
    <xf numFmtId="2" fontId="7" fillId="3" borderId="1" xfId="0" applyNumberFormat="1" applyFont="1" applyFill="1" applyBorder="1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1" fillId="0" borderId="0" xfId="3"/>
    <xf numFmtId="11" fontId="1" fillId="0" borderId="0" xfId="3" applyNumberFormat="1"/>
    <xf numFmtId="0" fontId="1" fillId="0" borderId="0" xfId="3"/>
    <xf numFmtId="11" fontId="1" fillId="0" borderId="0" xfId="3" applyNumberFormat="1"/>
    <xf numFmtId="0" fontId="1" fillId="0" borderId="0" xfId="3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64307470162219"/>
          <c:y val="7.621962566040881E-2"/>
          <c:w val="0.81844294534816386"/>
          <c:h val="0.73170840633992529"/>
        </c:manualLayout>
      </c:layout>
      <c:scatterChart>
        <c:scatterStyle val="smoothMarker"/>
        <c:ser>
          <c:idx val="2"/>
          <c:order val="0"/>
          <c:tx>
            <c:v>Load Path</c:v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'Analytical Solution'!$B$25:$B$60</c:f>
              <c:numCache>
                <c:formatCode>General</c:formatCode>
                <c:ptCount val="3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204.30107526881721</c:v>
                </c:pt>
                <c:pt idx="6">
                  <c:v>208.60215053763443</c:v>
                </c:pt>
                <c:pt idx="7">
                  <c:v>212.90322580645164</c:v>
                </c:pt>
                <c:pt idx="8">
                  <c:v>217.20430107526886</c:v>
                </c:pt>
                <c:pt idx="9">
                  <c:v>221.50537634408607</c:v>
                </c:pt>
                <c:pt idx="10">
                  <c:v>225.80645161290329</c:v>
                </c:pt>
                <c:pt idx="11">
                  <c:v>230.1075268817205</c:v>
                </c:pt>
                <c:pt idx="12">
                  <c:v>234.40860215053772</c:v>
                </c:pt>
                <c:pt idx="13">
                  <c:v>238.70967741935493</c:v>
                </c:pt>
                <c:pt idx="14">
                  <c:v>243.01075268817215</c:v>
                </c:pt>
                <c:pt idx="15">
                  <c:v>247.31182795698936</c:v>
                </c:pt>
                <c:pt idx="16">
                  <c:v>251.61290322580658</c:v>
                </c:pt>
                <c:pt idx="17">
                  <c:v>255.91397849462379</c:v>
                </c:pt>
                <c:pt idx="18">
                  <c:v>260.21505376344101</c:v>
                </c:pt>
                <c:pt idx="19">
                  <c:v>264.51612903225822</c:v>
                </c:pt>
                <c:pt idx="20">
                  <c:v>268.81720430107544</c:v>
                </c:pt>
                <c:pt idx="21">
                  <c:v>273.11827956989265</c:v>
                </c:pt>
                <c:pt idx="22">
                  <c:v>277.41935483870986</c:v>
                </c:pt>
                <c:pt idx="23">
                  <c:v>281.72043010752708</c:v>
                </c:pt>
                <c:pt idx="24">
                  <c:v>286.02150537634429</c:v>
                </c:pt>
                <c:pt idx="25">
                  <c:v>290.32258064516151</c:v>
                </c:pt>
                <c:pt idx="26">
                  <c:v>294.62365591397872</c:v>
                </c:pt>
                <c:pt idx="27">
                  <c:v>298.92473118279594</c:v>
                </c:pt>
                <c:pt idx="28">
                  <c:v>303.22580645161315</c:v>
                </c:pt>
                <c:pt idx="29">
                  <c:v>307.52688172043037</c:v>
                </c:pt>
                <c:pt idx="30">
                  <c:v>311.82795698924758</c:v>
                </c:pt>
                <c:pt idx="31">
                  <c:v>316.1290322580648</c:v>
                </c:pt>
                <c:pt idx="32">
                  <c:v>320.43010752688201</c:v>
                </c:pt>
                <c:pt idx="33">
                  <c:v>324.73118279569923</c:v>
                </c:pt>
                <c:pt idx="34">
                  <c:v>329.03225806451644</c:v>
                </c:pt>
                <c:pt idx="35">
                  <c:v>333.33333333333331</c:v>
                </c:pt>
              </c:numCache>
            </c:numRef>
          </c:xVal>
          <c:yVal>
            <c:numRef>
              <c:f>'Analytical Solution'!$C$25:$C$60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0</c:v>
                </c:pt>
                <c:pt idx="5" formatCode="0.00">
                  <c:v>12.903225806451644</c:v>
                </c:pt>
                <c:pt idx="6" formatCode="0.00">
                  <c:v>25.806451612903288</c:v>
                </c:pt>
                <c:pt idx="7" formatCode="0.00">
                  <c:v>38.709677419354932</c:v>
                </c:pt>
                <c:pt idx="8" formatCode="0.00">
                  <c:v>51.612903225806576</c:v>
                </c:pt>
                <c:pt idx="9" formatCode="0.00">
                  <c:v>64.51612903225822</c:v>
                </c:pt>
                <c:pt idx="10" formatCode="0.00">
                  <c:v>77.419354838709864</c:v>
                </c:pt>
                <c:pt idx="11" formatCode="0.00">
                  <c:v>90.322580645161509</c:v>
                </c:pt>
                <c:pt idx="12" formatCode="0.00">
                  <c:v>103.22580645161315</c:v>
                </c:pt>
                <c:pt idx="13" formatCode="0.00">
                  <c:v>116.1290322580648</c:v>
                </c:pt>
                <c:pt idx="14" formatCode="0.00">
                  <c:v>129.03225806451644</c:v>
                </c:pt>
                <c:pt idx="15" formatCode="0.00">
                  <c:v>141.93548387096808</c:v>
                </c:pt>
                <c:pt idx="16" formatCode="0.00">
                  <c:v>154.83870967741973</c:v>
                </c:pt>
                <c:pt idx="17" formatCode="0.00">
                  <c:v>167.74193548387137</c:v>
                </c:pt>
                <c:pt idx="18" formatCode="0.00">
                  <c:v>180.64516129032302</c:v>
                </c:pt>
                <c:pt idx="19" formatCode="0.00">
                  <c:v>193.54838709677466</c:v>
                </c:pt>
                <c:pt idx="20" formatCode="0.00">
                  <c:v>206.45161290322631</c:v>
                </c:pt>
                <c:pt idx="21" formatCode="0.00">
                  <c:v>219.35483870967795</c:v>
                </c:pt>
                <c:pt idx="22" formatCode="0.00">
                  <c:v>232.25806451612959</c:v>
                </c:pt>
                <c:pt idx="23" formatCode="0.00">
                  <c:v>245.16129032258124</c:v>
                </c:pt>
                <c:pt idx="24" formatCode="0.00">
                  <c:v>258.06451612903288</c:v>
                </c:pt>
                <c:pt idx="25" formatCode="0.00">
                  <c:v>270.96774193548453</c:v>
                </c:pt>
                <c:pt idx="26" formatCode="0.00">
                  <c:v>283.87096774193617</c:v>
                </c:pt>
                <c:pt idx="27" formatCode="0.00">
                  <c:v>296.77419354838781</c:v>
                </c:pt>
                <c:pt idx="28" formatCode="0.00">
                  <c:v>309.67741935483946</c:v>
                </c:pt>
                <c:pt idx="29" formatCode="0.00">
                  <c:v>322.5806451612911</c:v>
                </c:pt>
                <c:pt idx="30" formatCode="0.00">
                  <c:v>335.48387096774275</c:v>
                </c:pt>
                <c:pt idx="31" formatCode="0.00">
                  <c:v>348.38709677419439</c:v>
                </c:pt>
                <c:pt idx="32" formatCode="0.00">
                  <c:v>361.29032258064603</c:v>
                </c:pt>
                <c:pt idx="33" formatCode="0.00">
                  <c:v>374.19354838709768</c:v>
                </c:pt>
                <c:pt idx="34" formatCode="0.00">
                  <c:v>387.09677419354932</c:v>
                </c:pt>
                <c:pt idx="35">
                  <c:v>399.99999999999994</c:v>
                </c:pt>
              </c:numCache>
            </c:numRef>
          </c:yVal>
        </c:ser>
        <c:ser>
          <c:idx val="1"/>
          <c:order val="1"/>
          <c:tx>
            <c:v>CSL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Sheet2!$F$3:$F$4</c:f>
              <c:numCache>
                <c:formatCode>General</c:formatCode>
                <c:ptCount val="2"/>
                <c:pt idx="0">
                  <c:v>0</c:v>
                </c:pt>
                <c:pt idx="1">
                  <c:v>353.33333333333331</c:v>
                </c:pt>
              </c:numCache>
            </c:numRef>
          </c:xVal>
          <c:yVal>
            <c:numRef>
              <c:f>Sheet2!$G$3:$G$4</c:f>
              <c:numCache>
                <c:formatCode>General</c:formatCode>
                <c:ptCount val="2"/>
                <c:pt idx="0">
                  <c:v>0</c:v>
                </c:pt>
                <c:pt idx="1">
                  <c:v>423.99999999999994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Sheet2!$B$1</c:f>
              <c:strCache>
                <c:ptCount val="1"/>
                <c:pt idx="0">
                  <c:v>Initial Yield Envelope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Sheet2!$B$3:$B$53</c:f>
              <c:numCache>
                <c:formatCode>General</c:formatCode>
                <c:ptCount val="5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</c:numCache>
            </c:numRef>
          </c:xVal>
          <c:yVal>
            <c:numRef>
              <c:f>Sheet2!$C$3:$C$53</c:f>
              <c:numCache>
                <c:formatCode>General</c:formatCode>
                <c:ptCount val="51"/>
                <c:pt idx="0">
                  <c:v>0</c:v>
                </c:pt>
                <c:pt idx="1">
                  <c:v>33.6</c:v>
                </c:pt>
                <c:pt idx="2">
                  <c:v>47.030203061437021</c:v>
                </c:pt>
                <c:pt idx="3">
                  <c:v>56.996842017782001</c:v>
                </c:pt>
                <c:pt idx="4">
                  <c:v>65.110367838002574</c:v>
                </c:pt>
                <c:pt idx="5">
                  <c:v>72</c:v>
                </c:pt>
                <c:pt idx="6">
                  <c:v>77.990768684505227</c:v>
                </c:pt>
                <c:pt idx="7">
                  <c:v>83.276887549907869</c:v>
                </c:pt>
                <c:pt idx="8">
                  <c:v>87.98545334315213</c:v>
                </c:pt>
                <c:pt idx="9">
                  <c:v>92.204989019033022</c:v>
                </c:pt>
                <c:pt idx="10">
                  <c:v>96</c:v>
                </c:pt>
                <c:pt idx="11">
                  <c:v>99.419112850598296</c:v>
                </c:pt>
                <c:pt idx="12">
                  <c:v>102.49995121950059</c:v>
                </c:pt>
                <c:pt idx="13">
                  <c:v>105.27221855741428</c:v>
                </c:pt>
                <c:pt idx="14">
                  <c:v>107.75973273908951</c:v>
                </c:pt>
                <c:pt idx="15">
                  <c:v>109.98181667894016</c:v>
                </c:pt>
                <c:pt idx="16">
                  <c:v>111.95427638102977</c:v>
                </c:pt>
                <c:pt idx="17">
                  <c:v>113.6901051103393</c:v>
                </c:pt>
                <c:pt idx="18">
                  <c:v>115.2</c:v>
                </c:pt>
                <c:pt idx="19">
                  <c:v>116.49274655531134</c:v>
                </c:pt>
                <c:pt idx="20">
                  <c:v>117.57550765359255</c:v>
                </c:pt>
                <c:pt idx="21">
                  <c:v>118.45404172082942</c:v>
                </c:pt>
                <c:pt idx="22">
                  <c:v>119.13286700151222</c:v>
                </c:pt>
                <c:pt idx="23">
                  <c:v>119.61538362602028</c:v>
                </c:pt>
                <c:pt idx="24">
                  <c:v>119.90396156924925</c:v>
                </c:pt>
                <c:pt idx="25">
                  <c:v>120</c:v>
                </c:pt>
                <c:pt idx="26">
                  <c:v>119.90396156924925</c:v>
                </c:pt>
                <c:pt idx="27">
                  <c:v>119.61538362602028</c:v>
                </c:pt>
                <c:pt idx="28">
                  <c:v>119.13286700151224</c:v>
                </c:pt>
                <c:pt idx="29">
                  <c:v>118.45404172082942</c:v>
                </c:pt>
                <c:pt idx="30">
                  <c:v>117.57550765359255</c:v>
                </c:pt>
                <c:pt idx="31">
                  <c:v>116.49274655531133</c:v>
                </c:pt>
                <c:pt idx="32">
                  <c:v>115.2</c:v>
                </c:pt>
                <c:pt idx="33">
                  <c:v>113.6901051103393</c:v>
                </c:pt>
                <c:pt idx="34">
                  <c:v>111.95427638102977</c:v>
                </c:pt>
                <c:pt idx="35">
                  <c:v>109.98181667894016</c:v>
                </c:pt>
                <c:pt idx="36">
                  <c:v>107.7597327390895</c:v>
                </c:pt>
                <c:pt idx="37">
                  <c:v>105.27221855741428</c:v>
                </c:pt>
                <c:pt idx="38">
                  <c:v>102.4999512195006</c:v>
                </c:pt>
                <c:pt idx="39">
                  <c:v>99.419112850598324</c:v>
                </c:pt>
                <c:pt idx="40">
                  <c:v>96</c:v>
                </c:pt>
                <c:pt idx="41">
                  <c:v>92.204989019033007</c:v>
                </c:pt>
                <c:pt idx="42">
                  <c:v>87.985453343152116</c:v>
                </c:pt>
                <c:pt idx="43">
                  <c:v>83.276887549907883</c:v>
                </c:pt>
                <c:pt idx="44">
                  <c:v>77.990768684505241</c:v>
                </c:pt>
                <c:pt idx="45">
                  <c:v>72.000000000000014</c:v>
                </c:pt>
                <c:pt idx="46">
                  <c:v>65.110367838002546</c:v>
                </c:pt>
                <c:pt idx="47">
                  <c:v>56.996842017781994</c:v>
                </c:pt>
                <c:pt idx="48">
                  <c:v>47.030203061437057</c:v>
                </c:pt>
                <c:pt idx="49">
                  <c:v>33.600000000000016</c:v>
                </c:pt>
                <c:pt idx="5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Sheet2!$L$1</c:f>
              <c:strCache>
                <c:ptCount val="1"/>
                <c:pt idx="0">
                  <c:v>Final Yield Envelope</c:v>
                </c:pt>
              </c:strCache>
            </c:strRef>
          </c:tx>
          <c:spPr>
            <a:ln>
              <a:prstDash val="lgDashDot"/>
            </a:ln>
          </c:spPr>
          <c:marker>
            <c:symbol val="none"/>
          </c:marker>
          <c:xVal>
            <c:numRef>
              <c:f>Sheet2!$L$3:$L$53</c:f>
              <c:numCache>
                <c:formatCode>General</c:formatCode>
                <c:ptCount val="51"/>
                <c:pt idx="0">
                  <c:v>0</c:v>
                </c:pt>
                <c:pt idx="1">
                  <c:v>13.333334000000001</c:v>
                </c:pt>
                <c:pt idx="2">
                  <c:v>26.666668000000001</c:v>
                </c:pt>
                <c:pt idx="3">
                  <c:v>40.000002000000002</c:v>
                </c:pt>
                <c:pt idx="4">
                  <c:v>53.333336000000003</c:v>
                </c:pt>
                <c:pt idx="5">
                  <c:v>66.666670000000011</c:v>
                </c:pt>
                <c:pt idx="6">
                  <c:v>80.000004000000018</c:v>
                </c:pt>
                <c:pt idx="7">
                  <c:v>93.333338000000026</c:v>
                </c:pt>
                <c:pt idx="8">
                  <c:v>106.66667200000003</c:v>
                </c:pt>
                <c:pt idx="9">
                  <c:v>120.00000600000004</c:v>
                </c:pt>
                <c:pt idx="10">
                  <c:v>133.33334000000005</c:v>
                </c:pt>
                <c:pt idx="11">
                  <c:v>146.66667400000006</c:v>
                </c:pt>
                <c:pt idx="12">
                  <c:v>160.00000800000007</c:v>
                </c:pt>
                <c:pt idx="13">
                  <c:v>173.33334200000007</c:v>
                </c:pt>
                <c:pt idx="14">
                  <c:v>186.66667600000008</c:v>
                </c:pt>
                <c:pt idx="15">
                  <c:v>200.00001000000009</c:v>
                </c:pt>
                <c:pt idx="16">
                  <c:v>213.3333440000001</c:v>
                </c:pt>
                <c:pt idx="17">
                  <c:v>226.6666780000001</c:v>
                </c:pt>
                <c:pt idx="18">
                  <c:v>240.00001200000011</c:v>
                </c:pt>
                <c:pt idx="19">
                  <c:v>253.33334600000012</c:v>
                </c:pt>
                <c:pt idx="20">
                  <c:v>266.6666800000001</c:v>
                </c:pt>
                <c:pt idx="21">
                  <c:v>280.00001400000008</c:v>
                </c:pt>
                <c:pt idx="22">
                  <c:v>293.33334800000006</c:v>
                </c:pt>
                <c:pt idx="23">
                  <c:v>306.66668200000004</c:v>
                </c:pt>
                <c:pt idx="24">
                  <c:v>320.00001600000002</c:v>
                </c:pt>
                <c:pt idx="25">
                  <c:v>333.33335</c:v>
                </c:pt>
                <c:pt idx="26">
                  <c:v>346.66668399999998</c:v>
                </c:pt>
                <c:pt idx="27">
                  <c:v>360.00001799999995</c:v>
                </c:pt>
                <c:pt idx="28">
                  <c:v>373.33335199999993</c:v>
                </c:pt>
                <c:pt idx="29">
                  <c:v>386.66668599999991</c:v>
                </c:pt>
                <c:pt idx="30">
                  <c:v>400.00001999999989</c:v>
                </c:pt>
                <c:pt idx="31">
                  <c:v>413.33335399999987</c:v>
                </c:pt>
                <c:pt idx="32">
                  <c:v>426.66668799999985</c:v>
                </c:pt>
                <c:pt idx="33">
                  <c:v>440.00002199999983</c:v>
                </c:pt>
                <c:pt idx="34">
                  <c:v>453.33335599999981</c:v>
                </c:pt>
                <c:pt idx="35">
                  <c:v>466.66668999999979</c:v>
                </c:pt>
                <c:pt idx="36">
                  <c:v>480.00002399999977</c:v>
                </c:pt>
                <c:pt idx="37">
                  <c:v>493.33335799999975</c:v>
                </c:pt>
                <c:pt idx="38">
                  <c:v>506.66669199999973</c:v>
                </c:pt>
                <c:pt idx="39">
                  <c:v>520.00002599999971</c:v>
                </c:pt>
                <c:pt idx="40">
                  <c:v>533.33335999999974</c:v>
                </c:pt>
                <c:pt idx="41">
                  <c:v>546.66669399999978</c:v>
                </c:pt>
                <c:pt idx="42">
                  <c:v>560.00002799999982</c:v>
                </c:pt>
                <c:pt idx="43">
                  <c:v>573.33336199999985</c:v>
                </c:pt>
                <c:pt idx="44">
                  <c:v>586.66669599999989</c:v>
                </c:pt>
                <c:pt idx="45">
                  <c:v>600.00002999999992</c:v>
                </c:pt>
                <c:pt idx="46">
                  <c:v>613.33336399999996</c:v>
                </c:pt>
                <c:pt idx="47">
                  <c:v>626.666698</c:v>
                </c:pt>
                <c:pt idx="48">
                  <c:v>640.00003200000003</c:v>
                </c:pt>
                <c:pt idx="49">
                  <c:v>653.33336600000007</c:v>
                </c:pt>
                <c:pt idx="50">
                  <c:v>666.66669999999999</c:v>
                </c:pt>
              </c:numCache>
            </c:numRef>
          </c:xVal>
          <c:yVal>
            <c:numRef>
              <c:f>Sheet2!$M$3:$M$53</c:f>
              <c:numCache>
                <c:formatCode>General</c:formatCode>
                <c:ptCount val="51"/>
                <c:pt idx="0">
                  <c:v>0</c:v>
                </c:pt>
                <c:pt idx="1">
                  <c:v>112.00000559999999</c:v>
                </c:pt>
                <c:pt idx="2">
                  <c:v>156.76735137649058</c:v>
                </c:pt>
                <c:pt idx="3">
                  <c:v>189.98948289208033</c:v>
                </c:pt>
                <c:pt idx="4">
                  <c:v>217.03457031173656</c:v>
                </c:pt>
                <c:pt idx="5">
                  <c:v>240.000012</c:v>
                </c:pt>
                <c:pt idx="6">
                  <c:v>259.96924194681219</c:v>
                </c:pt>
                <c:pt idx="7">
                  <c:v>277.58963904584084</c:v>
                </c:pt>
                <c:pt idx="8">
                  <c:v>293.28485914141606</c:v>
                </c:pt>
                <c:pt idx="9">
                  <c:v>307.34997876427497</c:v>
                </c:pt>
                <c:pt idx="10">
                  <c:v>320.00001600000007</c:v>
                </c:pt>
                <c:pt idx="11">
                  <c:v>331.39705940517985</c:v>
                </c:pt>
                <c:pt idx="12">
                  <c:v>341.66652114832721</c:v>
                </c:pt>
                <c:pt idx="13">
                  <c:v>350.90741273675076</c:v>
                </c:pt>
                <c:pt idx="14">
                  <c:v>359.19912709025385</c:v>
                </c:pt>
                <c:pt idx="15">
                  <c:v>366.60607392677002</c:v>
                </c:pt>
                <c:pt idx="16">
                  <c:v>373.18093992914538</c:v>
                </c:pt>
                <c:pt idx="17">
                  <c:v>378.96703598281522</c:v>
                </c:pt>
                <c:pt idx="18">
                  <c:v>384.0000192</c:v>
                </c:pt>
                <c:pt idx="19">
                  <c:v>388.30917459982891</c:v>
                </c:pt>
                <c:pt idx="20">
                  <c:v>391.91837844122648</c:v>
                </c:pt>
                <c:pt idx="21">
                  <c:v>394.8468254784384</c:v>
                </c:pt>
                <c:pt idx="22">
                  <c:v>397.1095765271852</c:v>
                </c:pt>
                <c:pt idx="23">
                  <c:v>398.71796535596485</c:v>
                </c:pt>
                <c:pt idx="24">
                  <c:v>399.67989188149102</c:v>
                </c:pt>
                <c:pt idx="25">
                  <c:v>400.00002000000001</c:v>
                </c:pt>
                <c:pt idx="26">
                  <c:v>399.67989188149107</c:v>
                </c:pt>
                <c:pt idx="27">
                  <c:v>398.71796535596491</c:v>
                </c:pt>
                <c:pt idx="28">
                  <c:v>397.1095765271852</c:v>
                </c:pt>
                <c:pt idx="29">
                  <c:v>394.8468254784384</c:v>
                </c:pt>
                <c:pt idx="30">
                  <c:v>391.91837844122648</c:v>
                </c:pt>
                <c:pt idx="31">
                  <c:v>388.30917459982896</c:v>
                </c:pt>
                <c:pt idx="32">
                  <c:v>384.0000192</c:v>
                </c:pt>
                <c:pt idx="33">
                  <c:v>378.96703598281528</c:v>
                </c:pt>
                <c:pt idx="34">
                  <c:v>373.18093992914538</c:v>
                </c:pt>
                <c:pt idx="35">
                  <c:v>366.60607392677008</c:v>
                </c:pt>
                <c:pt idx="36">
                  <c:v>359.19912709025391</c:v>
                </c:pt>
                <c:pt idx="37">
                  <c:v>350.90741273675081</c:v>
                </c:pt>
                <c:pt idx="38">
                  <c:v>341.66652114832738</c:v>
                </c:pt>
                <c:pt idx="39">
                  <c:v>331.39705940518007</c:v>
                </c:pt>
                <c:pt idx="40">
                  <c:v>320.00001600000024</c:v>
                </c:pt>
                <c:pt idx="41">
                  <c:v>307.34997876427508</c:v>
                </c:pt>
                <c:pt idx="42">
                  <c:v>293.28485914141623</c:v>
                </c:pt>
                <c:pt idx="43">
                  <c:v>277.58963904584101</c:v>
                </c:pt>
                <c:pt idx="44">
                  <c:v>259.96924194681225</c:v>
                </c:pt>
                <c:pt idx="45">
                  <c:v>240.00001200000003</c:v>
                </c:pt>
                <c:pt idx="46">
                  <c:v>217.03457031173676</c:v>
                </c:pt>
                <c:pt idx="47">
                  <c:v>189.9894828920803</c:v>
                </c:pt>
                <c:pt idx="48">
                  <c:v>156.7673513764903</c:v>
                </c:pt>
                <c:pt idx="49">
                  <c:v>112.00000559999947</c:v>
                </c:pt>
                <c:pt idx="50">
                  <c:v>0</c:v>
                </c:pt>
              </c:numCache>
            </c:numRef>
          </c:yVal>
          <c:smooth val="1"/>
        </c:ser>
        <c:axId val="59686912"/>
        <c:axId val="59688832"/>
      </c:scatterChart>
      <c:valAx>
        <c:axId val="59686912"/>
        <c:scaling>
          <c:orientation val="minMax"/>
          <c:max val="70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p' (kPa)</a:t>
                </a:r>
              </a:p>
            </c:rich>
          </c:tx>
          <c:layout>
            <c:manualLayout>
              <c:xMode val="edge"/>
              <c:yMode val="edge"/>
              <c:x val="0.5270757845813685"/>
              <c:y val="0.8902451709665323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9688832"/>
        <c:crosses val="autoZero"/>
        <c:crossBetween val="midCat"/>
      </c:valAx>
      <c:valAx>
        <c:axId val="596888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(kPa)</a:t>
                </a:r>
              </a:p>
            </c:rich>
          </c:tx>
          <c:layout>
            <c:manualLayout>
              <c:xMode val="edge"/>
              <c:yMode val="edge"/>
              <c:x val="1.1688889891628881E-2"/>
              <c:y val="0.3623138236752665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96869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476021766571555"/>
          <c:y val="0.61373048949230646"/>
          <c:w val="0.23526031474731804"/>
          <c:h val="0.17026761218373054"/>
        </c:manualLayout>
      </c:layout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/>
            </a:pPr>
            <a:r>
              <a:rPr lang="en-US" sz="800" b="1"/>
              <a:t>Drained Triaxial Test - Normally Consolidated Clay - Constant Shear Modulus</a:t>
            </a:r>
          </a:p>
        </c:rich>
      </c:tx>
      <c:layout>
        <c:manualLayout>
          <c:xMode val="edge"/>
          <c:yMode val="edge"/>
          <c:x val="0.17046244913059583"/>
          <c:y val="2.175095160413266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617832038475768"/>
          <c:y val="0.12234910277324638"/>
          <c:w val="0.8686644469108401"/>
          <c:h val="0.7683523654159865"/>
        </c:manualLayout>
      </c:layout>
      <c:scatterChart>
        <c:scatterStyle val="lineMarker"/>
        <c:ser>
          <c:idx val="1"/>
          <c:order val="0"/>
          <c:tx>
            <c:v>Analytical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rgbClr val="000000"/>
                </a:solidFill>
              </a:ln>
            </c:spPr>
          </c:marker>
          <c:xVal>
            <c:numRef>
              <c:f>'Analytical Solution'!$R$29:$R$59</c:f>
              <c:numCache>
                <c:formatCode>General</c:formatCode>
                <c:ptCount val="31"/>
                <c:pt idx="0">
                  <c:v>0</c:v>
                </c:pt>
                <c:pt idx="1">
                  <c:v>6.2246224411729566E-4</c:v>
                </c:pt>
                <c:pt idx="2">
                  <c:v>1.415060074970101E-3</c:v>
                </c:pt>
                <c:pt idx="3">
                  <c:v>2.3933070992458215E-3</c:v>
                </c:pt>
                <c:pt idx="4">
                  <c:v>3.5673474575263989E-3</c:v>
                </c:pt>
                <c:pt idx="5">
                  <c:v>4.9437182275984953E-3</c:v>
                </c:pt>
                <c:pt idx="6">
                  <c:v>6.5265758751384562E-3</c:v>
                </c:pt>
                <c:pt idx="7">
                  <c:v>8.3187253459365475E-3</c:v>
                </c:pt>
                <c:pt idx="8">
                  <c:v>1.0322480972024022E-2</c:v>
                </c:pt>
                <c:pt idx="9">
                  <c:v>1.2540391586579032E-2</c:v>
                </c:pt>
                <c:pt idx="10">
                  <c:v>1.4975864774216478E-2</c:v>
                </c:pt>
                <c:pt idx="11">
                  <c:v>1.7633726921095702E-2</c:v>
                </c:pt>
                <c:pt idx="12">
                  <c:v>2.0520757396285567E-2</c:v>
                </c:pt>
                <c:pt idx="13">
                  <c:v>2.3646237897622217E-2</c:v>
                </c:pt>
                <c:pt idx="14">
                  <c:v>2.7022563105886827E-2</c:v>
                </c:pt>
                <c:pt idx="15">
                  <c:v>3.0665968090655714E-2</c:v>
                </c:pt>
                <c:pt idx="16">
                  <c:v>3.4597443971978482E-2</c:v>
                </c:pt>
                <c:pt idx="17">
                  <c:v>3.8843940267934626E-2</c:v>
                </c:pt>
                <c:pt idx="18">
                  <c:v>4.3439997162468436E-2</c:v>
                </c:pt>
                <c:pt idx="19">
                  <c:v>4.8430026201849045E-2</c:v>
                </c:pt>
                <c:pt idx="20">
                  <c:v>5.3871587268755995E-2</c:v>
                </c:pt>
                <c:pt idx="21">
                  <c:v>5.9840239332312375E-2</c:v>
                </c:pt>
                <c:pt idx="22">
                  <c:v>6.6436967748665879E-2</c:v>
                </c:pt>
                <c:pt idx="23">
                  <c:v>7.3800020265370941E-2</c:v>
                </c:pt>
                <c:pt idx="24">
                  <c:v>8.2124706787211149E-2</c:v>
                </c:pt>
                <c:pt idx="25">
                  <c:v>9.1698586870126955E-2</c:v>
                </c:pt>
                <c:pt idx="26">
                  <c:v>0.1029690536575574</c:v>
                </c:pt>
                <c:pt idx="27">
                  <c:v>0.11668732056215224</c:v>
                </c:pt>
                <c:pt idx="28">
                  <c:v>0.13426357533371142</c:v>
                </c:pt>
                <c:pt idx="29">
                  <c:v>0.15886607963993224</c:v>
                </c:pt>
                <c:pt idx="30">
                  <c:v>0.20060764452785906</c:v>
                </c:pt>
              </c:numCache>
            </c:numRef>
          </c:xVal>
          <c:yVal>
            <c:numRef>
              <c:f>'Analytical Solution'!$C$29:$C$59</c:f>
              <c:numCache>
                <c:formatCode>0.00</c:formatCode>
                <c:ptCount val="31"/>
                <c:pt idx="0">
                  <c:v>0</c:v>
                </c:pt>
                <c:pt idx="1">
                  <c:v>12.903225806451644</c:v>
                </c:pt>
                <c:pt idx="2">
                  <c:v>25.806451612903288</c:v>
                </c:pt>
                <c:pt idx="3">
                  <c:v>38.709677419354932</c:v>
                </c:pt>
                <c:pt idx="4">
                  <c:v>51.612903225806576</c:v>
                </c:pt>
                <c:pt idx="5">
                  <c:v>64.51612903225822</c:v>
                </c:pt>
                <c:pt idx="6">
                  <c:v>77.419354838709864</c:v>
                </c:pt>
                <c:pt idx="7">
                  <c:v>90.322580645161509</c:v>
                </c:pt>
                <c:pt idx="8">
                  <c:v>103.22580645161315</c:v>
                </c:pt>
                <c:pt idx="9">
                  <c:v>116.1290322580648</c:v>
                </c:pt>
                <c:pt idx="10">
                  <c:v>129.03225806451644</c:v>
                </c:pt>
                <c:pt idx="11">
                  <c:v>141.93548387096808</c:v>
                </c:pt>
                <c:pt idx="12">
                  <c:v>154.83870967741973</c:v>
                </c:pt>
                <c:pt idx="13">
                  <c:v>167.74193548387137</c:v>
                </c:pt>
                <c:pt idx="14">
                  <c:v>180.64516129032302</c:v>
                </c:pt>
                <c:pt idx="15">
                  <c:v>193.54838709677466</c:v>
                </c:pt>
                <c:pt idx="16">
                  <c:v>206.45161290322631</c:v>
                </c:pt>
                <c:pt idx="17">
                  <c:v>219.35483870967795</c:v>
                </c:pt>
                <c:pt idx="18">
                  <c:v>232.25806451612959</c:v>
                </c:pt>
                <c:pt idx="19">
                  <c:v>245.16129032258124</c:v>
                </c:pt>
                <c:pt idx="20">
                  <c:v>258.06451612903288</c:v>
                </c:pt>
                <c:pt idx="21">
                  <c:v>270.96774193548453</c:v>
                </c:pt>
                <c:pt idx="22">
                  <c:v>283.87096774193617</c:v>
                </c:pt>
                <c:pt idx="23">
                  <c:v>296.77419354838781</c:v>
                </c:pt>
                <c:pt idx="24">
                  <c:v>309.67741935483946</c:v>
                </c:pt>
                <c:pt idx="25">
                  <c:v>322.5806451612911</c:v>
                </c:pt>
                <c:pt idx="26">
                  <c:v>335.48387096774275</c:v>
                </c:pt>
                <c:pt idx="27">
                  <c:v>348.38709677419439</c:v>
                </c:pt>
                <c:pt idx="28">
                  <c:v>361.29032258064603</c:v>
                </c:pt>
                <c:pt idx="29">
                  <c:v>374.19354838709768</c:v>
                </c:pt>
                <c:pt idx="30">
                  <c:v>387.09677419354932</c:v>
                </c:pt>
              </c:numCache>
            </c:numRef>
          </c:yVal>
        </c:ser>
        <c:ser>
          <c:idx val="2"/>
          <c:order val="1"/>
          <c:tx>
            <c:strRef>
              <c:f>Phase2!$A$1</c:f>
              <c:strCache>
                <c:ptCount val="1"/>
                <c:pt idx="0">
                  <c:v>Phase2-Load Control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Phase2!$C$3:$C$34</c:f>
              <c:numCache>
                <c:formatCode>General</c:formatCode>
                <c:ptCount val="32"/>
                <c:pt idx="0" formatCode="0.00E+00">
                  <c:v>3.5905000000000003E-20</c:v>
                </c:pt>
                <c:pt idx="1">
                  <c:v>4.4324000000000002E-4</c:v>
                </c:pt>
                <c:pt idx="2">
                  <c:v>1.2687E-3</c:v>
                </c:pt>
                <c:pt idx="3">
                  <c:v>2.2851999999999998E-3</c:v>
                </c:pt>
                <c:pt idx="4">
                  <c:v>3.5022999999999999E-3</c:v>
                </c:pt>
                <c:pt idx="5">
                  <c:v>4.9249000000000003E-3</c:v>
                </c:pt>
                <c:pt idx="6">
                  <c:v>6.5547000000000001E-3</c:v>
                </c:pt>
                <c:pt idx="7">
                  <c:v>8.3925000000000007E-3</c:v>
                </c:pt>
                <c:pt idx="8">
                  <c:v>1.0439E-2</c:v>
                </c:pt>
                <c:pt idx="9">
                  <c:v>1.2695E-2</c:v>
                </c:pt>
                <c:pt idx="10">
                  <c:v>1.5214999999999999E-2</c:v>
                </c:pt>
                <c:pt idx="11">
                  <c:v>1.7905000000000001E-2</c:v>
                </c:pt>
                <c:pt idx="12">
                  <c:v>2.0806000000000002E-2</c:v>
                </c:pt>
                <c:pt idx="13">
                  <c:v>2.3931000000000001E-2</c:v>
                </c:pt>
                <c:pt idx="14">
                  <c:v>2.7345000000000001E-2</c:v>
                </c:pt>
                <c:pt idx="15">
                  <c:v>3.0960000000000001E-2</c:v>
                </c:pt>
                <c:pt idx="16">
                  <c:v>3.4887000000000001E-2</c:v>
                </c:pt>
                <c:pt idx="17">
                  <c:v>3.9047999999999999E-2</c:v>
                </c:pt>
                <c:pt idx="18">
                  <c:v>4.3568999999999997E-2</c:v>
                </c:pt>
                <c:pt idx="19">
                  <c:v>4.8502000000000003E-2</c:v>
                </c:pt>
                <c:pt idx="20">
                  <c:v>5.3775000000000003E-2</c:v>
                </c:pt>
                <c:pt idx="21">
                  <c:v>5.9603000000000003E-2</c:v>
                </c:pt>
                <c:pt idx="22">
                  <c:v>6.5966999999999998E-2</c:v>
                </c:pt>
                <c:pt idx="23">
                  <c:v>7.3009000000000004E-2</c:v>
                </c:pt>
                <c:pt idx="24">
                  <c:v>8.0869999999999997E-2</c:v>
                </c:pt>
                <c:pt idx="25">
                  <c:v>8.9734999999999995E-2</c:v>
                </c:pt>
                <c:pt idx="26">
                  <c:v>0.10006</c:v>
                </c:pt>
                <c:pt idx="27">
                  <c:v>0.11229</c:v>
                </c:pt>
                <c:pt idx="28">
                  <c:v>0.12726000000000001</c:v>
                </c:pt>
                <c:pt idx="29">
                  <c:v>0.14693000000000001</c:v>
                </c:pt>
                <c:pt idx="30">
                  <c:v>0.17562</c:v>
                </c:pt>
              </c:numCache>
            </c:numRef>
          </c:xVal>
          <c:yVal>
            <c:numRef>
              <c:f>Phase2!$B$3:$B$34</c:f>
              <c:numCache>
                <c:formatCode>General</c:formatCode>
                <c:ptCount val="32"/>
                <c:pt idx="0">
                  <c:v>0</c:v>
                </c:pt>
                <c:pt idx="1">
                  <c:v>12.59</c:v>
                </c:pt>
                <c:pt idx="2">
                  <c:v>25.16</c:v>
                </c:pt>
                <c:pt idx="3">
                  <c:v>37.770000000000003</c:v>
                </c:pt>
                <c:pt idx="4">
                  <c:v>50.4</c:v>
                </c:pt>
                <c:pt idx="5">
                  <c:v>63.08</c:v>
                </c:pt>
                <c:pt idx="6">
                  <c:v>75.77</c:v>
                </c:pt>
                <c:pt idx="7">
                  <c:v>88.5</c:v>
                </c:pt>
                <c:pt idx="8">
                  <c:v>101.24</c:v>
                </c:pt>
                <c:pt idx="9">
                  <c:v>113.99</c:v>
                </c:pt>
                <c:pt idx="10">
                  <c:v>126.94</c:v>
                </c:pt>
                <c:pt idx="11">
                  <c:v>139.72999999999999</c:v>
                </c:pt>
                <c:pt idx="12">
                  <c:v>152.47</c:v>
                </c:pt>
                <c:pt idx="13">
                  <c:v>165.22</c:v>
                </c:pt>
                <c:pt idx="14">
                  <c:v>178.13</c:v>
                </c:pt>
                <c:pt idx="15">
                  <c:v>190.86</c:v>
                </c:pt>
                <c:pt idx="16">
                  <c:v>203.73</c:v>
                </c:pt>
                <c:pt idx="17">
                  <c:v>216.42</c:v>
                </c:pt>
                <c:pt idx="18">
                  <c:v>229.21</c:v>
                </c:pt>
                <c:pt idx="19">
                  <c:v>242.13</c:v>
                </c:pt>
                <c:pt idx="20">
                  <c:v>254.87</c:v>
                </c:pt>
                <c:pt idx="21">
                  <c:v>267.8</c:v>
                </c:pt>
                <c:pt idx="22">
                  <c:v>280.67</c:v>
                </c:pt>
                <c:pt idx="23">
                  <c:v>293.55</c:v>
                </c:pt>
                <c:pt idx="24">
                  <c:v>306.41000000000003</c:v>
                </c:pt>
                <c:pt idx="25">
                  <c:v>319.20999999999998</c:v>
                </c:pt>
                <c:pt idx="26">
                  <c:v>332.13</c:v>
                </c:pt>
                <c:pt idx="27">
                  <c:v>345.03</c:v>
                </c:pt>
                <c:pt idx="28">
                  <c:v>357.86</c:v>
                </c:pt>
                <c:pt idx="29">
                  <c:v>370.78</c:v>
                </c:pt>
                <c:pt idx="30">
                  <c:v>383.66</c:v>
                </c:pt>
              </c:numCache>
            </c:numRef>
          </c:yVal>
        </c:ser>
        <c:ser>
          <c:idx val="0"/>
          <c:order val="2"/>
          <c:tx>
            <c:strRef>
              <c:f>Phase2!$G$1</c:f>
              <c:strCache>
                <c:ptCount val="1"/>
                <c:pt idx="0">
                  <c:v>Phase2-Displacement Control</c:v>
                </c:pt>
              </c:strCache>
            </c:strRef>
          </c:tx>
          <c:spPr>
            <a:ln w="12700"/>
          </c:spPr>
          <c:marker>
            <c:symbol val="square"/>
            <c:size val="5"/>
            <c:spPr>
              <a:noFill/>
            </c:spPr>
          </c:marker>
          <c:xVal>
            <c:numRef>
              <c:f>Phase2!$I$3:$I$34</c:f>
              <c:numCache>
                <c:formatCode>General</c:formatCode>
                <c:ptCount val="32"/>
                <c:pt idx="0" formatCode="0.00E+00">
                  <c:v>1.7203E-19</c:v>
                </c:pt>
                <c:pt idx="1">
                  <c:v>6.2246000000000003E-4</c:v>
                </c:pt>
                <c:pt idx="2">
                  <c:v>1.4151000000000001E-3</c:v>
                </c:pt>
                <c:pt idx="3">
                  <c:v>2.3933000000000001E-3</c:v>
                </c:pt>
                <c:pt idx="4">
                  <c:v>3.5672999999999998E-3</c:v>
                </c:pt>
                <c:pt idx="5">
                  <c:v>4.9436999999999997E-3</c:v>
                </c:pt>
                <c:pt idx="6">
                  <c:v>6.5265999999999996E-3</c:v>
                </c:pt>
                <c:pt idx="7">
                  <c:v>8.3187000000000001E-3</c:v>
                </c:pt>
                <c:pt idx="8">
                  <c:v>1.0323000000000001E-2</c:v>
                </c:pt>
                <c:pt idx="9">
                  <c:v>1.2540000000000001E-2</c:v>
                </c:pt>
                <c:pt idx="10">
                  <c:v>1.4976E-2</c:v>
                </c:pt>
                <c:pt idx="11">
                  <c:v>1.7634E-2</c:v>
                </c:pt>
                <c:pt idx="12">
                  <c:v>2.0521000000000001E-2</c:v>
                </c:pt>
                <c:pt idx="13">
                  <c:v>2.3646E-2</c:v>
                </c:pt>
                <c:pt idx="14">
                  <c:v>2.7022999999999998E-2</c:v>
                </c:pt>
                <c:pt idx="15">
                  <c:v>3.0665999999999999E-2</c:v>
                </c:pt>
                <c:pt idx="16">
                  <c:v>3.4597000000000003E-2</c:v>
                </c:pt>
                <c:pt idx="17">
                  <c:v>3.8843999999999997E-2</c:v>
                </c:pt>
                <c:pt idx="18">
                  <c:v>4.3439999999999999E-2</c:v>
                </c:pt>
                <c:pt idx="19">
                  <c:v>4.8430000000000001E-2</c:v>
                </c:pt>
                <c:pt idx="20">
                  <c:v>5.3872000000000003E-2</c:v>
                </c:pt>
                <c:pt idx="21">
                  <c:v>5.9839999999999997E-2</c:v>
                </c:pt>
                <c:pt idx="22">
                  <c:v>6.6436999999999996E-2</c:v>
                </c:pt>
                <c:pt idx="23">
                  <c:v>7.3800000000000004E-2</c:v>
                </c:pt>
                <c:pt idx="24">
                  <c:v>8.2125000000000004E-2</c:v>
                </c:pt>
                <c:pt idx="25">
                  <c:v>9.1699000000000003E-2</c:v>
                </c:pt>
                <c:pt idx="26">
                  <c:v>0.10297000000000001</c:v>
                </c:pt>
                <c:pt idx="27">
                  <c:v>0.11669</c:v>
                </c:pt>
                <c:pt idx="28">
                  <c:v>0.13425999999999999</c:v>
                </c:pt>
                <c:pt idx="29">
                  <c:v>0.15887000000000001</c:v>
                </c:pt>
                <c:pt idx="30">
                  <c:v>0.20061000000000001</c:v>
                </c:pt>
              </c:numCache>
            </c:numRef>
          </c:xVal>
          <c:yVal>
            <c:numRef>
              <c:f>Phase2!$H$3:$H$34</c:f>
              <c:numCache>
                <c:formatCode>General</c:formatCode>
                <c:ptCount val="32"/>
                <c:pt idx="0">
                  <c:v>0</c:v>
                </c:pt>
                <c:pt idx="1">
                  <c:v>15.55</c:v>
                </c:pt>
                <c:pt idx="2">
                  <c:v>26.51</c:v>
                </c:pt>
                <c:pt idx="3">
                  <c:v>39.33</c:v>
                </c:pt>
                <c:pt idx="4">
                  <c:v>51.22</c:v>
                </c:pt>
                <c:pt idx="5">
                  <c:v>63.24</c:v>
                </c:pt>
                <c:pt idx="6">
                  <c:v>75.41</c:v>
                </c:pt>
                <c:pt idx="7">
                  <c:v>87.72</c:v>
                </c:pt>
                <c:pt idx="8">
                  <c:v>100.12</c:v>
                </c:pt>
                <c:pt idx="9">
                  <c:v>112.58</c:v>
                </c:pt>
                <c:pt idx="10">
                  <c:v>125.1</c:v>
                </c:pt>
                <c:pt idx="11">
                  <c:v>137.66</c:v>
                </c:pt>
                <c:pt idx="12">
                  <c:v>150.25</c:v>
                </c:pt>
                <c:pt idx="13">
                  <c:v>163.41</c:v>
                </c:pt>
                <c:pt idx="14">
                  <c:v>175.81</c:v>
                </c:pt>
                <c:pt idx="15">
                  <c:v>188.26</c:v>
                </c:pt>
                <c:pt idx="16">
                  <c:v>200.75</c:v>
                </c:pt>
                <c:pt idx="17">
                  <c:v>213.62</c:v>
                </c:pt>
                <c:pt idx="18">
                  <c:v>225.88</c:v>
                </c:pt>
                <c:pt idx="19">
                  <c:v>238.78</c:v>
                </c:pt>
                <c:pt idx="20">
                  <c:v>251.23</c:v>
                </c:pt>
                <c:pt idx="21">
                  <c:v>264.49</c:v>
                </c:pt>
                <c:pt idx="22">
                  <c:v>277.99</c:v>
                </c:pt>
                <c:pt idx="23">
                  <c:v>291.5</c:v>
                </c:pt>
                <c:pt idx="24">
                  <c:v>304.98</c:v>
                </c:pt>
                <c:pt idx="25">
                  <c:v>318.54000000000002</c:v>
                </c:pt>
                <c:pt idx="26">
                  <c:v>332.29</c:v>
                </c:pt>
                <c:pt idx="27">
                  <c:v>345.91</c:v>
                </c:pt>
                <c:pt idx="28">
                  <c:v>359.68</c:v>
                </c:pt>
                <c:pt idx="29">
                  <c:v>373.37</c:v>
                </c:pt>
                <c:pt idx="30">
                  <c:v>387.09</c:v>
                </c:pt>
              </c:numCache>
            </c:numRef>
          </c:yVal>
        </c:ser>
        <c:axId val="44163456"/>
        <c:axId val="44164992"/>
      </c:scatterChart>
      <c:valAx>
        <c:axId val="441634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Axial Strain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1272430668842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4164992"/>
        <c:crosses val="autoZero"/>
        <c:crossBetween val="midCat"/>
      </c:valAx>
      <c:valAx>
        <c:axId val="441649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Deviatoric Stress (kPa)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828711256117457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41634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082500924898284"/>
          <c:y val="0.69200875176084231"/>
          <c:w val="0.2551387347391787"/>
          <c:h val="0.11596768185379765"/>
        </c:manualLayout>
      </c:layout>
    </c:legend>
    <c:plotVisOnly val="1"/>
    <c:dispBlanksAs val="gap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/>
            </a:pPr>
            <a:r>
              <a:rPr lang="en-US" sz="800" b="1"/>
              <a:t>Drained Triaxial Test - Normally Consolidated Clay - Constant Shear Modulus</a:t>
            </a:r>
          </a:p>
        </c:rich>
      </c:tx>
      <c:layout>
        <c:manualLayout>
          <c:xMode val="edge"/>
          <c:yMode val="edge"/>
          <c:x val="0.17046244913059583"/>
          <c:y val="2.175095160413266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25897151313359"/>
          <c:y val="0.12234910277324638"/>
          <c:w val="0.87310395856455825"/>
          <c:h val="0.7683523654159865"/>
        </c:manualLayout>
      </c:layout>
      <c:scatterChart>
        <c:scatterStyle val="lineMarker"/>
        <c:ser>
          <c:idx val="4"/>
          <c:order val="0"/>
          <c:tx>
            <c:v>Analytical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'Analytical Solution'!$R$29:$R$59</c:f>
              <c:numCache>
                <c:formatCode>General</c:formatCode>
                <c:ptCount val="31"/>
                <c:pt idx="0">
                  <c:v>0</c:v>
                </c:pt>
                <c:pt idx="1">
                  <c:v>6.2246224411729566E-4</c:v>
                </c:pt>
                <c:pt idx="2">
                  <c:v>1.415060074970101E-3</c:v>
                </c:pt>
                <c:pt idx="3">
                  <c:v>2.3933070992458215E-3</c:v>
                </c:pt>
                <c:pt idx="4">
                  <c:v>3.5673474575263989E-3</c:v>
                </c:pt>
                <c:pt idx="5">
                  <c:v>4.9437182275984953E-3</c:v>
                </c:pt>
                <c:pt idx="6">
                  <c:v>6.5265758751384562E-3</c:v>
                </c:pt>
                <c:pt idx="7">
                  <c:v>8.3187253459365475E-3</c:v>
                </c:pt>
                <c:pt idx="8">
                  <c:v>1.0322480972024022E-2</c:v>
                </c:pt>
                <c:pt idx="9">
                  <c:v>1.2540391586579032E-2</c:v>
                </c:pt>
                <c:pt idx="10">
                  <c:v>1.4975864774216478E-2</c:v>
                </c:pt>
                <c:pt idx="11">
                  <c:v>1.7633726921095702E-2</c:v>
                </c:pt>
                <c:pt idx="12">
                  <c:v>2.0520757396285567E-2</c:v>
                </c:pt>
                <c:pt idx="13">
                  <c:v>2.3646237897622217E-2</c:v>
                </c:pt>
                <c:pt idx="14">
                  <c:v>2.7022563105886827E-2</c:v>
                </c:pt>
                <c:pt idx="15">
                  <c:v>3.0665968090655714E-2</c:v>
                </c:pt>
                <c:pt idx="16">
                  <c:v>3.4597443971978482E-2</c:v>
                </c:pt>
                <c:pt idx="17">
                  <c:v>3.8843940267934626E-2</c:v>
                </c:pt>
                <c:pt idx="18">
                  <c:v>4.3439997162468436E-2</c:v>
                </c:pt>
                <c:pt idx="19">
                  <c:v>4.8430026201849045E-2</c:v>
                </c:pt>
                <c:pt idx="20">
                  <c:v>5.3871587268755995E-2</c:v>
                </c:pt>
                <c:pt idx="21">
                  <c:v>5.9840239332312375E-2</c:v>
                </c:pt>
                <c:pt idx="22">
                  <c:v>6.6436967748665879E-2</c:v>
                </c:pt>
                <c:pt idx="23">
                  <c:v>7.3800020265370941E-2</c:v>
                </c:pt>
                <c:pt idx="24">
                  <c:v>8.2124706787211149E-2</c:v>
                </c:pt>
                <c:pt idx="25">
                  <c:v>9.1698586870126955E-2</c:v>
                </c:pt>
                <c:pt idx="26">
                  <c:v>0.1029690536575574</c:v>
                </c:pt>
                <c:pt idx="27">
                  <c:v>0.11668732056215224</c:v>
                </c:pt>
                <c:pt idx="28">
                  <c:v>0.13426357533371142</c:v>
                </c:pt>
                <c:pt idx="29">
                  <c:v>0.15886607963993224</c:v>
                </c:pt>
                <c:pt idx="30">
                  <c:v>0.20060764452785906</c:v>
                </c:pt>
              </c:numCache>
            </c:numRef>
          </c:xVal>
          <c:yVal>
            <c:numRef>
              <c:f>'Analytical Solution'!$L$29:$L$59</c:f>
              <c:numCache>
                <c:formatCode>General</c:formatCode>
                <c:ptCount val="31"/>
                <c:pt idx="0">
                  <c:v>0</c:v>
                </c:pt>
                <c:pt idx="1">
                  <c:v>1.0884856040086375E-3</c:v>
                </c:pt>
                <c:pt idx="2">
                  <c:v>2.3608996031655922E-3</c:v>
                </c:pt>
                <c:pt idx="3">
                  <c:v>3.7904628073849572E-3</c:v>
                </c:pt>
                <c:pt idx="4">
                  <c:v>5.3510336844867987E-3</c:v>
                </c:pt>
                <c:pt idx="5">
                  <c:v>7.0185376039463131E-3</c:v>
                </c:pt>
                <c:pt idx="6">
                  <c:v>8.7712462631244961E-3</c:v>
                </c:pt>
                <c:pt idx="7">
                  <c:v>1.0589882344701953E-2</c:v>
                </c:pt>
                <c:pt idx="8">
                  <c:v>1.2457592929439846E-2</c:v>
                </c:pt>
                <c:pt idx="9">
                  <c:v>1.4359832068909112E-2</c:v>
                </c:pt>
                <c:pt idx="10">
                  <c:v>1.6284186593580864E-2</c:v>
                </c:pt>
                <c:pt idx="11">
                  <c:v>1.8220171837033061E-2</c:v>
                </c:pt>
                <c:pt idx="12">
                  <c:v>2.0159016849897956E-2</c:v>
                </c:pt>
                <c:pt idx="13">
                  <c:v>2.2093452558334781E-2</c:v>
                </c:pt>
                <c:pt idx="14">
                  <c:v>2.4017511438771705E-2</c:v>
                </c:pt>
                <c:pt idx="15">
                  <c:v>2.5926343609587323E-2</c:v>
                </c:pt>
                <c:pt idx="16">
                  <c:v>2.7816051622084163E-2</c:v>
                </c:pt>
                <c:pt idx="17">
                  <c:v>2.9683544461278355E-2</c:v>
                </c:pt>
                <c:pt idx="18">
                  <c:v>3.1526410138359807E-2</c:v>
                </c:pt>
                <c:pt idx="19">
                  <c:v>3.3342805594530366E-2</c:v>
                </c:pt>
                <c:pt idx="20">
                  <c:v>3.513136229826213E-2</c:v>
                </c:pt>
                <c:pt idx="21">
                  <c:v>3.6891105796529169E-2</c:v>
                </c:pt>
                <c:pt idx="22">
                  <c:v>3.8621387496106711E-2</c:v>
                </c:pt>
                <c:pt idx="23">
                  <c:v>4.0321827047789457E-2</c:v>
                </c:pt>
                <c:pt idx="24">
                  <c:v>4.1992263846299539E-2</c:v>
                </c:pt>
                <c:pt idx="25">
                  <c:v>4.3632716316720825E-2</c:v>
                </c:pt>
                <c:pt idx="26">
                  <c:v>4.5243347818730413E-2</c:v>
                </c:pt>
                <c:pt idx="27">
                  <c:v>4.6824438153294755E-2</c:v>
                </c:pt>
                <c:pt idx="28">
                  <c:v>4.8376359797781036E-2</c:v>
                </c:pt>
                <c:pt idx="29">
                  <c:v>4.9899558122248382E-2</c:v>
                </c:pt>
                <c:pt idx="30">
                  <c:v>5.1394534951498559E-2</c:v>
                </c:pt>
              </c:numCache>
            </c:numRef>
          </c:yVal>
        </c:ser>
        <c:ser>
          <c:idx val="0"/>
          <c:order val="1"/>
          <c:tx>
            <c:strRef>
              <c:f>Phase2!$A$1</c:f>
              <c:strCache>
                <c:ptCount val="1"/>
                <c:pt idx="0">
                  <c:v>Phase2-Load Control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Phase2!$C$3:$C$34</c:f>
              <c:numCache>
                <c:formatCode>General</c:formatCode>
                <c:ptCount val="32"/>
                <c:pt idx="0" formatCode="0.00E+00">
                  <c:v>3.5905000000000003E-20</c:v>
                </c:pt>
                <c:pt idx="1">
                  <c:v>4.4324000000000002E-4</c:v>
                </c:pt>
                <c:pt idx="2">
                  <c:v>1.2687E-3</c:v>
                </c:pt>
                <c:pt idx="3">
                  <c:v>2.2851999999999998E-3</c:v>
                </c:pt>
                <c:pt idx="4">
                  <c:v>3.5022999999999999E-3</c:v>
                </c:pt>
                <c:pt idx="5">
                  <c:v>4.9249000000000003E-3</c:v>
                </c:pt>
                <c:pt idx="6">
                  <c:v>6.5547000000000001E-3</c:v>
                </c:pt>
                <c:pt idx="7">
                  <c:v>8.3925000000000007E-3</c:v>
                </c:pt>
                <c:pt idx="8">
                  <c:v>1.0439E-2</c:v>
                </c:pt>
                <c:pt idx="9">
                  <c:v>1.2695E-2</c:v>
                </c:pt>
                <c:pt idx="10">
                  <c:v>1.5214999999999999E-2</c:v>
                </c:pt>
                <c:pt idx="11">
                  <c:v>1.7905000000000001E-2</c:v>
                </c:pt>
                <c:pt idx="12">
                  <c:v>2.0806000000000002E-2</c:v>
                </c:pt>
                <c:pt idx="13">
                  <c:v>2.3931000000000001E-2</c:v>
                </c:pt>
                <c:pt idx="14">
                  <c:v>2.7345000000000001E-2</c:v>
                </c:pt>
                <c:pt idx="15">
                  <c:v>3.0960000000000001E-2</c:v>
                </c:pt>
                <c:pt idx="16">
                  <c:v>3.4887000000000001E-2</c:v>
                </c:pt>
                <c:pt idx="17">
                  <c:v>3.9047999999999999E-2</c:v>
                </c:pt>
                <c:pt idx="18">
                  <c:v>4.3568999999999997E-2</c:v>
                </c:pt>
                <c:pt idx="19">
                  <c:v>4.8502000000000003E-2</c:v>
                </c:pt>
                <c:pt idx="20">
                  <c:v>5.3775000000000003E-2</c:v>
                </c:pt>
                <c:pt idx="21">
                  <c:v>5.9603000000000003E-2</c:v>
                </c:pt>
                <c:pt idx="22">
                  <c:v>6.5966999999999998E-2</c:v>
                </c:pt>
                <c:pt idx="23">
                  <c:v>7.3009000000000004E-2</c:v>
                </c:pt>
                <c:pt idx="24">
                  <c:v>8.0869999999999997E-2</c:v>
                </c:pt>
                <c:pt idx="25">
                  <c:v>8.9734999999999995E-2</c:v>
                </c:pt>
                <c:pt idx="26">
                  <c:v>0.10006</c:v>
                </c:pt>
                <c:pt idx="27">
                  <c:v>0.11229</c:v>
                </c:pt>
                <c:pt idx="28">
                  <c:v>0.12726000000000001</c:v>
                </c:pt>
                <c:pt idx="29">
                  <c:v>0.14693000000000001</c:v>
                </c:pt>
                <c:pt idx="30">
                  <c:v>0.17562</c:v>
                </c:pt>
              </c:numCache>
            </c:numRef>
          </c:xVal>
          <c:yVal>
            <c:numRef>
              <c:f>Phase2!$D$3:$D$34</c:f>
              <c:numCache>
                <c:formatCode>General</c:formatCode>
                <c:ptCount val="32"/>
                <c:pt idx="0" formatCode="0.00E+00">
                  <c:v>1.21349E-18</c:v>
                </c:pt>
                <c:pt idx="1">
                  <c:v>5.6755200000000003E-4</c:v>
                </c:pt>
                <c:pt idx="2">
                  <c:v>1.83158E-3</c:v>
                </c:pt>
                <c:pt idx="3">
                  <c:v>3.2599399999999998E-3</c:v>
                </c:pt>
                <c:pt idx="4">
                  <c:v>4.8261800000000002E-3</c:v>
                </c:pt>
                <c:pt idx="5">
                  <c:v>6.5038800000000001E-3</c:v>
                </c:pt>
                <c:pt idx="6">
                  <c:v>8.2686200000000008E-3</c:v>
                </c:pt>
                <c:pt idx="7">
                  <c:v>1.0099500000000001E-2</c:v>
                </c:pt>
                <c:pt idx="8">
                  <c:v>1.1978600000000001E-2</c:v>
                </c:pt>
                <c:pt idx="9">
                  <c:v>1.3890899999999999E-2</c:v>
                </c:pt>
                <c:pt idx="10">
                  <c:v>1.5866100000000001E-2</c:v>
                </c:pt>
                <c:pt idx="11">
                  <c:v>1.78122E-2</c:v>
                </c:pt>
                <c:pt idx="12">
                  <c:v>1.9752800000000001E-2</c:v>
                </c:pt>
                <c:pt idx="13">
                  <c:v>2.1685400000000001E-2</c:v>
                </c:pt>
                <c:pt idx="14">
                  <c:v>2.36356E-2</c:v>
                </c:pt>
                <c:pt idx="15">
                  <c:v>2.55388E-2</c:v>
                </c:pt>
                <c:pt idx="16">
                  <c:v>2.7443200000000001E-2</c:v>
                </c:pt>
                <c:pt idx="17">
                  <c:v>2.9295600000000002E-2</c:v>
                </c:pt>
                <c:pt idx="18">
                  <c:v>3.1140000000000001E-2</c:v>
                </c:pt>
                <c:pt idx="19">
                  <c:v>3.2974799999999999E-2</c:v>
                </c:pt>
                <c:pt idx="20">
                  <c:v>3.47552E-2</c:v>
                </c:pt>
                <c:pt idx="21">
                  <c:v>3.6531000000000001E-2</c:v>
                </c:pt>
                <c:pt idx="22">
                  <c:v>3.8268999999999997E-2</c:v>
                </c:pt>
                <c:pt idx="23">
                  <c:v>3.9976999999999999E-2</c:v>
                </c:pt>
                <c:pt idx="24">
                  <c:v>4.165E-2</c:v>
                </c:pt>
                <c:pt idx="25">
                  <c:v>4.3286999999999999E-2</c:v>
                </c:pt>
                <c:pt idx="26">
                  <c:v>4.4909999999999999E-2</c:v>
                </c:pt>
                <c:pt idx="27">
                  <c:v>4.6496000000000003E-2</c:v>
                </c:pt>
                <c:pt idx="28">
                  <c:v>4.8048E-2</c:v>
                </c:pt>
                <c:pt idx="29">
                  <c:v>4.9570000000000003E-2</c:v>
                </c:pt>
                <c:pt idx="30">
                  <c:v>5.1063999999999998E-2</c:v>
                </c:pt>
              </c:numCache>
            </c:numRef>
          </c:yVal>
        </c:ser>
        <c:ser>
          <c:idx val="1"/>
          <c:order val="2"/>
          <c:tx>
            <c:strRef>
              <c:f>Phase2!$G$1</c:f>
              <c:strCache>
                <c:ptCount val="1"/>
                <c:pt idx="0">
                  <c:v>Phase2-Displacement Control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marker>
            <c:symbol val="square"/>
            <c:size val="5"/>
            <c:spPr>
              <a:noFill/>
              <a:ln>
                <a:solidFill>
                  <a:srgbClr val="4F81BD"/>
                </a:solidFill>
              </a:ln>
            </c:spPr>
          </c:marker>
          <c:xVal>
            <c:numRef>
              <c:f>Phase2!$I$3:$I$33</c:f>
              <c:numCache>
                <c:formatCode>General</c:formatCode>
                <c:ptCount val="31"/>
                <c:pt idx="0" formatCode="0.00E+00">
                  <c:v>1.7203E-19</c:v>
                </c:pt>
                <c:pt idx="1">
                  <c:v>6.2246000000000003E-4</c:v>
                </c:pt>
                <c:pt idx="2">
                  <c:v>1.4151000000000001E-3</c:v>
                </c:pt>
                <c:pt idx="3">
                  <c:v>2.3933000000000001E-3</c:v>
                </c:pt>
                <c:pt idx="4">
                  <c:v>3.5672999999999998E-3</c:v>
                </c:pt>
                <c:pt idx="5">
                  <c:v>4.9436999999999997E-3</c:v>
                </c:pt>
                <c:pt idx="6">
                  <c:v>6.5265999999999996E-3</c:v>
                </c:pt>
                <c:pt idx="7">
                  <c:v>8.3187000000000001E-3</c:v>
                </c:pt>
                <c:pt idx="8">
                  <c:v>1.0323000000000001E-2</c:v>
                </c:pt>
                <c:pt idx="9">
                  <c:v>1.2540000000000001E-2</c:v>
                </c:pt>
                <c:pt idx="10">
                  <c:v>1.4976E-2</c:v>
                </c:pt>
                <c:pt idx="11">
                  <c:v>1.7634E-2</c:v>
                </c:pt>
                <c:pt idx="12">
                  <c:v>2.0521000000000001E-2</c:v>
                </c:pt>
                <c:pt idx="13">
                  <c:v>2.3646E-2</c:v>
                </c:pt>
                <c:pt idx="14">
                  <c:v>2.7022999999999998E-2</c:v>
                </c:pt>
                <c:pt idx="15">
                  <c:v>3.0665999999999999E-2</c:v>
                </c:pt>
                <c:pt idx="16">
                  <c:v>3.4597000000000003E-2</c:v>
                </c:pt>
                <c:pt idx="17">
                  <c:v>3.8843999999999997E-2</c:v>
                </c:pt>
                <c:pt idx="18">
                  <c:v>4.3439999999999999E-2</c:v>
                </c:pt>
                <c:pt idx="19">
                  <c:v>4.8430000000000001E-2</c:v>
                </c:pt>
                <c:pt idx="20">
                  <c:v>5.3872000000000003E-2</c:v>
                </c:pt>
                <c:pt idx="21">
                  <c:v>5.9839999999999997E-2</c:v>
                </c:pt>
                <c:pt idx="22">
                  <c:v>6.6436999999999996E-2</c:v>
                </c:pt>
                <c:pt idx="23">
                  <c:v>7.3800000000000004E-2</c:v>
                </c:pt>
                <c:pt idx="24">
                  <c:v>8.2125000000000004E-2</c:v>
                </c:pt>
                <c:pt idx="25">
                  <c:v>9.1699000000000003E-2</c:v>
                </c:pt>
                <c:pt idx="26">
                  <c:v>0.10297000000000001</c:v>
                </c:pt>
                <c:pt idx="27">
                  <c:v>0.11669</c:v>
                </c:pt>
                <c:pt idx="28">
                  <c:v>0.13425999999999999</c:v>
                </c:pt>
                <c:pt idx="29">
                  <c:v>0.15887000000000001</c:v>
                </c:pt>
                <c:pt idx="30">
                  <c:v>0.20061000000000001</c:v>
                </c:pt>
              </c:numCache>
            </c:numRef>
          </c:xVal>
          <c:yVal>
            <c:numRef>
              <c:f>Phase2!$J$3:$J$33</c:f>
              <c:numCache>
                <c:formatCode>General</c:formatCode>
                <c:ptCount val="31"/>
                <c:pt idx="0" formatCode="0.00E+00">
                  <c:v>1.18751E-18</c:v>
                </c:pt>
                <c:pt idx="1">
                  <c:v>8.4442000000000002E-4</c:v>
                </c:pt>
                <c:pt idx="2">
                  <c:v>2.0714000000000002E-3</c:v>
                </c:pt>
                <c:pt idx="3">
                  <c:v>3.3899799999999999E-3</c:v>
                </c:pt>
                <c:pt idx="4">
                  <c:v>4.8822800000000001E-3</c:v>
                </c:pt>
                <c:pt idx="5">
                  <c:v>6.4908800000000001E-3</c:v>
                </c:pt>
                <c:pt idx="6">
                  <c:v>8.1913200000000002E-3</c:v>
                </c:pt>
                <c:pt idx="7">
                  <c:v>9.9633800000000008E-3</c:v>
                </c:pt>
                <c:pt idx="8">
                  <c:v>1.1790200000000001E-2</c:v>
                </c:pt>
                <c:pt idx="9">
                  <c:v>1.3654700000000001E-2</c:v>
                </c:pt>
                <c:pt idx="10">
                  <c:v>1.55467E-2</c:v>
                </c:pt>
                <c:pt idx="11">
                  <c:v>1.74536E-2</c:v>
                </c:pt>
                <c:pt idx="12">
                  <c:v>1.9366600000000001E-2</c:v>
                </c:pt>
                <c:pt idx="13">
                  <c:v>2.1238199999999999E-2</c:v>
                </c:pt>
                <c:pt idx="14">
                  <c:v>2.3131800000000001E-2</c:v>
                </c:pt>
                <c:pt idx="15">
                  <c:v>2.5014999999999999E-2</c:v>
                </c:pt>
                <c:pt idx="16">
                  <c:v>2.6886199999999999E-2</c:v>
                </c:pt>
                <c:pt idx="17">
                  <c:v>2.8703599999999999E-2</c:v>
                </c:pt>
                <c:pt idx="18">
                  <c:v>3.0544999999999999E-2</c:v>
                </c:pt>
                <c:pt idx="19">
                  <c:v>3.23916E-2</c:v>
                </c:pt>
                <c:pt idx="20">
                  <c:v>3.4284799999999997E-2</c:v>
                </c:pt>
                <c:pt idx="21">
                  <c:v>3.6142000000000001E-2</c:v>
                </c:pt>
                <c:pt idx="22">
                  <c:v>3.7961000000000002E-2</c:v>
                </c:pt>
                <c:pt idx="23">
                  <c:v>3.9742E-2</c:v>
                </c:pt>
                <c:pt idx="24">
                  <c:v>4.1488999999999998E-2</c:v>
                </c:pt>
                <c:pt idx="25">
                  <c:v>4.3253E-2</c:v>
                </c:pt>
                <c:pt idx="26">
                  <c:v>4.4937999999999999E-2</c:v>
                </c:pt>
                <c:pt idx="27">
                  <c:v>4.6623999999999999E-2</c:v>
                </c:pt>
                <c:pt idx="28">
                  <c:v>4.8275999999999999E-2</c:v>
                </c:pt>
                <c:pt idx="29">
                  <c:v>4.9889999999999997E-2</c:v>
                </c:pt>
                <c:pt idx="30">
                  <c:v>5.1473999999999999E-2</c:v>
                </c:pt>
              </c:numCache>
            </c:numRef>
          </c:yVal>
        </c:ser>
        <c:axId val="44252544"/>
        <c:axId val="44255104"/>
      </c:scatterChart>
      <c:valAx>
        <c:axId val="4425254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Axial Strain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1272430668842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4255104"/>
        <c:crosses val="autoZero"/>
        <c:crossBetween val="midCat"/>
      </c:valAx>
      <c:valAx>
        <c:axId val="44255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Volumetric Strain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828711256117457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42525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046614872363999"/>
          <c:y val="0.69418384692125557"/>
          <c:w val="0.26549759526452088"/>
          <c:h val="0.11596768185379761"/>
        </c:manualLayout>
      </c:layout>
    </c:legend>
    <c:plotVisOnly val="1"/>
    <c:dispBlanksAs val="gap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7.8801331853496179E-2"/>
          <c:y val="3.4257748776509001E-2"/>
          <c:w val="0.89456159822419534"/>
          <c:h val="0.85970636215334462"/>
        </c:manualLayout>
      </c:layout>
      <c:scatterChart>
        <c:scatterStyle val="lineMarker"/>
        <c:ser>
          <c:idx val="0"/>
          <c:order val="0"/>
          <c:tx>
            <c:v>v-ea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6.5461845171574861E-4</c:v>
                </c:pt>
                <c:pt idx="6">
                  <c:v>1.4757574053034721E-3</c:v>
                </c:pt>
                <c:pt idx="7">
                  <c:v>2.4793364584314846E-3</c:v>
                </c:pt>
                <c:pt idx="8">
                  <c:v>3.6762402963871092E-3</c:v>
                </c:pt>
                <c:pt idx="9">
                  <c:v>5.0737479751004917E-3</c:v>
                </c:pt>
                <c:pt idx="10">
                  <c:v>6.6767409825901685E-3</c:v>
                </c:pt>
                <c:pt idx="11">
                  <c:v>8.4887186305141523E-3</c:v>
                </c:pt>
                <c:pt idx="12">
                  <c:v>1.051265027722346E-2</c:v>
                </c:pt>
                <c:pt idx="13">
                  <c:v>1.2751696413861213E-2</c:v>
                </c:pt>
                <c:pt idx="14">
                  <c:v>1.52098328354205E-2</c:v>
                </c:pt>
                <c:pt idx="15">
                  <c:v>1.7892413763847769E-2</c:v>
                </c:pt>
                <c:pt idx="16">
                  <c:v>2.0806711520508496E-2</c:v>
                </c:pt>
                <c:pt idx="17">
                  <c:v>2.3962473195846774E-2</c:v>
                </c:pt>
                <c:pt idx="18">
                  <c:v>2.7372540063389718E-2</c:v>
                </c:pt>
                <c:pt idx="19">
                  <c:v>3.1053584989934394E-2</c:v>
                </c:pt>
                <c:pt idx="20">
                  <c:v>3.5027039370830536E-2</c:v>
                </c:pt>
                <c:pt idx="21">
                  <c:v>3.9320308282702984E-2</c:v>
                </c:pt>
                <c:pt idx="22">
                  <c:v>4.3968417635549498E-2</c:v>
                </c:pt>
                <c:pt idx="23">
                  <c:v>4.9016312761630182E-2</c:v>
                </c:pt>
                <c:pt idx="24">
                  <c:v>5.4522157782957006E-2</c:v>
                </c:pt>
                <c:pt idx="25">
                  <c:v>6.0562215651820121E-2</c:v>
                </c:pt>
                <c:pt idx="26">
                  <c:v>6.723831558189107E-2</c:v>
                </c:pt>
                <c:pt idx="27">
                  <c:v>7.4689746782131014E-2</c:v>
                </c:pt>
                <c:pt idx="28">
                  <c:v>8.311314577819498E-2</c:v>
                </c:pt>
                <c:pt idx="29">
                  <c:v>9.2797824960718395E-2</c:v>
                </c:pt>
                <c:pt idx="30">
                  <c:v>0.10419360104578029</c:v>
                </c:pt>
                <c:pt idx="31">
                  <c:v>0.11805524797101635</c:v>
                </c:pt>
                <c:pt idx="32">
                  <c:v>0.13579866676051922</c:v>
                </c:pt>
                <c:pt idx="33">
                  <c:v>0.1606027100813871</c:v>
                </c:pt>
                <c:pt idx="34">
                  <c:v>0.20260649063855887</c:v>
                </c:pt>
              </c:numCache>
            </c:numRef>
          </c:xVal>
          <c:yVal>
            <c:numRef>
              <c:f>'Analytical Solution'!$G$25:$G$59</c:f>
              <c:numCache>
                <c:formatCode>General</c:formatCode>
                <c:ptCount val="35"/>
                <c:pt idx="0">
                  <c:v>1.4383110538078296</c:v>
                </c:pt>
                <c:pt idx="1">
                  <c:v>1.4383110538078296</c:v>
                </c:pt>
                <c:pt idx="2">
                  <c:v>1.4383110538078296</c:v>
                </c:pt>
                <c:pt idx="3">
                  <c:v>1.4383110538078296</c:v>
                </c:pt>
                <c:pt idx="4">
                  <c:v>1.4383110538078296</c:v>
                </c:pt>
                <c:pt idx="5">
                  <c:v>1.4367241727797779</c:v>
                </c:pt>
                <c:pt idx="6">
                  <c:v>1.4348339410995643</c:v>
                </c:pt>
                <c:pt idx="7">
                  <c:v>1.4326866886084799</c:v>
                </c:pt>
                <c:pt idx="8">
                  <c:v>1.4303261358594432</c:v>
                </c:pt>
                <c:pt idx="9">
                  <c:v>1.4277925221550034</c:v>
                </c:pt>
                <c:pt idx="10">
                  <c:v>1.4251221106264094</c:v>
                </c:pt>
                <c:pt idx="11">
                  <c:v>1.4223470000581218</c:v>
                </c:pt>
                <c:pt idx="12">
                  <c:v>1.4194951672474576</c:v>
                </c:pt>
                <c:pt idx="13">
                  <c:v>1.4165906688212573</c:v>
                </c:pt>
                <c:pt idx="14">
                  <c:v>1.4136539424508472</c:v>
                </c:pt>
                <c:pt idx="15">
                  <c:v>1.4107021604358985</c:v>
                </c:pt>
                <c:pt idx="16">
                  <c:v>1.4077496012056812</c:v>
                </c:pt>
                <c:pt idx="17">
                  <c:v>1.4048080151293412</c:v>
                </c:pt>
                <c:pt idx="18">
                  <c:v>1.4018869696755729</c:v>
                </c:pt>
                <c:pt idx="19">
                  <c:v>1.3989941654516191</c:v>
                </c:pt>
                <c:pt idx="20">
                  <c:v>1.3961357192648072</c:v>
                </c:pt>
                <c:pt idx="21">
                  <c:v>1.3933164134562577</c:v>
                </c:pt>
                <c:pt idx="22">
                  <c:v>1.3905399127207181</c:v>
                </c:pt>
                <c:pt idx="23">
                  <c:v>1.3878089507652323</c:v>
                </c:pt>
                <c:pt idx="24">
                  <c:v>1.3851254897266911</c:v>
                </c:pt>
                <c:pt idx="25">
                  <c:v>1.3824908554573205</c:v>
                </c:pt>
                <c:pt idx="26">
                  <c:v>1.3799058517385372</c:v>
                </c:pt>
                <c:pt idx="27">
                  <c:v>1.3773708562960132</c:v>
                </c:pt>
                <c:pt idx="28">
                  <c:v>1.374885901229125</c:v>
                </c:pt>
                <c:pt idx="29">
                  <c:v>1.3724507401799086</c:v>
                </c:pt>
                <c:pt idx="30">
                  <c:v>1.370064904277398</c:v>
                </c:pt>
                <c:pt idx="31">
                  <c:v>1.3677277486188248</c:v>
                </c:pt>
                <c:pt idx="32">
                  <c:v>1.3654384907980148</c:v>
                </c:pt>
                <c:pt idx="33">
                  <c:v>1.3631962427670763</c:v>
                </c:pt>
                <c:pt idx="34">
                  <c:v>1.3610000371207414</c:v>
                </c:pt>
              </c:numCache>
            </c:numRef>
          </c:yVal>
        </c:ser>
        <c:axId val="44267392"/>
        <c:axId val="44269952"/>
      </c:scatterChart>
      <c:valAx>
        <c:axId val="44267392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ea</a:t>
                </a:r>
              </a:p>
            </c:rich>
          </c:tx>
          <c:layout>
            <c:manualLayout>
              <c:xMode val="edge"/>
              <c:yMode val="edge"/>
              <c:x val="0.51498335183129806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69952"/>
        <c:crosses val="autoZero"/>
        <c:crossBetween val="midCat"/>
      </c:valAx>
      <c:valAx>
        <c:axId val="442699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551386623164763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673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15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tabSelected="1" zoomScale="15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16" cy="629186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9525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17"/>
  </sheetPr>
  <dimension ref="B1:M53"/>
  <sheetViews>
    <sheetView workbookViewId="0">
      <selection activeCell="F54" sqref="F54"/>
    </sheetView>
  </sheetViews>
  <sheetFormatPr defaultRowHeight="12.75"/>
  <cols>
    <col min="1" max="1" width="3.7109375" customWidth="1"/>
  </cols>
  <sheetData>
    <row r="1" spans="2:13" s="2" customFormat="1">
      <c r="B1" s="2" t="s">
        <v>20</v>
      </c>
      <c r="F1" s="2" t="s">
        <v>12</v>
      </c>
      <c r="I1" s="2" t="s">
        <v>21</v>
      </c>
      <c r="L1" s="2" t="s">
        <v>54</v>
      </c>
    </row>
    <row r="2" spans="2:13" s="2" customFormat="1">
      <c r="B2" s="2" t="s">
        <v>0</v>
      </c>
      <c r="C2" s="2" t="s">
        <v>1</v>
      </c>
      <c r="F2" s="2" t="s">
        <v>0</v>
      </c>
      <c r="G2" s="2" t="s">
        <v>1</v>
      </c>
      <c r="I2" s="2" t="s">
        <v>0</v>
      </c>
      <c r="J2" s="2" t="s">
        <v>1</v>
      </c>
      <c r="L2" s="2" t="s">
        <v>0</v>
      </c>
      <c r="M2" s="2" t="s">
        <v>1</v>
      </c>
    </row>
    <row r="3" spans="2:13">
      <c r="B3">
        <v>0</v>
      </c>
      <c r="C3">
        <v>0</v>
      </c>
      <c r="F3">
        <v>0</v>
      </c>
      <c r="G3">
        <v>0</v>
      </c>
      <c r="L3">
        <v>0</v>
      </c>
      <c r="M3">
        <v>0</v>
      </c>
    </row>
    <row r="4" spans="2:13">
      <c r="B4">
        <f t="shared" ref="B4:B35" si="0">B3+($B$53-$B$3)/50</f>
        <v>4</v>
      </c>
      <c r="C4">
        <f>SQRT(M^2*B4^2*(p0/B4-1))</f>
        <v>33.6</v>
      </c>
      <c r="F4">
        <f>MAX(pcs,p0)+20</f>
        <v>353.33333333333331</v>
      </c>
      <c r="G4">
        <f>M*F4</f>
        <v>423.99999999999994</v>
      </c>
      <c r="L4">
        <f>L3+($L$53-$L$3)/50</f>
        <v>13.333334000000001</v>
      </c>
      <c r="M4">
        <f>SQRT(M^2*L4^2*($L$53/L4-1))</f>
        <v>112.00000559999999</v>
      </c>
    </row>
    <row r="5" spans="2:13">
      <c r="B5">
        <f t="shared" si="0"/>
        <v>8</v>
      </c>
      <c r="C5">
        <f t="shared" ref="C4:C35" si="1">SQRT(M^2*B5^2*(p0/B5-1))</f>
        <v>47.030203061437021</v>
      </c>
      <c r="L5">
        <f t="shared" ref="L5:L52" si="2">L4+($L$53-$L$3)/50</f>
        <v>26.666668000000001</v>
      </c>
      <c r="M5">
        <f>SQRT(M^2*L5^2*($L$53/L5-1))</f>
        <v>156.76735137649058</v>
      </c>
    </row>
    <row r="6" spans="2:13">
      <c r="B6">
        <f t="shared" si="0"/>
        <v>12</v>
      </c>
      <c r="C6">
        <f t="shared" si="1"/>
        <v>56.996842017782001</v>
      </c>
      <c r="L6">
        <f t="shared" si="2"/>
        <v>40.000002000000002</v>
      </c>
      <c r="M6">
        <f>SQRT(M^2*L6^2*($L$53/L6-1))</f>
        <v>189.98948289208033</v>
      </c>
    </row>
    <row r="7" spans="2:13">
      <c r="B7">
        <f t="shared" si="0"/>
        <v>16</v>
      </c>
      <c r="C7">
        <f t="shared" si="1"/>
        <v>65.110367838002574</v>
      </c>
      <c r="L7">
        <f t="shared" si="2"/>
        <v>53.333336000000003</v>
      </c>
      <c r="M7">
        <f>SQRT(M^2*L7^2*($L$53/L7-1))</f>
        <v>217.03457031173656</v>
      </c>
    </row>
    <row r="8" spans="2:13">
      <c r="B8">
        <f t="shared" si="0"/>
        <v>20</v>
      </c>
      <c r="C8">
        <f t="shared" si="1"/>
        <v>72</v>
      </c>
      <c r="L8">
        <f t="shared" si="2"/>
        <v>66.666670000000011</v>
      </c>
      <c r="M8">
        <f>SQRT(M^2*L8^2*($L$53/L8-1))</f>
        <v>240.000012</v>
      </c>
    </row>
    <row r="9" spans="2:13">
      <c r="B9">
        <f t="shared" si="0"/>
        <v>24</v>
      </c>
      <c r="C9">
        <f t="shared" si="1"/>
        <v>77.990768684505227</v>
      </c>
      <c r="L9">
        <f t="shared" si="2"/>
        <v>80.000004000000018</v>
      </c>
      <c r="M9">
        <f>SQRT(M^2*L9^2*($L$53/L9-1))</f>
        <v>259.96924194681219</v>
      </c>
    </row>
    <row r="10" spans="2:13">
      <c r="B10">
        <f t="shared" si="0"/>
        <v>28</v>
      </c>
      <c r="C10">
        <f t="shared" si="1"/>
        <v>83.276887549907869</v>
      </c>
      <c r="L10">
        <f t="shared" si="2"/>
        <v>93.333338000000026</v>
      </c>
      <c r="M10">
        <f>SQRT(M^2*L10^2*($L$53/L10-1))</f>
        <v>277.58963904584084</v>
      </c>
    </row>
    <row r="11" spans="2:13">
      <c r="B11">
        <f t="shared" si="0"/>
        <v>32</v>
      </c>
      <c r="C11">
        <f t="shared" si="1"/>
        <v>87.98545334315213</v>
      </c>
      <c r="L11">
        <f t="shared" si="2"/>
        <v>106.66667200000003</v>
      </c>
      <c r="M11">
        <f>SQRT(M^2*L11^2*($L$53/L11-1))</f>
        <v>293.28485914141606</v>
      </c>
    </row>
    <row r="12" spans="2:13">
      <c r="B12">
        <f t="shared" si="0"/>
        <v>36</v>
      </c>
      <c r="C12">
        <f t="shared" si="1"/>
        <v>92.204989019033022</v>
      </c>
      <c r="L12">
        <f t="shared" si="2"/>
        <v>120.00000600000004</v>
      </c>
      <c r="M12">
        <f>SQRT(M^2*L12^2*($L$53/L12-1))</f>
        <v>307.34997876427497</v>
      </c>
    </row>
    <row r="13" spans="2:13">
      <c r="B13">
        <f t="shared" si="0"/>
        <v>40</v>
      </c>
      <c r="C13">
        <f t="shared" si="1"/>
        <v>96</v>
      </c>
      <c r="L13">
        <f t="shared" si="2"/>
        <v>133.33334000000005</v>
      </c>
      <c r="M13">
        <f>SQRT(M^2*L13^2*($L$53/L13-1))</f>
        <v>320.00001600000007</v>
      </c>
    </row>
    <row r="14" spans="2:13">
      <c r="B14">
        <f t="shared" si="0"/>
        <v>44</v>
      </c>
      <c r="C14">
        <f t="shared" si="1"/>
        <v>99.419112850598296</v>
      </c>
      <c r="L14">
        <f t="shared" si="2"/>
        <v>146.66667400000006</v>
      </c>
      <c r="M14">
        <f>SQRT(M^2*L14^2*($L$53/L14-1))</f>
        <v>331.39705940517985</v>
      </c>
    </row>
    <row r="15" spans="2:13">
      <c r="B15">
        <f t="shared" si="0"/>
        <v>48</v>
      </c>
      <c r="C15">
        <f t="shared" si="1"/>
        <v>102.49995121950059</v>
      </c>
      <c r="L15">
        <f t="shared" si="2"/>
        <v>160.00000800000007</v>
      </c>
      <c r="M15">
        <f>SQRT(M^2*L15^2*($L$53/L15-1))</f>
        <v>341.66652114832721</v>
      </c>
    </row>
    <row r="16" spans="2:13">
      <c r="B16">
        <f t="shared" si="0"/>
        <v>52</v>
      </c>
      <c r="C16">
        <f t="shared" si="1"/>
        <v>105.27221855741428</v>
      </c>
      <c r="L16">
        <f t="shared" si="2"/>
        <v>173.33334200000007</v>
      </c>
      <c r="M16">
        <f>SQRT(M^2*L16^2*($L$53/L16-1))</f>
        <v>350.90741273675076</v>
      </c>
    </row>
    <row r="17" spans="2:13">
      <c r="B17">
        <f t="shared" si="0"/>
        <v>56</v>
      </c>
      <c r="C17">
        <f t="shared" si="1"/>
        <v>107.75973273908951</v>
      </c>
      <c r="L17">
        <f t="shared" si="2"/>
        <v>186.66667600000008</v>
      </c>
      <c r="M17">
        <f>SQRT(M^2*L17^2*($L$53/L17-1))</f>
        <v>359.19912709025385</v>
      </c>
    </row>
    <row r="18" spans="2:13">
      <c r="B18">
        <f t="shared" si="0"/>
        <v>60</v>
      </c>
      <c r="C18">
        <f t="shared" si="1"/>
        <v>109.98181667894016</v>
      </c>
      <c r="L18">
        <f t="shared" si="2"/>
        <v>200.00001000000009</v>
      </c>
      <c r="M18">
        <f>SQRT(M^2*L18^2*($L$53/L18-1))</f>
        <v>366.60607392677002</v>
      </c>
    </row>
    <row r="19" spans="2:13">
      <c r="B19">
        <f t="shared" si="0"/>
        <v>64</v>
      </c>
      <c r="C19">
        <f t="shared" si="1"/>
        <v>111.95427638102977</v>
      </c>
      <c r="L19">
        <f t="shared" si="2"/>
        <v>213.3333440000001</v>
      </c>
      <c r="M19">
        <f>SQRT(M^2*L19^2*($L$53/L19-1))</f>
        <v>373.18093992914538</v>
      </c>
    </row>
    <row r="20" spans="2:13">
      <c r="B20">
        <f t="shared" si="0"/>
        <v>68</v>
      </c>
      <c r="C20">
        <f t="shared" si="1"/>
        <v>113.6901051103393</v>
      </c>
      <c r="L20">
        <f t="shared" si="2"/>
        <v>226.6666780000001</v>
      </c>
      <c r="M20">
        <f>SQRT(M^2*L20^2*($L$53/L20-1))</f>
        <v>378.96703598281522</v>
      </c>
    </row>
    <row r="21" spans="2:13">
      <c r="B21">
        <f t="shared" si="0"/>
        <v>72</v>
      </c>
      <c r="C21">
        <f t="shared" si="1"/>
        <v>115.2</v>
      </c>
      <c r="L21">
        <f t="shared" si="2"/>
        <v>240.00001200000011</v>
      </c>
      <c r="M21">
        <f>SQRT(M^2*L21^2*($L$53/L21-1))</f>
        <v>384.0000192</v>
      </c>
    </row>
    <row r="22" spans="2:13">
      <c r="B22">
        <f t="shared" si="0"/>
        <v>76</v>
      </c>
      <c r="C22">
        <f t="shared" si="1"/>
        <v>116.49274655531134</v>
      </c>
      <c r="L22">
        <f t="shared" si="2"/>
        <v>253.33334600000012</v>
      </c>
      <c r="M22">
        <f>SQRT(M^2*L22^2*($L$53/L22-1))</f>
        <v>388.30917459982891</v>
      </c>
    </row>
    <row r="23" spans="2:13">
      <c r="B23">
        <f t="shared" si="0"/>
        <v>80</v>
      </c>
      <c r="C23">
        <f t="shared" si="1"/>
        <v>117.57550765359255</v>
      </c>
      <c r="L23">
        <f t="shared" si="2"/>
        <v>266.6666800000001</v>
      </c>
      <c r="M23">
        <f>SQRT(M^2*L23^2*($L$53/L23-1))</f>
        <v>391.91837844122648</v>
      </c>
    </row>
    <row r="24" spans="2:13">
      <c r="B24">
        <f t="shared" si="0"/>
        <v>84</v>
      </c>
      <c r="C24">
        <f t="shared" si="1"/>
        <v>118.45404172082942</v>
      </c>
      <c r="L24">
        <f t="shared" si="2"/>
        <v>280.00001400000008</v>
      </c>
      <c r="M24">
        <f>SQRT(M^2*L24^2*($L$53/L24-1))</f>
        <v>394.8468254784384</v>
      </c>
    </row>
    <row r="25" spans="2:13">
      <c r="B25">
        <f t="shared" si="0"/>
        <v>88</v>
      </c>
      <c r="C25">
        <f t="shared" si="1"/>
        <v>119.13286700151222</v>
      </c>
      <c r="L25">
        <f t="shared" si="2"/>
        <v>293.33334800000006</v>
      </c>
      <c r="M25">
        <f>SQRT(M^2*L25^2*($L$53/L25-1))</f>
        <v>397.1095765271852</v>
      </c>
    </row>
    <row r="26" spans="2:13">
      <c r="B26">
        <f t="shared" si="0"/>
        <v>92</v>
      </c>
      <c r="C26">
        <f t="shared" si="1"/>
        <v>119.61538362602028</v>
      </c>
      <c r="L26">
        <f t="shared" si="2"/>
        <v>306.66668200000004</v>
      </c>
      <c r="M26">
        <f>SQRT(M^2*L26^2*($L$53/L26-1))</f>
        <v>398.71796535596485</v>
      </c>
    </row>
    <row r="27" spans="2:13">
      <c r="B27">
        <f t="shared" si="0"/>
        <v>96</v>
      </c>
      <c r="C27">
        <f t="shared" si="1"/>
        <v>119.90396156924925</v>
      </c>
      <c r="L27">
        <f t="shared" si="2"/>
        <v>320.00001600000002</v>
      </c>
      <c r="M27">
        <f>SQRT(M^2*L27^2*($L$53/L27-1))</f>
        <v>399.67989188149102</v>
      </c>
    </row>
    <row r="28" spans="2:13">
      <c r="B28">
        <f t="shared" si="0"/>
        <v>100</v>
      </c>
      <c r="C28">
        <f t="shared" si="1"/>
        <v>120</v>
      </c>
      <c r="L28">
        <f t="shared" si="2"/>
        <v>333.33335</v>
      </c>
      <c r="M28">
        <f>SQRT(M^2*L28^2*($L$53/L28-1))</f>
        <v>400.00002000000001</v>
      </c>
    </row>
    <row r="29" spans="2:13">
      <c r="B29">
        <f t="shared" si="0"/>
        <v>104</v>
      </c>
      <c r="C29">
        <f t="shared" si="1"/>
        <v>119.90396156924925</v>
      </c>
      <c r="L29">
        <f t="shared" si="2"/>
        <v>346.66668399999998</v>
      </c>
      <c r="M29">
        <f>SQRT(M^2*L29^2*($L$53/L29-1))</f>
        <v>399.67989188149107</v>
      </c>
    </row>
    <row r="30" spans="2:13">
      <c r="B30">
        <f t="shared" si="0"/>
        <v>108</v>
      </c>
      <c r="C30">
        <f t="shared" si="1"/>
        <v>119.61538362602028</v>
      </c>
      <c r="L30">
        <f t="shared" si="2"/>
        <v>360.00001799999995</v>
      </c>
      <c r="M30">
        <f>SQRT(M^2*L30^2*($L$53/L30-1))</f>
        <v>398.71796535596491</v>
      </c>
    </row>
    <row r="31" spans="2:13">
      <c r="B31">
        <f t="shared" si="0"/>
        <v>112</v>
      </c>
      <c r="C31">
        <f t="shared" si="1"/>
        <v>119.13286700151224</v>
      </c>
      <c r="L31">
        <f t="shared" si="2"/>
        <v>373.33335199999993</v>
      </c>
      <c r="M31">
        <f>SQRT(M^2*L31^2*($L$53/L31-1))</f>
        <v>397.1095765271852</v>
      </c>
    </row>
    <row r="32" spans="2:13">
      <c r="B32">
        <f t="shared" si="0"/>
        <v>116</v>
      </c>
      <c r="C32">
        <f t="shared" si="1"/>
        <v>118.45404172082942</v>
      </c>
      <c r="L32">
        <f t="shared" si="2"/>
        <v>386.66668599999991</v>
      </c>
      <c r="M32">
        <f>SQRT(M^2*L32^2*($L$53/L32-1))</f>
        <v>394.8468254784384</v>
      </c>
    </row>
    <row r="33" spans="2:13">
      <c r="B33">
        <f t="shared" si="0"/>
        <v>120</v>
      </c>
      <c r="C33">
        <f t="shared" si="1"/>
        <v>117.57550765359255</v>
      </c>
      <c r="L33">
        <f t="shared" si="2"/>
        <v>400.00001999999989</v>
      </c>
      <c r="M33">
        <f>SQRT(M^2*L33^2*($L$53/L33-1))</f>
        <v>391.91837844122648</v>
      </c>
    </row>
    <row r="34" spans="2:13">
      <c r="B34">
        <f t="shared" si="0"/>
        <v>124</v>
      </c>
      <c r="C34">
        <f t="shared" si="1"/>
        <v>116.49274655531133</v>
      </c>
      <c r="L34">
        <f t="shared" si="2"/>
        <v>413.33335399999987</v>
      </c>
      <c r="M34">
        <f>SQRT(M^2*L34^2*($L$53/L34-1))</f>
        <v>388.30917459982896</v>
      </c>
    </row>
    <row r="35" spans="2:13">
      <c r="B35">
        <f t="shared" si="0"/>
        <v>128</v>
      </c>
      <c r="C35">
        <f t="shared" si="1"/>
        <v>115.2</v>
      </c>
      <c r="L35">
        <f t="shared" si="2"/>
        <v>426.66668799999985</v>
      </c>
      <c r="M35">
        <f>SQRT(M^2*L35^2*($L$53/L35-1))</f>
        <v>384.0000192</v>
      </c>
    </row>
    <row r="36" spans="2:13">
      <c r="B36">
        <f t="shared" ref="B36:B52" si="3">B35+($B$53-$B$3)/50</f>
        <v>132</v>
      </c>
      <c r="C36">
        <f t="shared" ref="C36:C53" si="4">SQRT(M^2*B36^2*(p0/B36-1))</f>
        <v>113.6901051103393</v>
      </c>
      <c r="L36">
        <f t="shared" si="2"/>
        <v>440.00002199999983</v>
      </c>
      <c r="M36">
        <f>SQRT(M^2*L36^2*($L$53/L36-1))</f>
        <v>378.96703598281528</v>
      </c>
    </row>
    <row r="37" spans="2:13">
      <c r="B37">
        <f t="shared" si="3"/>
        <v>136</v>
      </c>
      <c r="C37">
        <f t="shared" si="4"/>
        <v>111.95427638102977</v>
      </c>
      <c r="L37">
        <f t="shared" si="2"/>
        <v>453.33335599999981</v>
      </c>
      <c r="M37">
        <f>SQRT(M^2*L37^2*($L$53/L37-1))</f>
        <v>373.18093992914538</v>
      </c>
    </row>
    <row r="38" spans="2:13">
      <c r="B38">
        <f t="shared" si="3"/>
        <v>140</v>
      </c>
      <c r="C38">
        <f t="shared" si="4"/>
        <v>109.98181667894016</v>
      </c>
      <c r="L38">
        <f t="shared" si="2"/>
        <v>466.66668999999979</v>
      </c>
      <c r="M38">
        <f>SQRT(M^2*L38^2*($L$53/L38-1))</f>
        <v>366.60607392677008</v>
      </c>
    </row>
    <row r="39" spans="2:13">
      <c r="B39">
        <f t="shared" si="3"/>
        <v>144</v>
      </c>
      <c r="C39">
        <f t="shared" si="4"/>
        <v>107.7597327390895</v>
      </c>
      <c r="L39">
        <f t="shared" si="2"/>
        <v>480.00002399999977</v>
      </c>
      <c r="M39">
        <f>SQRT(M^2*L39^2*($L$53/L39-1))</f>
        <v>359.19912709025391</v>
      </c>
    </row>
    <row r="40" spans="2:13">
      <c r="B40">
        <f t="shared" si="3"/>
        <v>148</v>
      </c>
      <c r="C40">
        <f t="shared" si="4"/>
        <v>105.27221855741428</v>
      </c>
      <c r="L40">
        <f t="shared" si="2"/>
        <v>493.33335799999975</v>
      </c>
      <c r="M40">
        <f>SQRT(M^2*L40^2*($L$53/L40-1))</f>
        <v>350.90741273675081</v>
      </c>
    </row>
    <row r="41" spans="2:13">
      <c r="B41">
        <f t="shared" si="3"/>
        <v>152</v>
      </c>
      <c r="C41">
        <f t="shared" si="4"/>
        <v>102.4999512195006</v>
      </c>
      <c r="L41">
        <f t="shared" si="2"/>
        <v>506.66669199999973</v>
      </c>
      <c r="M41">
        <f>SQRT(M^2*L41^2*($L$53/L41-1))</f>
        <v>341.66652114832738</v>
      </c>
    </row>
    <row r="42" spans="2:13">
      <c r="B42">
        <f t="shared" si="3"/>
        <v>156</v>
      </c>
      <c r="C42">
        <f t="shared" si="4"/>
        <v>99.419112850598324</v>
      </c>
      <c r="L42">
        <f t="shared" si="2"/>
        <v>520.00002599999971</v>
      </c>
      <c r="M42">
        <f>SQRT(M^2*L42^2*($L$53/L42-1))</f>
        <v>331.39705940518007</v>
      </c>
    </row>
    <row r="43" spans="2:13">
      <c r="B43">
        <f t="shared" si="3"/>
        <v>160</v>
      </c>
      <c r="C43">
        <f t="shared" si="4"/>
        <v>96</v>
      </c>
      <c r="L43">
        <f t="shared" si="2"/>
        <v>533.33335999999974</v>
      </c>
      <c r="M43">
        <f>SQRT(M^2*L43^2*($L$53/L43-1))</f>
        <v>320.00001600000024</v>
      </c>
    </row>
    <row r="44" spans="2:13">
      <c r="B44">
        <f t="shared" si="3"/>
        <v>164</v>
      </c>
      <c r="C44">
        <f t="shared" si="4"/>
        <v>92.204989019033007</v>
      </c>
      <c r="L44">
        <f t="shared" si="2"/>
        <v>546.66669399999978</v>
      </c>
      <c r="M44">
        <f>SQRT(M^2*L44^2*($L$53/L44-1))</f>
        <v>307.34997876427508</v>
      </c>
    </row>
    <row r="45" spans="2:13">
      <c r="B45">
        <f t="shared" si="3"/>
        <v>168</v>
      </c>
      <c r="C45">
        <f t="shared" si="4"/>
        <v>87.985453343152116</v>
      </c>
      <c r="L45">
        <f t="shared" si="2"/>
        <v>560.00002799999982</v>
      </c>
      <c r="M45">
        <f>SQRT(M^2*L45^2*($L$53/L45-1))</f>
        <v>293.28485914141623</v>
      </c>
    </row>
    <row r="46" spans="2:13">
      <c r="B46">
        <f t="shared" si="3"/>
        <v>172</v>
      </c>
      <c r="C46">
        <f t="shared" si="4"/>
        <v>83.276887549907883</v>
      </c>
      <c r="L46">
        <f t="shared" si="2"/>
        <v>573.33336199999985</v>
      </c>
      <c r="M46">
        <f>SQRT(M^2*L46^2*($L$53/L46-1))</f>
        <v>277.58963904584101</v>
      </c>
    </row>
    <row r="47" spans="2:13">
      <c r="B47">
        <f t="shared" si="3"/>
        <v>176</v>
      </c>
      <c r="C47">
        <f t="shared" si="4"/>
        <v>77.990768684505241</v>
      </c>
      <c r="L47">
        <f t="shared" si="2"/>
        <v>586.66669599999989</v>
      </c>
      <c r="M47">
        <f>SQRT(M^2*L47^2*($L$53/L47-1))</f>
        <v>259.96924194681225</v>
      </c>
    </row>
    <row r="48" spans="2:13">
      <c r="B48">
        <f t="shared" si="3"/>
        <v>180</v>
      </c>
      <c r="C48">
        <f t="shared" si="4"/>
        <v>72.000000000000014</v>
      </c>
      <c r="L48">
        <f t="shared" si="2"/>
        <v>600.00002999999992</v>
      </c>
      <c r="M48">
        <f>SQRT(M^2*L48^2*($L$53/L48-1))</f>
        <v>240.00001200000003</v>
      </c>
    </row>
    <row r="49" spans="2:13">
      <c r="B49">
        <f t="shared" si="3"/>
        <v>184</v>
      </c>
      <c r="C49">
        <f t="shared" si="4"/>
        <v>65.110367838002546</v>
      </c>
      <c r="L49">
        <f t="shared" si="2"/>
        <v>613.33336399999996</v>
      </c>
      <c r="M49">
        <f>SQRT(M^2*L49^2*($L$53/L49-1))</f>
        <v>217.03457031173676</v>
      </c>
    </row>
    <row r="50" spans="2:13">
      <c r="B50">
        <f t="shared" si="3"/>
        <v>188</v>
      </c>
      <c r="C50">
        <f t="shared" si="4"/>
        <v>56.996842017781994</v>
      </c>
      <c r="L50">
        <f t="shared" si="2"/>
        <v>626.666698</v>
      </c>
      <c r="M50">
        <f>SQRT(M^2*L50^2*($L$53/L50-1))</f>
        <v>189.9894828920803</v>
      </c>
    </row>
    <row r="51" spans="2:13">
      <c r="B51">
        <f t="shared" si="3"/>
        <v>192</v>
      </c>
      <c r="C51">
        <f t="shared" si="4"/>
        <v>47.030203061437057</v>
      </c>
      <c r="L51">
        <f t="shared" si="2"/>
        <v>640.00003200000003</v>
      </c>
      <c r="M51">
        <f>SQRT(M^2*L51^2*($L$53/L51-1))</f>
        <v>156.7673513764903</v>
      </c>
    </row>
    <row r="52" spans="2:13">
      <c r="B52">
        <f t="shared" si="3"/>
        <v>196</v>
      </c>
      <c r="C52">
        <f t="shared" si="4"/>
        <v>33.600000000000016</v>
      </c>
      <c r="L52">
        <f t="shared" si="2"/>
        <v>653.33336600000007</v>
      </c>
      <c r="M52">
        <f>SQRT(M^2*L52^2*($L$53/L52-1))</f>
        <v>112.00000559999947</v>
      </c>
    </row>
    <row r="53" spans="2:13">
      <c r="B53">
        <f>p0</f>
        <v>200</v>
      </c>
      <c r="C53">
        <f t="shared" si="4"/>
        <v>0</v>
      </c>
      <c r="L53">
        <v>666.66669999999999</v>
      </c>
      <c r="M53">
        <f>SQRT(M^2*L53^2*($L$53/L53-1))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R76"/>
  <sheetViews>
    <sheetView topLeftCell="A22" zoomScaleNormal="100" workbookViewId="0">
      <selection activeCell="L62" sqref="L62"/>
    </sheetView>
  </sheetViews>
  <sheetFormatPr defaultRowHeight="15"/>
  <cols>
    <col min="1" max="1" width="3.42578125" style="9" customWidth="1"/>
    <col min="2" max="18" width="11.7109375" style="9" customWidth="1"/>
    <col min="19" max="16384" width="9.140625" style="9"/>
  </cols>
  <sheetData>
    <row r="1" spans="1:12" s="1" customFormat="1" ht="15.75">
      <c r="A1" s="7"/>
      <c r="B1" s="7" t="s">
        <v>11</v>
      </c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s="1" customFormat="1" ht="15.7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ht="15.75">
      <c r="A3" s="8"/>
      <c r="B3" s="7" t="s">
        <v>2</v>
      </c>
      <c r="C3" s="8"/>
      <c r="D3" s="8"/>
      <c r="E3" s="7" t="s">
        <v>13</v>
      </c>
      <c r="F3" s="7"/>
      <c r="G3" s="8"/>
      <c r="H3" s="8"/>
      <c r="I3" s="8"/>
      <c r="J3" s="8"/>
      <c r="K3" s="8"/>
      <c r="L3" s="8"/>
    </row>
    <row r="4" spans="1:12" ht="15.75">
      <c r="B4" s="10" t="s">
        <v>4</v>
      </c>
      <c r="C4" s="11">
        <v>1.2</v>
      </c>
      <c r="D4" s="8"/>
      <c r="E4" s="8"/>
      <c r="F4" s="8"/>
      <c r="G4" s="8"/>
      <c r="H4" s="8"/>
      <c r="I4" s="8"/>
      <c r="J4" s="8"/>
      <c r="K4" s="8"/>
      <c r="L4" s="8"/>
    </row>
    <row r="5" spans="1:12" ht="15.75">
      <c r="B5" s="12" t="s">
        <v>3</v>
      </c>
      <c r="C5" s="13">
        <f>C6-(C9-C8)*LN(2)</f>
        <v>1.7475895193733553</v>
      </c>
      <c r="D5" s="8"/>
      <c r="E5" s="7" t="s">
        <v>9</v>
      </c>
      <c r="F5" s="8"/>
      <c r="G5" s="8"/>
      <c r="H5" s="8"/>
      <c r="I5" s="8"/>
      <c r="J5" s="8"/>
      <c r="K5" s="8"/>
      <c r="L5" s="8"/>
    </row>
    <row r="6" spans="1:12" ht="18.75">
      <c r="B6" s="12" t="s">
        <v>8</v>
      </c>
      <c r="C6" s="11">
        <v>1.788</v>
      </c>
      <c r="D6" s="8"/>
      <c r="E6" s="14" t="s">
        <v>30</v>
      </c>
      <c r="F6" s="11">
        <v>200</v>
      </c>
      <c r="G6" s="8" t="s">
        <v>10</v>
      </c>
      <c r="H6" s="8"/>
      <c r="I6" s="8"/>
      <c r="J6" s="8"/>
      <c r="K6" s="8"/>
      <c r="L6" s="8"/>
    </row>
    <row r="7" spans="1:12" ht="18.75">
      <c r="B7" s="12"/>
      <c r="C7" s="11"/>
      <c r="D7" s="8"/>
      <c r="E7" s="14" t="s">
        <v>31</v>
      </c>
      <c r="F7" s="11">
        <v>0</v>
      </c>
      <c r="G7" s="8" t="s">
        <v>10</v>
      </c>
      <c r="H7" s="8"/>
      <c r="I7" s="8"/>
      <c r="J7" s="8"/>
      <c r="K7" s="8"/>
      <c r="L7" s="8"/>
    </row>
    <row r="8" spans="1:12" ht="18.75">
      <c r="B8" s="10" t="s">
        <v>5</v>
      </c>
      <c r="C8" s="11">
        <v>7.7000000000000002E-3</v>
      </c>
      <c r="D8" s="8"/>
      <c r="E8" s="14" t="s">
        <v>32</v>
      </c>
      <c r="F8" s="8">
        <f>N-l*LN(p0)-k*LN(pinit/p0)</f>
        <v>1.4383110538078296</v>
      </c>
      <c r="G8" s="8"/>
      <c r="H8" s="8"/>
      <c r="I8" s="8"/>
      <c r="J8" s="8"/>
      <c r="K8" s="8"/>
      <c r="L8" s="8"/>
    </row>
    <row r="9" spans="1:12" ht="15.75">
      <c r="B9" s="10" t="s">
        <v>6</v>
      </c>
      <c r="C9" s="11">
        <v>6.6000000000000003E-2</v>
      </c>
      <c r="D9" s="8"/>
      <c r="E9" s="8"/>
      <c r="F9" s="8"/>
      <c r="G9" s="8"/>
      <c r="H9" s="8"/>
      <c r="I9" s="8"/>
      <c r="J9" s="8"/>
      <c r="K9" s="8"/>
      <c r="L9" s="8"/>
    </row>
    <row r="10" spans="1:12" ht="18.75">
      <c r="B10" s="15" t="s">
        <v>3</v>
      </c>
      <c r="C10" s="13">
        <v>20000</v>
      </c>
      <c r="D10" s="8"/>
      <c r="E10" s="14" t="s">
        <v>33</v>
      </c>
      <c r="F10" s="8">
        <f>F6-1/3*F7</f>
        <v>200</v>
      </c>
      <c r="G10" s="8" t="s">
        <v>10</v>
      </c>
      <c r="H10" s="8"/>
      <c r="I10" s="8"/>
      <c r="J10" s="8"/>
      <c r="K10" s="8"/>
      <c r="L10" s="8"/>
    </row>
    <row r="11" spans="1:12" ht="15.75">
      <c r="B11" s="12" t="s">
        <v>7</v>
      </c>
      <c r="C11" s="13">
        <v>0.3</v>
      </c>
      <c r="D11" s="8"/>
      <c r="E11" s="8"/>
      <c r="F11" s="8"/>
      <c r="G11" s="8"/>
      <c r="H11" s="8"/>
      <c r="I11" s="8"/>
      <c r="J11" s="8"/>
      <c r="K11" s="8"/>
      <c r="L11" s="8"/>
    </row>
    <row r="12" spans="1:12" ht="18.75">
      <c r="B12" s="1" t="s">
        <v>34</v>
      </c>
      <c r="C12" s="11">
        <v>200</v>
      </c>
      <c r="D12" s="8"/>
      <c r="E12" s="7" t="s">
        <v>14</v>
      </c>
      <c r="F12" s="8"/>
      <c r="G12" s="8"/>
      <c r="H12" s="8"/>
      <c r="I12" s="8"/>
      <c r="J12" s="8"/>
      <c r="K12" s="8"/>
      <c r="L12" s="8"/>
    </row>
    <row r="13" spans="1:12" ht="18.75">
      <c r="B13" s="1"/>
      <c r="C13" s="8"/>
      <c r="D13" s="8"/>
      <c r="E13" s="14" t="s">
        <v>35</v>
      </c>
      <c r="F13" s="14" t="s">
        <v>36</v>
      </c>
      <c r="G13" s="14" t="s">
        <v>37</v>
      </c>
      <c r="H13" s="8"/>
      <c r="I13" s="8"/>
      <c r="J13" s="8"/>
      <c r="K13" s="8"/>
      <c r="L13" s="8"/>
    </row>
    <row r="14" spans="1:12" ht="18.75">
      <c r="B14" s="1" t="s">
        <v>38</v>
      </c>
      <c r="C14" s="8">
        <f>M/SQRT(3)</f>
        <v>0.69282032302755092</v>
      </c>
      <c r="D14" s="8"/>
      <c r="E14" s="8">
        <f>(M^2*p0+18*ph+M*SQRT(M^2*p0^2+36*(p0-ph)*ph))/(2*(9+M^2))</f>
        <v>200</v>
      </c>
      <c r="F14" s="8">
        <f>3*(E14-ph)</f>
        <v>0</v>
      </c>
      <c r="G14" s="8">
        <f>N-l*LN(p0)-k*LN(py/p0)</f>
        <v>1.4383110538078296</v>
      </c>
      <c r="H14" s="8"/>
      <c r="I14" s="8"/>
      <c r="J14" s="8"/>
      <c r="K14" s="8"/>
      <c r="L14" s="8"/>
    </row>
    <row r="15" spans="1:12" ht="15.75">
      <c r="B15" s="1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ht="15.75">
      <c r="B16" s="1"/>
      <c r="C16" s="8"/>
      <c r="D16" s="8"/>
      <c r="E16" s="7" t="s">
        <v>15</v>
      </c>
      <c r="F16" s="8"/>
      <c r="G16" s="8"/>
      <c r="H16" s="8"/>
      <c r="I16" s="8"/>
      <c r="J16" s="8"/>
      <c r="K16" s="8"/>
      <c r="L16" s="8"/>
    </row>
    <row r="17" spans="1:18" ht="18.75">
      <c r="B17" s="1"/>
      <c r="C17" s="8"/>
      <c r="D17" s="8"/>
      <c r="E17" s="14" t="s">
        <v>39</v>
      </c>
      <c r="F17" s="14" t="s">
        <v>40</v>
      </c>
      <c r="G17" s="8"/>
      <c r="H17" s="8"/>
      <c r="I17" s="8"/>
      <c r="J17" s="8"/>
      <c r="K17" s="8"/>
      <c r="L17" s="8"/>
    </row>
    <row r="18" spans="1:18" ht="15.75">
      <c r="B18" s="1"/>
      <c r="C18" s="8"/>
      <c r="D18" s="8"/>
      <c r="E18" s="8">
        <f>3*ph/(3-C4)</f>
        <v>333.33333333333331</v>
      </c>
      <c r="F18" s="8">
        <f>C4*E18</f>
        <v>399.99999999999994</v>
      </c>
      <c r="G18" s="8"/>
      <c r="H18" s="8"/>
      <c r="I18" s="8"/>
      <c r="J18" s="8"/>
      <c r="K18" s="8"/>
      <c r="L18" s="8"/>
    </row>
    <row r="19" spans="1:18" ht="15.75">
      <c r="B19" s="1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8" ht="15.75">
      <c r="B20" s="1"/>
      <c r="C20" s="8"/>
      <c r="D20" s="8"/>
      <c r="E20" s="7" t="s">
        <v>17</v>
      </c>
      <c r="F20" s="7"/>
      <c r="G20" s="8"/>
      <c r="H20" s="8"/>
      <c r="I20" s="8"/>
      <c r="J20" s="8"/>
      <c r="K20" s="8"/>
      <c r="L20" s="8"/>
      <c r="P20" s="16"/>
      <c r="Q20" s="16"/>
    </row>
    <row r="21" spans="1:18" ht="15.75">
      <c r="B21" s="1"/>
      <c r="C21" s="8"/>
      <c r="D21" s="8"/>
      <c r="E21" s="7" t="s">
        <v>18</v>
      </c>
      <c r="F21" s="7" t="s">
        <v>19</v>
      </c>
      <c r="G21" s="8"/>
      <c r="H21" s="8"/>
      <c r="I21" s="8"/>
      <c r="J21" s="7"/>
      <c r="K21" s="7"/>
      <c r="L21" s="7"/>
    </row>
    <row r="22" spans="1:18" ht="15.75">
      <c r="B22" s="1"/>
      <c r="C22" s="8"/>
      <c r="D22" s="8"/>
      <c r="E22" s="17">
        <f>k/vy*LN(1+(qy-qinit)/3/pinit)</f>
        <v>0</v>
      </c>
      <c r="F22" s="17">
        <f>(qy-qinit)/3/G</f>
        <v>0</v>
      </c>
      <c r="G22" s="8"/>
      <c r="H22" s="8"/>
      <c r="I22" s="8"/>
      <c r="J22" s="8"/>
      <c r="K22" s="8"/>
      <c r="L22" s="8"/>
    </row>
    <row r="23" spans="1:18" ht="15.75">
      <c r="C23" s="8"/>
      <c r="D23" s="8"/>
      <c r="E23" s="8"/>
      <c r="F23" s="8"/>
      <c r="G23" s="8"/>
      <c r="H23" s="8"/>
      <c r="I23" s="26" t="s">
        <v>24</v>
      </c>
      <c r="J23" s="27"/>
      <c r="K23" s="27"/>
      <c r="L23" s="28"/>
      <c r="M23" s="26" t="s">
        <v>27</v>
      </c>
      <c r="N23" s="29"/>
      <c r="O23" s="29"/>
      <c r="P23" s="29"/>
      <c r="Q23" s="30"/>
    </row>
    <row r="24" spans="1:18" s="16" customFormat="1" ht="31.5">
      <c r="A24" s="18"/>
      <c r="B24" s="18" t="s">
        <v>45</v>
      </c>
      <c r="C24" s="18" t="s">
        <v>1</v>
      </c>
      <c r="D24" s="18" t="s">
        <v>43</v>
      </c>
      <c r="E24" s="19" t="s">
        <v>41</v>
      </c>
      <c r="F24" s="19" t="s">
        <v>42</v>
      </c>
      <c r="G24" s="18" t="s">
        <v>16</v>
      </c>
      <c r="H24" s="20" t="s">
        <v>29</v>
      </c>
      <c r="I24" s="21" t="s">
        <v>25</v>
      </c>
      <c r="J24" s="21" t="s">
        <v>26</v>
      </c>
      <c r="K24" s="21" t="s">
        <v>44</v>
      </c>
      <c r="L24" s="21" t="s">
        <v>46</v>
      </c>
      <c r="M24" s="21" t="s">
        <v>25</v>
      </c>
      <c r="N24" s="21" t="s">
        <v>26</v>
      </c>
      <c r="O24" s="21" t="s">
        <v>28</v>
      </c>
      <c r="P24" s="21" t="s">
        <v>47</v>
      </c>
      <c r="Q24" s="21" t="s">
        <v>48</v>
      </c>
      <c r="R24" s="18" t="s">
        <v>49</v>
      </c>
    </row>
    <row r="25" spans="1:18" s="8" customFormat="1" ht="15.75">
      <c r="A25" s="22">
        <v>1</v>
      </c>
      <c r="B25" s="22">
        <f>pinit</f>
        <v>200</v>
      </c>
      <c r="C25" s="22">
        <f>qinit</f>
        <v>0</v>
      </c>
      <c r="D25" s="22">
        <f t="shared" ref="D25:D60" si="0">B25*(C25^2/M^2/B25^2+1)</f>
        <v>200</v>
      </c>
      <c r="E25" s="22">
        <f t="shared" ref="E25:E60" si="1">B25+2*C25/3</f>
        <v>200</v>
      </c>
      <c r="F25" s="22">
        <f t="shared" ref="F25:F60" si="2">B25-C25/3</f>
        <v>200</v>
      </c>
      <c r="G25" s="22">
        <f t="shared" ref="G25:G60" si="3">N-l*LN(D25/1)</f>
        <v>1.4383110538078296</v>
      </c>
      <c r="H25" s="23">
        <f t="shared" ref="H25:H60" si="4">C25/B25</f>
        <v>0</v>
      </c>
      <c r="I25" s="23"/>
      <c r="J25" s="23"/>
      <c r="K25" s="23"/>
      <c r="L25" s="22"/>
      <c r="M25" s="23"/>
      <c r="N25" s="23"/>
      <c r="O25" s="23"/>
      <c r="P25" s="23"/>
      <c r="Q25" s="22"/>
      <c r="R25" s="23"/>
    </row>
    <row r="26" spans="1:18" s="8" customFormat="1" ht="15.75">
      <c r="A26" s="22">
        <v>2</v>
      </c>
      <c r="B26" s="22">
        <f>B25+($B$29-$B$25)/4</f>
        <v>200</v>
      </c>
      <c r="C26" s="22">
        <f t="shared" ref="C26:C60" si="5">3*(B26-ph)</f>
        <v>0</v>
      </c>
      <c r="D26" s="22">
        <f t="shared" si="0"/>
        <v>200</v>
      </c>
      <c r="E26" s="22">
        <f t="shared" si="1"/>
        <v>200</v>
      </c>
      <c r="F26" s="22">
        <f t="shared" si="2"/>
        <v>200</v>
      </c>
      <c r="G26" s="22">
        <f t="shared" si="3"/>
        <v>1.4383110538078296</v>
      </c>
      <c r="H26" s="23">
        <f t="shared" si="4"/>
        <v>0</v>
      </c>
      <c r="I26" s="23"/>
      <c r="J26" s="23"/>
      <c r="K26" s="23"/>
      <c r="L26" s="22"/>
      <c r="M26" s="23"/>
      <c r="N26" s="23"/>
      <c r="O26" s="23"/>
      <c r="P26" s="23"/>
      <c r="Q26" s="22"/>
      <c r="R26" s="23"/>
    </row>
    <row r="27" spans="1:18" s="8" customFormat="1" ht="15.75">
      <c r="A27" s="22">
        <v>3</v>
      </c>
      <c r="B27" s="22">
        <f>B26+($B$29-$B$25)/4</f>
        <v>200</v>
      </c>
      <c r="C27" s="22">
        <f t="shared" si="5"/>
        <v>0</v>
      </c>
      <c r="D27" s="22">
        <f t="shared" si="0"/>
        <v>200</v>
      </c>
      <c r="E27" s="22">
        <f t="shared" si="1"/>
        <v>200</v>
      </c>
      <c r="F27" s="22">
        <f t="shared" si="2"/>
        <v>200</v>
      </c>
      <c r="G27" s="22">
        <f t="shared" si="3"/>
        <v>1.4383110538078296</v>
      </c>
      <c r="H27" s="23">
        <f t="shared" si="4"/>
        <v>0</v>
      </c>
      <c r="I27" s="23"/>
      <c r="J27" s="23"/>
      <c r="K27" s="23"/>
      <c r="L27" s="22"/>
      <c r="M27" s="23"/>
      <c r="N27" s="23"/>
      <c r="O27" s="23"/>
      <c r="P27" s="23"/>
      <c r="Q27" s="22"/>
      <c r="R27" s="23"/>
    </row>
    <row r="28" spans="1:18" s="8" customFormat="1" ht="15.75">
      <c r="A28" s="22">
        <v>4</v>
      </c>
      <c r="B28" s="22">
        <f>B27+($B$29-$B$25)/4</f>
        <v>200</v>
      </c>
      <c r="C28" s="22">
        <f t="shared" si="5"/>
        <v>0</v>
      </c>
      <c r="D28" s="22">
        <f t="shared" si="0"/>
        <v>200</v>
      </c>
      <c r="E28" s="22">
        <f t="shared" si="1"/>
        <v>200</v>
      </c>
      <c r="F28" s="22">
        <f t="shared" si="2"/>
        <v>200</v>
      </c>
      <c r="G28" s="22">
        <f t="shared" si="3"/>
        <v>1.4383110538078296</v>
      </c>
      <c r="H28" s="23">
        <f t="shared" si="4"/>
        <v>0</v>
      </c>
      <c r="I28" s="23"/>
      <c r="J28" s="23"/>
      <c r="K28" s="23"/>
      <c r="L28" s="22"/>
      <c r="M28" s="23"/>
      <c r="N28" s="23"/>
      <c r="O28" s="23"/>
      <c r="P28" s="23"/>
      <c r="Q28" s="22"/>
      <c r="R28" s="23"/>
    </row>
    <row r="29" spans="1:18" s="8" customFormat="1" ht="15.75">
      <c r="A29" s="22">
        <v>5</v>
      </c>
      <c r="B29" s="22">
        <f>py</f>
        <v>200</v>
      </c>
      <c r="C29" s="32">
        <f t="shared" si="5"/>
        <v>0</v>
      </c>
      <c r="D29" s="22">
        <f t="shared" si="0"/>
        <v>200</v>
      </c>
      <c r="E29" s="22">
        <f t="shared" si="1"/>
        <v>200</v>
      </c>
      <c r="F29" s="22">
        <f t="shared" si="2"/>
        <v>200</v>
      </c>
      <c r="G29" s="22">
        <f t="shared" si="3"/>
        <v>1.4383110538078296</v>
      </c>
      <c r="H29" s="23">
        <f t="shared" si="4"/>
        <v>0</v>
      </c>
      <c r="I29" s="23"/>
      <c r="J29" s="23"/>
      <c r="K29" s="23">
        <v>0</v>
      </c>
      <c r="L29" s="22">
        <v>0</v>
      </c>
      <c r="M29" s="23"/>
      <c r="N29" s="23"/>
      <c r="O29" s="23"/>
      <c r="P29" s="23">
        <v>0</v>
      </c>
      <c r="Q29" s="22">
        <v>0</v>
      </c>
      <c r="R29" s="23">
        <f>L29/3+Q29</f>
        <v>0</v>
      </c>
    </row>
    <row r="30" spans="1:18" s="8" customFormat="1" ht="15.75">
      <c r="A30" s="22">
        <v>6</v>
      </c>
      <c r="B30" s="22">
        <f t="shared" ref="B30:B59" si="6">B29+($B$60-$B$29)/31</f>
        <v>204.30107526881721</v>
      </c>
      <c r="C30" s="32">
        <f t="shared" si="5"/>
        <v>12.903225806451644</v>
      </c>
      <c r="D30" s="22">
        <f t="shared" si="0"/>
        <v>204.86700622524052</v>
      </c>
      <c r="E30" s="22">
        <f t="shared" si="1"/>
        <v>212.90322580645164</v>
      </c>
      <c r="F30" s="22">
        <f t="shared" si="2"/>
        <v>200</v>
      </c>
      <c r="G30" s="22">
        <f t="shared" si="3"/>
        <v>1.4367241727797779</v>
      </c>
      <c r="H30" s="23">
        <f t="shared" si="4"/>
        <v>6.315789473684226E-2</v>
      </c>
      <c r="I30" s="23">
        <f t="shared" ref="I30:I59" si="7">((3-H29)/(3-H30))^(l)</f>
        <v>1.0014052948001486</v>
      </c>
      <c r="J30" s="23">
        <f t="shared" ref="J30:J59" si="8">( (M^2+H30^2)/(M^2+H29^2))^(-k+l)</f>
        <v>1.0001612855837569</v>
      </c>
      <c r="K30" s="23">
        <f>LN(I30*J30)/G28</f>
        <v>1.0884856040086375E-3</v>
      </c>
      <c r="L30" s="22">
        <f>L29+K30</f>
        <v>1.0884856040086375E-3</v>
      </c>
      <c r="M30" s="23">
        <f t="shared" ref="M30:M59" si="9">( (M-H30)/(M-H29) )^ ( (l-k)*3/M/(M-3))</f>
        <v>1.0043875402485443</v>
      </c>
      <c r="N30" s="23">
        <f t="shared" ref="N30:N59" si="10">( (M+H30)/(M+H29) )^ ( (l-k)*3/M/(M+3))</f>
        <v>1.0017815845815226</v>
      </c>
      <c r="O30" s="23">
        <f t="shared" ref="O30:O59" si="11">( (3-H30)/(3-H29) ) ^ ( 2*(l-k)*3/(3^2-M^2))</f>
        <v>0.99901598261415614</v>
      </c>
      <c r="P30" s="23">
        <f t="shared" ref="P30:P59" si="12">+LN(M30*N30*O30)/G29-(ATAN(H30/M)-ATAN(H29/M))*2*(l-k)/M/G29+(C30-C29)/3/G</f>
        <v>2.5963370944774979E-4</v>
      </c>
      <c r="Q30" s="22">
        <f>Q29+P30</f>
        <v>2.5963370944774979E-4</v>
      </c>
      <c r="R30" s="23">
        <f t="shared" ref="R30:R59" si="13">L30/3+Q30</f>
        <v>6.2246224411729566E-4</v>
      </c>
    </row>
    <row r="31" spans="1:18" s="8" customFormat="1" ht="15.75">
      <c r="A31" s="22">
        <v>7</v>
      </c>
      <c r="B31" s="22">
        <f t="shared" si="6"/>
        <v>208.60215053763443</v>
      </c>
      <c r="C31" s="32">
        <f t="shared" si="5"/>
        <v>25.806451612903288</v>
      </c>
      <c r="D31" s="22">
        <f t="shared" si="0"/>
        <v>210.81919964527216</v>
      </c>
      <c r="E31" s="22">
        <f t="shared" si="1"/>
        <v>225.80645161290329</v>
      </c>
      <c r="F31" s="22">
        <f t="shared" si="2"/>
        <v>200</v>
      </c>
      <c r="G31" s="22">
        <f t="shared" si="3"/>
        <v>1.4348339410995643</v>
      </c>
      <c r="H31" s="23">
        <f t="shared" si="4"/>
        <v>0.12371134020618585</v>
      </c>
      <c r="I31" s="23">
        <f t="shared" si="7"/>
        <v>1.0013759955499395</v>
      </c>
      <c r="J31" s="23">
        <f t="shared" si="8"/>
        <v>1.0004551809478417</v>
      </c>
      <c r="K31" s="23">
        <f t="shared" ref="K31:K59" si="14">LN(I31*J31)/G29</f>
        <v>1.2724139991569547E-3</v>
      </c>
      <c r="L31" s="22">
        <f t="shared" ref="L31:L59" si="15">L30+K31</f>
        <v>2.3608996031655922E-3</v>
      </c>
      <c r="M31" s="23">
        <f t="shared" si="9"/>
        <v>1.0044419024223512</v>
      </c>
      <c r="N31" s="23">
        <f t="shared" si="10"/>
        <v>1.0016262446775583</v>
      </c>
      <c r="O31" s="23">
        <f t="shared" si="11"/>
        <v>0.99903647459499512</v>
      </c>
      <c r="P31" s="23">
        <f t="shared" si="12"/>
        <v>3.6845983113382053E-4</v>
      </c>
      <c r="Q31" s="22">
        <f t="shared" ref="Q31:Q59" si="16">Q30+P31</f>
        <v>6.2809354058157032E-4</v>
      </c>
      <c r="R31" s="23">
        <f t="shared" si="13"/>
        <v>1.415060074970101E-3</v>
      </c>
    </row>
    <row r="32" spans="1:18" s="8" customFormat="1" ht="15.75">
      <c r="A32" s="22">
        <v>8</v>
      </c>
      <c r="B32" s="22">
        <f t="shared" si="6"/>
        <v>212.90322580645164</v>
      </c>
      <c r="C32" s="32">
        <f t="shared" si="5"/>
        <v>38.709677419354932</v>
      </c>
      <c r="D32" s="22">
        <f t="shared" si="0"/>
        <v>217.79081133919848</v>
      </c>
      <c r="E32" s="22">
        <f t="shared" si="1"/>
        <v>238.70967741935493</v>
      </c>
      <c r="F32" s="22">
        <f t="shared" si="2"/>
        <v>200</v>
      </c>
      <c r="G32" s="22">
        <f t="shared" si="3"/>
        <v>1.4326866886084799</v>
      </c>
      <c r="H32" s="23">
        <f t="shared" si="4"/>
        <v>0.18181818181818224</v>
      </c>
      <c r="I32" s="23">
        <f t="shared" si="7"/>
        <v>1.0013478931201245</v>
      </c>
      <c r="J32" s="23">
        <f t="shared" si="8"/>
        <v>1.0007071523988049</v>
      </c>
      <c r="K32" s="23">
        <f t="shared" si="14"/>
        <v>1.429563204219365E-3</v>
      </c>
      <c r="L32" s="22">
        <f t="shared" si="15"/>
        <v>3.7904628073849572E-3</v>
      </c>
      <c r="M32" s="23">
        <f t="shared" si="9"/>
        <v>1.0045040868788468</v>
      </c>
      <c r="N32" s="23">
        <f t="shared" si="10"/>
        <v>1.0014919518998238</v>
      </c>
      <c r="O32" s="23">
        <f t="shared" si="11"/>
        <v>0.99905613047446118</v>
      </c>
      <c r="P32" s="23">
        <f t="shared" si="12"/>
        <v>5.0172595620259872E-4</v>
      </c>
      <c r="Q32" s="22">
        <f t="shared" si="16"/>
        <v>1.1298194967841691E-3</v>
      </c>
      <c r="R32" s="23">
        <f t="shared" si="13"/>
        <v>2.3933070992458215E-3</v>
      </c>
    </row>
    <row r="33" spans="1:18" s="8" customFormat="1" ht="15.75">
      <c r="A33" s="22">
        <v>9</v>
      </c>
      <c r="B33" s="22">
        <f t="shared" si="6"/>
        <v>217.20430107526886</v>
      </c>
      <c r="C33" s="32">
        <f t="shared" si="5"/>
        <v>51.612903225806576</v>
      </c>
      <c r="D33" s="22">
        <f t="shared" si="0"/>
        <v>225.7212818056</v>
      </c>
      <c r="E33" s="22">
        <f t="shared" si="1"/>
        <v>251.61290322580658</v>
      </c>
      <c r="F33" s="22">
        <f t="shared" si="2"/>
        <v>200</v>
      </c>
      <c r="G33" s="22">
        <f t="shared" si="3"/>
        <v>1.4303261358594432</v>
      </c>
      <c r="H33" s="23">
        <f t="shared" si="4"/>
        <v>0.23762376237623814</v>
      </c>
      <c r="I33" s="23">
        <f t="shared" si="7"/>
        <v>1.0013209156442175</v>
      </c>
      <c r="J33" s="23">
        <f t="shared" si="8"/>
        <v>1.0009195385759195</v>
      </c>
      <c r="K33" s="23">
        <f t="shared" si="14"/>
        <v>1.5605708771018413E-3</v>
      </c>
      <c r="L33" s="22">
        <f t="shared" si="15"/>
        <v>5.3510336844867987E-3</v>
      </c>
      <c r="M33" s="23">
        <f t="shared" si="9"/>
        <v>1.0045746995287372</v>
      </c>
      <c r="N33" s="23">
        <f t="shared" si="10"/>
        <v>1.0013748611597297</v>
      </c>
      <c r="O33" s="23">
        <f t="shared" si="11"/>
        <v>0.99907500040231978</v>
      </c>
      <c r="P33" s="23">
        <f t="shared" si="12"/>
        <v>6.5385006591329672E-4</v>
      </c>
      <c r="Q33" s="22">
        <f t="shared" si="16"/>
        <v>1.7836695626974658E-3</v>
      </c>
      <c r="R33" s="23">
        <f t="shared" si="13"/>
        <v>3.5673474575263989E-3</v>
      </c>
    </row>
    <row r="34" spans="1:18" s="8" customFormat="1" ht="15.75">
      <c r="A34" s="22">
        <v>10</v>
      </c>
      <c r="B34" s="22">
        <f t="shared" si="6"/>
        <v>221.50537634408607</v>
      </c>
      <c r="C34" s="32">
        <f t="shared" si="5"/>
        <v>64.51612903225822</v>
      </c>
      <c r="D34" s="22">
        <f t="shared" si="0"/>
        <v>234.55475519365288</v>
      </c>
      <c r="E34" s="22">
        <f t="shared" si="1"/>
        <v>264.51612903225822</v>
      </c>
      <c r="F34" s="22">
        <f t="shared" si="2"/>
        <v>200</v>
      </c>
      <c r="G34" s="22">
        <f t="shared" si="3"/>
        <v>1.4277925221550034</v>
      </c>
      <c r="H34" s="23">
        <f t="shared" si="4"/>
        <v>0.29126213592233074</v>
      </c>
      <c r="I34" s="23">
        <f t="shared" si="7"/>
        <v>1.001294996896906</v>
      </c>
      <c r="J34" s="23">
        <f t="shared" si="8"/>
        <v>1.0010954511257382</v>
      </c>
      <c r="K34" s="23">
        <f t="shared" si="14"/>
        <v>1.6675039194595145E-3</v>
      </c>
      <c r="L34" s="22">
        <f t="shared" si="15"/>
        <v>7.0185376039463131E-3</v>
      </c>
      <c r="M34" s="23">
        <f t="shared" si="9"/>
        <v>1.004654458223071</v>
      </c>
      <c r="N34" s="23">
        <f t="shared" si="10"/>
        <v>1.0012719997922463</v>
      </c>
      <c r="O34" s="23">
        <f t="shared" si="11"/>
        <v>0.99909313059614946</v>
      </c>
      <c r="P34" s="23">
        <f t="shared" si="12"/>
        <v>8.2053613025225849E-4</v>
      </c>
      <c r="Q34" s="22">
        <f t="shared" si="16"/>
        <v>2.6042056929497241E-3</v>
      </c>
      <c r="R34" s="23">
        <f t="shared" si="13"/>
        <v>4.9437182275984953E-3</v>
      </c>
    </row>
    <row r="35" spans="1:18" s="8" customFormat="1" ht="15.75">
      <c r="A35" s="22">
        <v>11</v>
      </c>
      <c r="B35" s="22">
        <f t="shared" si="6"/>
        <v>225.80645161290329</v>
      </c>
      <c r="C35" s="32">
        <f t="shared" si="5"/>
        <v>77.419354838709864</v>
      </c>
      <c r="D35" s="22">
        <f t="shared" si="0"/>
        <v>244.23963133640567</v>
      </c>
      <c r="E35" s="22">
        <f t="shared" si="1"/>
        <v>277.41935483870986</v>
      </c>
      <c r="F35" s="22">
        <f t="shared" si="2"/>
        <v>200</v>
      </c>
      <c r="G35" s="22">
        <f t="shared" si="3"/>
        <v>1.4251221106264094</v>
      </c>
      <c r="H35" s="23">
        <f t="shared" si="4"/>
        <v>0.34285714285714358</v>
      </c>
      <c r="I35" s="23">
        <f t="shared" si="7"/>
        <v>1.0012700757511808</v>
      </c>
      <c r="J35" s="23">
        <f t="shared" si="8"/>
        <v>1.0012384413524607</v>
      </c>
      <c r="K35" s="23">
        <f t="shared" si="14"/>
        <v>1.7527086591781836E-3</v>
      </c>
      <c r="L35" s="22">
        <f t="shared" si="15"/>
        <v>8.7712462631244961E-3</v>
      </c>
      <c r="M35" s="23">
        <f t="shared" si="9"/>
        <v>1.004744212722628</v>
      </c>
      <c r="N35" s="23">
        <f t="shared" si="10"/>
        <v>1.00118103425092</v>
      </c>
      <c r="O35" s="23">
        <f t="shared" si="11"/>
        <v>0.99911056371934248</v>
      </c>
      <c r="P35" s="23">
        <f t="shared" si="12"/>
        <v>9.9862142781389964E-4</v>
      </c>
      <c r="Q35" s="22">
        <f t="shared" si="16"/>
        <v>3.6028271207636238E-3</v>
      </c>
      <c r="R35" s="23">
        <f t="shared" si="13"/>
        <v>6.5265758751384562E-3</v>
      </c>
    </row>
    <row r="36" spans="1:18" s="8" customFormat="1" ht="15.75">
      <c r="A36" s="22">
        <v>12</v>
      </c>
      <c r="B36" s="22">
        <f t="shared" si="6"/>
        <v>230.1075268817205</v>
      </c>
      <c r="C36" s="32">
        <f t="shared" si="5"/>
        <v>90.322580645161509</v>
      </c>
      <c r="D36" s="22">
        <f t="shared" si="0"/>
        <v>254.72816802331442</v>
      </c>
      <c r="E36" s="22">
        <f t="shared" si="1"/>
        <v>290.32258064516151</v>
      </c>
      <c r="F36" s="22">
        <f t="shared" si="2"/>
        <v>200</v>
      </c>
      <c r="G36" s="22">
        <f t="shared" si="3"/>
        <v>1.4223470000581218</v>
      </c>
      <c r="H36" s="23">
        <f t="shared" si="4"/>
        <v>0.39252336448598213</v>
      </c>
      <c r="I36" s="23">
        <f t="shared" si="7"/>
        <v>1.0012460956969742</v>
      </c>
      <c r="J36" s="23">
        <f t="shared" si="8"/>
        <v>1.0013522284712695</v>
      </c>
      <c r="K36" s="23">
        <f t="shared" si="14"/>
        <v>1.8186360815774562E-3</v>
      </c>
      <c r="L36" s="22">
        <f t="shared" si="15"/>
        <v>1.0589882344701953E-2</v>
      </c>
      <c r="M36" s="23">
        <f t="shared" si="9"/>
        <v>1.0048449698095476</v>
      </c>
      <c r="N36" s="23">
        <f t="shared" si="10"/>
        <v>1.0011001077943433</v>
      </c>
      <c r="O36" s="23">
        <f t="shared" si="11"/>
        <v>0.99912733921632157</v>
      </c>
      <c r="P36" s="23">
        <f t="shared" si="12"/>
        <v>1.1859374436056064E-3</v>
      </c>
      <c r="Q36" s="22">
        <f t="shared" si="16"/>
        <v>4.7887645643692302E-3</v>
      </c>
      <c r="R36" s="23">
        <f t="shared" si="13"/>
        <v>8.3187253459365475E-3</v>
      </c>
    </row>
    <row r="37" spans="1:18" s="8" customFormat="1" ht="15.75">
      <c r="A37" s="22">
        <v>13</v>
      </c>
      <c r="B37" s="22">
        <f t="shared" si="6"/>
        <v>234.40860215053772</v>
      </c>
      <c r="C37" s="32">
        <f t="shared" si="5"/>
        <v>103.22580645161315</v>
      </c>
      <c r="D37" s="22">
        <f t="shared" si="0"/>
        <v>265.97612705928799</v>
      </c>
      <c r="E37" s="22">
        <f t="shared" si="1"/>
        <v>303.22580645161315</v>
      </c>
      <c r="F37" s="22">
        <f t="shared" si="2"/>
        <v>200</v>
      </c>
      <c r="G37" s="22">
        <f t="shared" si="3"/>
        <v>1.4194951672474576</v>
      </c>
      <c r="H37" s="23">
        <f t="shared" si="4"/>
        <v>0.44036697247706513</v>
      </c>
      <c r="I37" s="23">
        <f t="shared" si="7"/>
        <v>1.0012230044133286</v>
      </c>
      <c r="J37" s="23">
        <f t="shared" si="8"/>
        <v>1.0014404950155886</v>
      </c>
      <c r="K37" s="23">
        <f t="shared" si="14"/>
        <v>1.8677105847378936E-3</v>
      </c>
      <c r="L37" s="22">
        <f t="shared" si="15"/>
        <v>1.2457592929439846E-2</v>
      </c>
      <c r="M37" s="23">
        <f t="shared" si="9"/>
        <v>1.0049579250447789</v>
      </c>
      <c r="N37" s="23">
        <f t="shared" si="10"/>
        <v>1.0010277251846604</v>
      </c>
      <c r="O37" s="23">
        <f t="shared" si="11"/>
        <v>0.9991434936105188</v>
      </c>
      <c r="P37" s="23">
        <f t="shared" si="12"/>
        <v>1.3811854311748441E-3</v>
      </c>
      <c r="Q37" s="22">
        <f t="shared" si="16"/>
        <v>6.1699499955440744E-3</v>
      </c>
      <c r="R37" s="23">
        <f t="shared" si="13"/>
        <v>1.0322480972024022E-2</v>
      </c>
    </row>
    <row r="38" spans="1:18" s="8" customFormat="1" ht="15.75">
      <c r="A38" s="22">
        <v>14</v>
      </c>
      <c r="B38" s="22">
        <f t="shared" si="6"/>
        <v>238.70967741935493</v>
      </c>
      <c r="C38" s="32">
        <f t="shared" si="5"/>
        <v>116.1290322580648</v>
      </c>
      <c r="D38" s="22">
        <f t="shared" si="0"/>
        <v>277.94245858762014</v>
      </c>
      <c r="E38" s="22">
        <f t="shared" si="1"/>
        <v>316.1290322580648</v>
      </c>
      <c r="F38" s="22">
        <f t="shared" si="2"/>
        <v>200</v>
      </c>
      <c r="G38" s="22">
        <f t="shared" si="3"/>
        <v>1.4165906688212573</v>
      </c>
      <c r="H38" s="23">
        <f t="shared" si="4"/>
        <v>0.48648648648648746</v>
      </c>
      <c r="I38" s="23">
        <f t="shared" si="7"/>
        <v>1.0012007533872727</v>
      </c>
      <c r="J38" s="23">
        <f t="shared" si="8"/>
        <v>1.0015067450753301</v>
      </c>
      <c r="K38" s="23">
        <f t="shared" si="14"/>
        <v>1.9022391394692654E-3</v>
      </c>
      <c r="L38" s="22">
        <f t="shared" si="15"/>
        <v>1.4359832068909112E-2</v>
      </c>
      <c r="M38" s="23">
        <f t="shared" si="9"/>
        <v>1.0050845032161067</v>
      </c>
      <c r="N38" s="23">
        <f t="shared" si="10"/>
        <v>1.0009626692495193</v>
      </c>
      <c r="O38" s="23">
        <f t="shared" si="11"/>
        <v>0.99915906076985417</v>
      </c>
      <c r="P38" s="23">
        <f t="shared" si="12"/>
        <v>1.583830901398586E-3</v>
      </c>
      <c r="Q38" s="22">
        <f t="shared" si="16"/>
        <v>7.7537808969426608E-3</v>
      </c>
      <c r="R38" s="23">
        <f t="shared" si="13"/>
        <v>1.2540391586579032E-2</v>
      </c>
    </row>
    <row r="39" spans="1:18" s="8" customFormat="1" ht="15.75">
      <c r="A39" s="22">
        <v>15</v>
      </c>
      <c r="B39" s="22">
        <f t="shared" si="6"/>
        <v>243.01075268817215</v>
      </c>
      <c r="C39" s="32">
        <f t="shared" si="5"/>
        <v>129.03225806451644</v>
      </c>
      <c r="D39" s="22">
        <f t="shared" si="0"/>
        <v>290.58901893615024</v>
      </c>
      <c r="E39" s="22">
        <f t="shared" si="1"/>
        <v>329.03225806451644</v>
      </c>
      <c r="F39" s="22">
        <f t="shared" si="2"/>
        <v>200</v>
      </c>
      <c r="G39" s="22">
        <f t="shared" si="3"/>
        <v>1.4136539424508472</v>
      </c>
      <c r="H39" s="23">
        <f t="shared" si="4"/>
        <v>0.53097345132743468</v>
      </c>
      <c r="I39" s="23">
        <f t="shared" si="7"/>
        <v>1.0011792975735672</v>
      </c>
      <c r="J39" s="23">
        <f t="shared" si="8"/>
        <v>1.0015542157427388</v>
      </c>
      <c r="K39" s="23">
        <f t="shared" si="14"/>
        <v>1.9243545246717504E-3</v>
      </c>
      <c r="L39" s="22">
        <f t="shared" si="15"/>
        <v>1.6284186593580864E-2</v>
      </c>
      <c r="M39" s="23">
        <f t="shared" si="9"/>
        <v>1.0052264102891528</v>
      </c>
      <c r="N39" s="23">
        <f t="shared" si="10"/>
        <v>1.0009039394917676</v>
      </c>
      <c r="O39" s="23">
        <f t="shared" si="11"/>
        <v>0.99917407214377651</v>
      </c>
      <c r="P39" s="23">
        <f t="shared" si="12"/>
        <v>1.7940216794135287E-3</v>
      </c>
      <c r="Q39" s="22">
        <f t="shared" si="16"/>
        <v>9.5478025763561895E-3</v>
      </c>
      <c r="R39" s="23">
        <f t="shared" si="13"/>
        <v>1.4975864774216478E-2</v>
      </c>
    </row>
    <row r="40" spans="1:18" s="8" customFormat="1" ht="15.75">
      <c r="A40" s="22">
        <v>16</v>
      </c>
      <c r="B40" s="22">
        <f t="shared" si="6"/>
        <v>247.31182795698936</v>
      </c>
      <c r="C40" s="32">
        <f t="shared" si="5"/>
        <v>141.93548387096808</v>
      </c>
      <c r="D40" s="22">
        <f t="shared" si="0"/>
        <v>303.88031790556369</v>
      </c>
      <c r="E40" s="22">
        <f t="shared" si="1"/>
        <v>341.93548387096808</v>
      </c>
      <c r="F40" s="22">
        <f t="shared" si="2"/>
        <v>200</v>
      </c>
      <c r="G40" s="22">
        <f t="shared" si="3"/>
        <v>1.4107021604358985</v>
      </c>
      <c r="H40" s="23">
        <f t="shared" si="4"/>
        <v>0.573913043478262</v>
      </c>
      <c r="I40" s="23">
        <f t="shared" si="7"/>
        <v>1.0011585950902913</v>
      </c>
      <c r="J40" s="23">
        <f t="shared" si="8"/>
        <v>1.0015858302949521</v>
      </c>
      <c r="K40" s="23">
        <f t="shared" si="14"/>
        <v>1.9359852434521982E-3</v>
      </c>
      <c r="L40" s="22">
        <f t="shared" si="15"/>
        <v>1.8220171837033061E-2</v>
      </c>
      <c r="M40" s="23">
        <f t="shared" si="9"/>
        <v>1.0053857007789084</v>
      </c>
      <c r="N40" s="23">
        <f t="shared" si="10"/>
        <v>1.0008507062409113</v>
      </c>
      <c r="O40" s="23">
        <f t="shared" si="11"/>
        <v>0.99918855697535847</v>
      </c>
      <c r="P40" s="23">
        <f t="shared" si="12"/>
        <v>2.0125337323951592E-3</v>
      </c>
      <c r="Q40" s="22">
        <f t="shared" si="16"/>
        <v>1.1560336308751348E-2</v>
      </c>
      <c r="R40" s="23">
        <f t="shared" si="13"/>
        <v>1.7633726921095702E-2</v>
      </c>
    </row>
    <row r="41" spans="1:18" s="8" customFormat="1" ht="15.75">
      <c r="A41" s="22">
        <v>17</v>
      </c>
      <c r="B41" s="22">
        <f t="shared" si="6"/>
        <v>251.61290322580658</v>
      </c>
      <c r="C41" s="32">
        <f t="shared" si="5"/>
        <v>154.83870967741973</v>
      </c>
      <c r="D41" s="22">
        <f t="shared" si="0"/>
        <v>317.78329197684076</v>
      </c>
      <c r="E41" s="22">
        <f t="shared" si="1"/>
        <v>354.83870967741973</v>
      </c>
      <c r="F41" s="22">
        <f t="shared" si="2"/>
        <v>200</v>
      </c>
      <c r="G41" s="22">
        <f t="shared" si="3"/>
        <v>1.4077496012056812</v>
      </c>
      <c r="H41" s="23">
        <f t="shared" si="4"/>
        <v>0.61538461538461653</v>
      </c>
      <c r="I41" s="23">
        <f t="shared" si="7"/>
        <v>1.001138606945946</v>
      </c>
      <c r="J41" s="23">
        <f t="shared" si="8"/>
        <v>1.0016041819970865</v>
      </c>
      <c r="K41" s="23">
        <f t="shared" si="14"/>
        <v>1.9388450128648936E-3</v>
      </c>
      <c r="L41" s="22">
        <f t="shared" si="15"/>
        <v>2.0159016849897956E-2</v>
      </c>
      <c r="M41" s="23">
        <f t="shared" si="9"/>
        <v>1.0055648660759302</v>
      </c>
      <c r="N41" s="23">
        <f t="shared" si="10"/>
        <v>1.0008022759453057</v>
      </c>
      <c r="O41" s="23">
        <f t="shared" si="11"/>
        <v>0.99920254249145479</v>
      </c>
      <c r="P41" s="23">
        <f t="shared" si="12"/>
        <v>2.2407488042348995E-3</v>
      </c>
      <c r="Q41" s="22">
        <f t="shared" si="16"/>
        <v>1.3801085112986248E-2</v>
      </c>
      <c r="R41" s="23">
        <f t="shared" si="13"/>
        <v>2.0520757396285567E-2</v>
      </c>
    </row>
    <row r="42" spans="1:18" s="8" customFormat="1" ht="15.75">
      <c r="A42" s="22">
        <v>18</v>
      </c>
      <c r="B42" s="22">
        <f t="shared" si="6"/>
        <v>255.91397849462379</v>
      </c>
      <c r="C42" s="32">
        <f t="shared" si="5"/>
        <v>167.74193548387137</v>
      </c>
      <c r="D42" s="22">
        <f t="shared" si="0"/>
        <v>332.26710038854299</v>
      </c>
      <c r="E42" s="22">
        <f t="shared" si="1"/>
        <v>367.74193548387137</v>
      </c>
      <c r="F42" s="22">
        <f t="shared" si="2"/>
        <v>200</v>
      </c>
      <c r="G42" s="22">
        <f t="shared" si="3"/>
        <v>1.4048080151293412</v>
      </c>
      <c r="H42" s="23">
        <f t="shared" si="4"/>
        <v>0.6554621848739508</v>
      </c>
      <c r="I42" s="23">
        <f t="shared" si="7"/>
        <v>1.0011192967943301</v>
      </c>
      <c r="J42" s="23">
        <f t="shared" si="8"/>
        <v>1.0016115389198499</v>
      </c>
      <c r="K42" s="23">
        <f t="shared" si="14"/>
        <v>1.9344357084368261E-3</v>
      </c>
      <c r="L42" s="22">
        <f t="shared" si="15"/>
        <v>2.2093452558334781E-2</v>
      </c>
      <c r="M42" s="23">
        <f t="shared" si="9"/>
        <v>1.0057669516670911</v>
      </c>
      <c r="N42" s="23">
        <f t="shared" si="10"/>
        <v>1.0007580645726397</v>
      </c>
      <c r="O42" s="23">
        <f t="shared" si="11"/>
        <v>0.99921605407352698</v>
      </c>
      <c r="P42" s="23">
        <f t="shared" si="12"/>
        <v>2.4806685985243751E-3</v>
      </c>
      <c r="Q42" s="22">
        <f t="shared" si="16"/>
        <v>1.6281753711510624E-2</v>
      </c>
      <c r="R42" s="23">
        <f t="shared" si="13"/>
        <v>2.3646237897622217E-2</v>
      </c>
    </row>
    <row r="43" spans="1:18" s="8" customFormat="1" ht="15.75">
      <c r="A43" s="22">
        <v>19</v>
      </c>
      <c r="B43" s="22">
        <f t="shared" si="6"/>
        <v>260.21505376344101</v>
      </c>
      <c r="C43" s="32">
        <f t="shared" si="5"/>
        <v>180.64516129032302</v>
      </c>
      <c r="D43" s="22">
        <f t="shared" si="0"/>
        <v>347.30294143783937</v>
      </c>
      <c r="E43" s="22">
        <f t="shared" si="1"/>
        <v>380.64516129032302</v>
      </c>
      <c r="F43" s="22">
        <f t="shared" si="2"/>
        <v>200</v>
      </c>
      <c r="G43" s="22">
        <f t="shared" si="3"/>
        <v>1.4018869696755729</v>
      </c>
      <c r="H43" s="23">
        <f t="shared" si="4"/>
        <v>0.69421487603305909</v>
      </c>
      <c r="I43" s="23">
        <f t="shared" si="7"/>
        <v>1.0011006307139445</v>
      </c>
      <c r="J43" s="23">
        <f t="shared" si="8"/>
        <v>1.001609862096533</v>
      </c>
      <c r="K43" s="23">
        <f t="shared" si="14"/>
        <v>1.9240588804369252E-3</v>
      </c>
      <c r="L43" s="22">
        <f t="shared" si="15"/>
        <v>2.4017511438771705E-2</v>
      </c>
      <c r="M43" s="23">
        <f t="shared" si="9"/>
        <v>1.0059957148388436</v>
      </c>
      <c r="N43" s="23">
        <f t="shared" si="10"/>
        <v>1.0007175769939798</v>
      </c>
      <c r="O43" s="23">
        <f t="shared" si="11"/>
        <v>0.9992291154113887</v>
      </c>
      <c r="P43" s="23">
        <f t="shared" si="12"/>
        <v>2.7349722481189668E-3</v>
      </c>
      <c r="Q43" s="22">
        <f t="shared" si="16"/>
        <v>1.9016725959629589E-2</v>
      </c>
      <c r="R43" s="23">
        <f t="shared" si="13"/>
        <v>2.7022563105886827E-2</v>
      </c>
    </row>
    <row r="44" spans="1:18" s="8" customFormat="1" ht="15.75">
      <c r="A44" s="22">
        <v>20</v>
      </c>
      <c r="B44" s="22">
        <f t="shared" si="6"/>
        <v>264.51612903225822</v>
      </c>
      <c r="C44" s="32">
        <f t="shared" si="5"/>
        <v>193.54838709677466</v>
      </c>
      <c r="D44" s="22">
        <f t="shared" si="0"/>
        <v>362.86388670338374</v>
      </c>
      <c r="E44" s="22">
        <f t="shared" si="1"/>
        <v>393.54838709677466</v>
      </c>
      <c r="F44" s="22">
        <f t="shared" si="2"/>
        <v>200</v>
      </c>
      <c r="G44" s="22">
        <f t="shared" si="3"/>
        <v>1.3989941654516191</v>
      </c>
      <c r="H44" s="23">
        <f t="shared" si="4"/>
        <v>0.73170731707317205</v>
      </c>
      <c r="I44" s="23">
        <f t="shared" si="7"/>
        <v>1.001082577009111</v>
      </c>
      <c r="J44" s="23">
        <f t="shared" si="8"/>
        <v>1.0016008312524307</v>
      </c>
      <c r="K44" s="23">
        <f t="shared" si="14"/>
        <v>1.9088321708156161E-3</v>
      </c>
      <c r="L44" s="22">
        <f t="shared" si="15"/>
        <v>2.5926343609587323E-2</v>
      </c>
      <c r="M44" s="23">
        <f t="shared" si="9"/>
        <v>1.0062558400981914</v>
      </c>
      <c r="N44" s="23">
        <f t="shared" si="10"/>
        <v>1.0006803908397492</v>
      </c>
      <c r="O44" s="23">
        <f t="shared" si="11"/>
        <v>0.99924174864183291</v>
      </c>
      <c r="P44" s="23">
        <f t="shared" si="12"/>
        <v>3.007127594497015E-3</v>
      </c>
      <c r="Q44" s="22">
        <f t="shared" si="16"/>
        <v>2.2023853554126605E-2</v>
      </c>
      <c r="R44" s="23">
        <f t="shared" si="13"/>
        <v>3.0665968090655714E-2</v>
      </c>
    </row>
    <row r="45" spans="1:18" s="8" customFormat="1" ht="15.75">
      <c r="A45" s="22">
        <v>21</v>
      </c>
      <c r="B45" s="22">
        <f t="shared" si="6"/>
        <v>268.81720430107544</v>
      </c>
      <c r="C45" s="32">
        <f t="shared" si="5"/>
        <v>206.45161290322631</v>
      </c>
      <c r="D45" s="22">
        <f t="shared" si="0"/>
        <v>378.92473118279634</v>
      </c>
      <c r="E45" s="22">
        <f t="shared" si="1"/>
        <v>406.45161290322631</v>
      </c>
      <c r="F45" s="22">
        <f t="shared" si="2"/>
        <v>200</v>
      </c>
      <c r="G45" s="22">
        <f t="shared" si="3"/>
        <v>1.3961357192648072</v>
      </c>
      <c r="H45" s="23">
        <f t="shared" si="4"/>
        <v>0.76800000000000135</v>
      </c>
      <c r="I45" s="23">
        <f t="shared" si="7"/>
        <v>1.0010651060303517</v>
      </c>
      <c r="J45" s="23">
        <f t="shared" si="8"/>
        <v>1.001585874002104</v>
      </c>
      <c r="K45" s="23">
        <f t="shared" si="14"/>
        <v>1.8897080124968418E-3</v>
      </c>
      <c r="L45" s="22">
        <f t="shared" si="15"/>
        <v>2.7816051622084163E-2</v>
      </c>
      <c r="M45" s="23">
        <f t="shared" si="9"/>
        <v>1.0065532384899281</v>
      </c>
      <c r="N45" s="23">
        <f t="shared" si="10"/>
        <v>1.0006461437370369</v>
      </c>
      <c r="O45" s="23">
        <f t="shared" si="11"/>
        <v>0.99925397447384512</v>
      </c>
      <c r="P45" s="23">
        <f t="shared" si="12"/>
        <v>3.3015732104904908E-3</v>
      </c>
      <c r="Q45" s="22">
        <f t="shared" si="16"/>
        <v>2.5325426764617097E-2</v>
      </c>
      <c r="R45" s="23">
        <f t="shared" si="13"/>
        <v>3.4597443971978482E-2</v>
      </c>
    </row>
    <row r="46" spans="1:18" s="8" customFormat="1" ht="15.75">
      <c r="A46" s="22">
        <v>22</v>
      </c>
      <c r="B46" s="22">
        <f t="shared" si="6"/>
        <v>273.11827956989265</v>
      </c>
      <c r="C46" s="32">
        <f t="shared" si="5"/>
        <v>219.35483870967795</v>
      </c>
      <c r="D46" s="22">
        <f t="shared" si="0"/>
        <v>395.46185759038252</v>
      </c>
      <c r="E46" s="22">
        <f t="shared" si="1"/>
        <v>419.35483870967795</v>
      </c>
      <c r="F46" s="22">
        <f t="shared" si="2"/>
        <v>200</v>
      </c>
      <c r="G46" s="22">
        <f t="shared" si="3"/>
        <v>1.3933164134562577</v>
      </c>
      <c r="H46" s="23">
        <f t="shared" si="4"/>
        <v>0.80314960629921406</v>
      </c>
      <c r="I46" s="23">
        <f t="shared" si="7"/>
        <v>1.0010481900118842</v>
      </c>
      <c r="J46" s="23">
        <f t="shared" si="8"/>
        <v>1.001566195747192</v>
      </c>
      <c r="K46" s="23">
        <f t="shared" si="14"/>
        <v>1.8674928391941906E-3</v>
      </c>
      <c r="L46" s="22">
        <f t="shared" si="15"/>
        <v>2.9683544461278355E-2</v>
      </c>
      <c r="M46" s="23">
        <f t="shared" si="9"/>
        <v>1.0068954715153458</v>
      </c>
      <c r="N46" s="23">
        <f t="shared" si="10"/>
        <v>1.0006145231311843</v>
      </c>
      <c r="O46" s="23">
        <f t="shared" si="11"/>
        <v>0.99926581230189515</v>
      </c>
      <c r="P46" s="23">
        <f t="shared" si="12"/>
        <v>3.6239986828914112E-3</v>
      </c>
      <c r="Q46" s="22">
        <f t="shared" si="16"/>
        <v>2.8949425447508507E-2</v>
      </c>
      <c r="R46" s="23">
        <f t="shared" si="13"/>
        <v>3.8843940267934626E-2</v>
      </c>
    </row>
    <row r="47" spans="1:18" s="8" customFormat="1" ht="15.75">
      <c r="A47" s="22">
        <v>23</v>
      </c>
      <c r="B47" s="22">
        <f t="shared" si="6"/>
        <v>277.41935483870986</v>
      </c>
      <c r="C47" s="32">
        <f t="shared" si="5"/>
        <v>232.25806451612959</v>
      </c>
      <c r="D47" s="22">
        <f t="shared" si="0"/>
        <v>412.4531132783203</v>
      </c>
      <c r="E47" s="22">
        <f t="shared" si="1"/>
        <v>432.25806451612959</v>
      </c>
      <c r="F47" s="22">
        <f t="shared" si="2"/>
        <v>200</v>
      </c>
      <c r="G47" s="22">
        <f t="shared" si="3"/>
        <v>1.3905399127207181</v>
      </c>
      <c r="H47" s="23">
        <f t="shared" si="4"/>
        <v>0.83720930232558288</v>
      </c>
      <c r="I47" s="23">
        <f t="shared" si="7"/>
        <v>1.0010318029243654</v>
      </c>
      <c r="J47" s="23">
        <f t="shared" si="8"/>
        <v>1.0015428085223661</v>
      </c>
      <c r="K47" s="23">
        <f t="shared" si="14"/>
        <v>1.8428656770814516E-3</v>
      </c>
      <c r="L47" s="22">
        <f t="shared" si="15"/>
        <v>3.1526410138359807E-2</v>
      </c>
      <c r="M47" s="23">
        <f t="shared" si="9"/>
        <v>1.0072923646311887</v>
      </c>
      <c r="N47" s="23">
        <f t="shared" si="10"/>
        <v>1.000585258102191</v>
      </c>
      <c r="O47" s="23">
        <f t="shared" si="11"/>
        <v>0.99927728030860929</v>
      </c>
      <c r="P47" s="23">
        <f t="shared" si="12"/>
        <v>3.9817683355066599E-3</v>
      </c>
      <c r="Q47" s="22">
        <f t="shared" si="16"/>
        <v>3.2931193783015164E-2</v>
      </c>
      <c r="R47" s="23">
        <f t="shared" si="13"/>
        <v>4.3439997162468436E-2</v>
      </c>
    </row>
    <row r="48" spans="1:18" s="8" customFormat="1" ht="15.75">
      <c r="A48" s="22">
        <v>24</v>
      </c>
      <c r="B48" s="22">
        <f t="shared" si="6"/>
        <v>281.72043010752708</v>
      </c>
      <c r="C48" s="32">
        <f t="shared" si="5"/>
        <v>245.16129032258124</v>
      </c>
      <c r="D48" s="22">
        <f t="shared" si="0"/>
        <v>429.87769843224243</v>
      </c>
      <c r="E48" s="22">
        <f t="shared" si="1"/>
        <v>445.16129032258124</v>
      </c>
      <c r="F48" s="22">
        <f t="shared" si="2"/>
        <v>200</v>
      </c>
      <c r="G48" s="22">
        <f t="shared" si="3"/>
        <v>1.3878089507652323</v>
      </c>
      <c r="H48" s="23">
        <f t="shared" si="4"/>
        <v>0.87022900763358924</v>
      </c>
      <c r="I48" s="23">
        <f t="shared" si="7"/>
        <v>1.0010159203412332</v>
      </c>
      <c r="J48" s="23">
        <f t="shared" si="8"/>
        <v>1.0015165577713943</v>
      </c>
      <c r="K48" s="23">
        <f t="shared" si="14"/>
        <v>1.8163954561705566E-3</v>
      </c>
      <c r="L48" s="22">
        <f t="shared" si="15"/>
        <v>3.3342805594530366E-2</v>
      </c>
      <c r="M48" s="23">
        <f t="shared" si="9"/>
        <v>1.0077569171844816</v>
      </c>
      <c r="N48" s="23">
        <f t="shared" si="10"/>
        <v>1.000558112735161</v>
      </c>
      <c r="O48" s="23">
        <f t="shared" si="11"/>
        <v>0.99928839555796733</v>
      </c>
      <c r="P48" s="23">
        <f t="shared" si="12"/>
        <v>4.3845638873237572E-3</v>
      </c>
      <c r="Q48" s="22">
        <f t="shared" si="16"/>
        <v>3.7315757670338921E-2</v>
      </c>
      <c r="R48" s="23">
        <f t="shared" si="13"/>
        <v>4.8430026201849045E-2</v>
      </c>
    </row>
    <row r="49" spans="1:18" s="8" customFormat="1" ht="15.75">
      <c r="A49" s="22">
        <v>25</v>
      </c>
      <c r="B49" s="22">
        <f t="shared" si="6"/>
        <v>286.02150537634429</v>
      </c>
      <c r="C49" s="32">
        <f t="shared" si="5"/>
        <v>258.06451612903288</v>
      </c>
      <c r="D49" s="22">
        <f t="shared" si="0"/>
        <v>447.71606435443539</v>
      </c>
      <c r="E49" s="22">
        <f t="shared" si="1"/>
        <v>458.06451612903288</v>
      </c>
      <c r="F49" s="22">
        <f t="shared" si="2"/>
        <v>200</v>
      </c>
      <c r="G49" s="22">
        <f t="shared" si="3"/>
        <v>1.3851254897266911</v>
      </c>
      <c r="H49" s="23">
        <f t="shared" si="4"/>
        <v>0.90225563909774587</v>
      </c>
      <c r="I49" s="23">
        <f t="shared" si="7"/>
        <v>1.0010005193172091</v>
      </c>
      <c r="J49" s="23">
        <f t="shared" si="8"/>
        <v>1.0014881465440966</v>
      </c>
      <c r="K49" s="23">
        <f t="shared" si="14"/>
        <v>1.7885567037317614E-3</v>
      </c>
      <c r="L49" s="22">
        <f t="shared" si="15"/>
        <v>3.513136229826213E-2</v>
      </c>
      <c r="M49" s="23">
        <f t="shared" si="9"/>
        <v>1.0083066905561417</v>
      </c>
      <c r="N49" s="23">
        <f t="shared" si="10"/>
        <v>1.0005328807118199</v>
      </c>
      <c r="O49" s="23">
        <f t="shared" si="11"/>
        <v>0.99929917408002911</v>
      </c>
      <c r="P49" s="23">
        <f t="shared" si="12"/>
        <v>4.8453754989963606E-3</v>
      </c>
      <c r="Q49" s="22">
        <f t="shared" si="16"/>
        <v>4.2161133169335285E-2</v>
      </c>
      <c r="R49" s="23">
        <f t="shared" si="13"/>
        <v>5.3871587268755995E-2</v>
      </c>
    </row>
    <row r="50" spans="1:18" s="8" customFormat="1" ht="15.75">
      <c r="A50" s="22">
        <v>26</v>
      </c>
      <c r="B50" s="22">
        <f t="shared" si="6"/>
        <v>290.32258064516151</v>
      </c>
      <c r="C50" s="32">
        <f t="shared" si="5"/>
        <v>270.96774193548453</v>
      </c>
      <c r="D50" s="22">
        <f t="shared" si="0"/>
        <v>465.94982078853144</v>
      </c>
      <c r="E50" s="22">
        <f t="shared" si="1"/>
        <v>470.96774193548453</v>
      </c>
      <c r="F50" s="22">
        <f t="shared" si="2"/>
        <v>200</v>
      </c>
      <c r="G50" s="22">
        <f t="shared" si="3"/>
        <v>1.3824908554573205</v>
      </c>
      <c r="H50" s="23">
        <f t="shared" si="4"/>
        <v>0.9333333333333349</v>
      </c>
      <c r="I50" s="23">
        <f t="shared" si="7"/>
        <v>1.0009855782776884</v>
      </c>
      <c r="J50" s="23">
        <f t="shared" si="8"/>
        <v>1.0014581569421532</v>
      </c>
      <c r="K50" s="23">
        <f t="shared" si="14"/>
        <v>1.7597434982670372E-3</v>
      </c>
      <c r="L50" s="22">
        <f t="shared" si="15"/>
        <v>3.6891105796529169E-2</v>
      </c>
      <c r="M50" s="23">
        <f t="shared" si="9"/>
        <v>1.0089659960156159</v>
      </c>
      <c r="N50" s="23">
        <f t="shared" si="10"/>
        <v>1.0005093808691607</v>
      </c>
      <c r="O50" s="23">
        <f t="shared" si="11"/>
        <v>0.99930963094807479</v>
      </c>
      <c r="P50" s="23">
        <f t="shared" si="12"/>
        <v>5.3820708974673696E-3</v>
      </c>
      <c r="Q50" s="22">
        <f t="shared" si="16"/>
        <v>4.7543204066802652E-2</v>
      </c>
      <c r="R50" s="23">
        <f t="shared" si="13"/>
        <v>5.9840239332312375E-2</v>
      </c>
    </row>
    <row r="51" spans="1:18" s="8" customFormat="1" ht="15.75">
      <c r="A51" s="22">
        <v>27</v>
      </c>
      <c r="B51" s="22">
        <f t="shared" si="6"/>
        <v>294.62365591397872</v>
      </c>
      <c r="C51" s="32">
        <f t="shared" si="5"/>
        <v>283.87096774193617</v>
      </c>
      <c r="D51" s="22">
        <f t="shared" si="0"/>
        <v>484.56165136174656</v>
      </c>
      <c r="E51" s="22">
        <f t="shared" si="1"/>
        <v>483.87096774193617</v>
      </c>
      <c r="F51" s="22">
        <f t="shared" si="2"/>
        <v>200</v>
      </c>
      <c r="G51" s="22">
        <f t="shared" si="3"/>
        <v>1.3799058517385372</v>
      </c>
      <c r="H51" s="23">
        <f t="shared" si="4"/>
        <v>0.9635036496350381</v>
      </c>
      <c r="I51" s="23">
        <f t="shared" si="7"/>
        <v>1.0009710769178934</v>
      </c>
      <c r="J51" s="23">
        <f t="shared" si="8"/>
        <v>1.0014270688538112</v>
      </c>
      <c r="K51" s="23">
        <f t="shared" si="14"/>
        <v>1.7302816995775413E-3</v>
      </c>
      <c r="L51" s="22">
        <f t="shared" si="15"/>
        <v>3.8621387496106711E-2</v>
      </c>
      <c r="M51" s="23">
        <f t="shared" si="9"/>
        <v>1.0097694773165671</v>
      </c>
      <c r="N51" s="23">
        <f t="shared" si="10"/>
        <v>1.0004874535298265</v>
      </c>
      <c r="O51" s="23">
        <f t="shared" si="11"/>
        <v>0.99931978034894053</v>
      </c>
      <c r="P51" s="23">
        <f t="shared" si="12"/>
        <v>6.0199678498276572E-3</v>
      </c>
      <c r="Q51" s="22">
        <f t="shared" si="16"/>
        <v>5.3563171916630306E-2</v>
      </c>
      <c r="R51" s="23">
        <f t="shared" si="13"/>
        <v>6.6436967748665879E-2</v>
      </c>
    </row>
    <row r="52" spans="1:18" s="8" customFormat="1" ht="15.75">
      <c r="A52" s="22">
        <v>28</v>
      </c>
      <c r="B52" s="22">
        <f t="shared" si="6"/>
        <v>298.92473118279594</v>
      </c>
      <c r="C52" s="32">
        <f t="shared" si="5"/>
        <v>296.77419354838781</v>
      </c>
      <c r="D52" s="22">
        <f t="shared" si="0"/>
        <v>503.5352363270685</v>
      </c>
      <c r="E52" s="22">
        <f t="shared" si="1"/>
        <v>496.77419354838781</v>
      </c>
      <c r="F52" s="22">
        <f t="shared" si="2"/>
        <v>200</v>
      </c>
      <c r="G52" s="22">
        <f t="shared" si="3"/>
        <v>1.3773708562960132</v>
      </c>
      <c r="H52" s="23">
        <f t="shared" si="4"/>
        <v>0.99280575539568505</v>
      </c>
      <c r="I52" s="23">
        <f t="shared" si="7"/>
        <v>1.0009569961108047</v>
      </c>
      <c r="J52" s="23">
        <f t="shared" si="8"/>
        <v>1.0013952761417533</v>
      </c>
      <c r="K52" s="23">
        <f t="shared" si="14"/>
        <v>1.7004395516827446E-3</v>
      </c>
      <c r="L52" s="22">
        <f t="shared" si="15"/>
        <v>4.0321827047789457E-2</v>
      </c>
      <c r="M52" s="23">
        <f t="shared" si="9"/>
        <v>1.0107682498689297</v>
      </c>
      <c r="N52" s="23">
        <f t="shared" si="10"/>
        <v>1.0004669574526259</v>
      </c>
      <c r="O52" s="23">
        <f t="shared" si="11"/>
        <v>0.99932963564723876</v>
      </c>
      <c r="P52" s="23">
        <f t="shared" si="12"/>
        <v>6.7962393328108222E-3</v>
      </c>
      <c r="Q52" s="22">
        <f t="shared" si="16"/>
        <v>6.0359411249441129E-2</v>
      </c>
      <c r="R52" s="23">
        <f t="shared" si="13"/>
        <v>7.3800020265370941E-2</v>
      </c>
    </row>
    <row r="53" spans="1:18" s="8" customFormat="1" ht="15.75">
      <c r="A53" s="22">
        <v>29</v>
      </c>
      <c r="B53" s="22">
        <f t="shared" si="6"/>
        <v>303.22580645161315</v>
      </c>
      <c r="C53" s="32">
        <f t="shared" si="5"/>
        <v>309.67741935483946</v>
      </c>
      <c r="D53" s="22">
        <f t="shared" si="0"/>
        <v>522.85518188057767</v>
      </c>
      <c r="E53" s="22">
        <f t="shared" si="1"/>
        <v>509.67741935483946</v>
      </c>
      <c r="F53" s="22">
        <f t="shared" si="2"/>
        <v>200</v>
      </c>
      <c r="G53" s="22">
        <f t="shared" si="3"/>
        <v>1.374885901229125</v>
      </c>
      <c r="H53" s="23">
        <f t="shared" si="4"/>
        <v>1.0212765957446825</v>
      </c>
      <c r="I53" s="23">
        <f t="shared" si="7"/>
        <v>1.0009433178229856</v>
      </c>
      <c r="J53" s="23">
        <f t="shared" si="8"/>
        <v>1.0013631005130232</v>
      </c>
      <c r="K53" s="23">
        <f t="shared" si="14"/>
        <v>1.6704367985100807E-3</v>
      </c>
      <c r="L53" s="22">
        <f t="shared" si="15"/>
        <v>4.1992263846299539E-2</v>
      </c>
      <c r="M53" s="23">
        <f t="shared" si="9"/>
        <v>1.0120410156092479</v>
      </c>
      <c r="N53" s="23">
        <f t="shared" si="10"/>
        <v>1.0004477672846439</v>
      </c>
      <c r="O53" s="23">
        <f t="shared" si="11"/>
        <v>0.99933920944407539</v>
      </c>
      <c r="P53" s="23">
        <f t="shared" si="12"/>
        <v>7.7678742556701614E-3</v>
      </c>
      <c r="Q53" s="22">
        <f t="shared" si="16"/>
        <v>6.8127285505111296E-2</v>
      </c>
      <c r="R53" s="23">
        <f t="shared" si="13"/>
        <v>8.2124706787211149E-2</v>
      </c>
    </row>
    <row r="54" spans="1:18" s="8" customFormat="1" ht="15.75">
      <c r="A54" s="22">
        <v>30</v>
      </c>
      <c r="B54" s="22">
        <f t="shared" si="6"/>
        <v>307.52688172043037</v>
      </c>
      <c r="C54" s="32">
        <f t="shared" si="5"/>
        <v>322.5806451612911</v>
      </c>
      <c r="D54" s="22">
        <f t="shared" si="0"/>
        <v>542.5069554101824</v>
      </c>
      <c r="E54" s="22">
        <f t="shared" si="1"/>
        <v>522.58064516129116</v>
      </c>
      <c r="F54" s="22">
        <f t="shared" si="2"/>
        <v>200</v>
      </c>
      <c r="G54" s="22">
        <f t="shared" si="3"/>
        <v>1.3724507401799086</v>
      </c>
      <c r="H54" s="23">
        <f t="shared" si="4"/>
        <v>1.0489510489510505</v>
      </c>
      <c r="I54" s="23">
        <f t="shared" si="7"/>
        <v>1.0009300250375261</v>
      </c>
      <c r="J54" s="23">
        <f t="shared" si="8"/>
        <v>1.0013308033255972</v>
      </c>
      <c r="K54" s="23">
        <f t="shared" si="14"/>
        <v>1.6404524704212856E-3</v>
      </c>
      <c r="L54" s="22">
        <f t="shared" si="15"/>
        <v>4.3632716316720825E-2</v>
      </c>
      <c r="M54" s="23">
        <f t="shared" si="9"/>
        <v>1.0137156033798576</v>
      </c>
      <c r="N54" s="23">
        <f t="shared" si="10"/>
        <v>1.0004297714215742</v>
      </c>
      <c r="O54" s="23">
        <f t="shared" si="11"/>
        <v>0.99934851363080568</v>
      </c>
      <c r="P54" s="23">
        <f t="shared" si="12"/>
        <v>9.0270625927753902E-3</v>
      </c>
      <c r="Q54" s="22">
        <f t="shared" si="16"/>
        <v>7.7154348097886682E-2</v>
      </c>
      <c r="R54" s="23">
        <f t="shared" si="13"/>
        <v>9.1698586870126955E-2</v>
      </c>
    </row>
    <row r="55" spans="1:18" s="8" customFormat="1" ht="15.75">
      <c r="A55" s="22">
        <v>31</v>
      </c>
      <c r="B55" s="22">
        <f t="shared" si="6"/>
        <v>311.82795698924758</v>
      </c>
      <c r="C55" s="32">
        <f t="shared" si="5"/>
        <v>335.48387096774275</v>
      </c>
      <c r="D55" s="22">
        <f t="shared" si="0"/>
        <v>562.47682610307879</v>
      </c>
      <c r="E55" s="22">
        <f t="shared" si="1"/>
        <v>535.48387096774275</v>
      </c>
      <c r="F55" s="22">
        <f t="shared" si="2"/>
        <v>200</v>
      </c>
      <c r="G55" s="22">
        <f t="shared" si="3"/>
        <v>1.370064904277398</v>
      </c>
      <c r="H55" s="23">
        <f t="shared" si="4"/>
        <v>1.0758620689655189</v>
      </c>
      <c r="I55" s="23">
        <f t="shared" si="7"/>
        <v>1.0009171016834124</v>
      </c>
      <c r="J55" s="23">
        <f t="shared" si="8"/>
        <v>1.0012985955875822</v>
      </c>
      <c r="K55" s="23">
        <f t="shared" si="14"/>
        <v>1.6106315020095888E-3</v>
      </c>
      <c r="L55" s="22">
        <f t="shared" si="15"/>
        <v>4.5243347818730413E-2</v>
      </c>
      <c r="M55" s="23">
        <f t="shared" si="9"/>
        <v>1.0160144930717672</v>
      </c>
      <c r="N55" s="23">
        <f t="shared" si="10"/>
        <v>1.0004128702022184</v>
      </c>
      <c r="O55" s="23">
        <f t="shared" si="11"/>
        <v>0.99935755943831195</v>
      </c>
      <c r="P55" s="23">
        <f t="shared" si="12"/>
        <v>1.073358962009391E-2</v>
      </c>
      <c r="Q55" s="22">
        <f t="shared" si="16"/>
        <v>8.7887937717980591E-2</v>
      </c>
      <c r="R55" s="23">
        <f t="shared" si="13"/>
        <v>0.1029690536575574</v>
      </c>
    </row>
    <row r="56" spans="1:18" s="8" customFormat="1" ht="15.75">
      <c r="A56" s="22">
        <v>32</v>
      </c>
      <c r="B56" s="22">
        <f t="shared" si="6"/>
        <v>316.1290322580648</v>
      </c>
      <c r="C56" s="32">
        <f t="shared" si="5"/>
        <v>348.38709677419439</v>
      </c>
      <c r="D56" s="22">
        <f t="shared" si="0"/>
        <v>582.75181040158134</v>
      </c>
      <c r="E56" s="22">
        <f t="shared" si="1"/>
        <v>548.38709677419433</v>
      </c>
      <c r="F56" s="22">
        <f t="shared" si="2"/>
        <v>200</v>
      </c>
      <c r="G56" s="22">
        <f t="shared" si="3"/>
        <v>1.3677277486188248</v>
      </c>
      <c r="H56" s="23">
        <f t="shared" si="4"/>
        <v>1.1020408163265323</v>
      </c>
      <c r="I56" s="23">
        <f t="shared" si="7"/>
        <v>1.0009045325707018</v>
      </c>
      <c r="J56" s="23">
        <f t="shared" si="8"/>
        <v>1.00126664639211</v>
      </c>
      <c r="K56" s="23">
        <f t="shared" si="14"/>
        <v>1.5810903345643387E-3</v>
      </c>
      <c r="L56" s="22">
        <f t="shared" si="15"/>
        <v>4.6824438153294755E-2</v>
      </c>
      <c r="M56" s="23">
        <f t="shared" si="9"/>
        <v>1.0193627275133417</v>
      </c>
      <c r="N56" s="23">
        <f t="shared" si="10"/>
        <v>1.0003969743780354</v>
      </c>
      <c r="O56" s="23">
        <f t="shared" si="11"/>
        <v>0.99936635748223113</v>
      </c>
      <c r="P56" s="23">
        <f t="shared" si="12"/>
        <v>1.3191236793073388E-2</v>
      </c>
      <c r="Q56" s="22">
        <f t="shared" si="16"/>
        <v>0.10107917451105398</v>
      </c>
      <c r="R56" s="23">
        <f t="shared" si="13"/>
        <v>0.11668732056215224</v>
      </c>
    </row>
    <row r="57" spans="1:18" s="8" customFormat="1" ht="15.75">
      <c r="A57" s="22">
        <v>33</v>
      </c>
      <c r="B57" s="22">
        <f t="shared" si="6"/>
        <v>320.43010752688201</v>
      </c>
      <c r="C57" s="32">
        <f t="shared" si="5"/>
        <v>361.29032258064603</v>
      </c>
      <c r="D57" s="22">
        <f t="shared" si="0"/>
        <v>603.31962185177304</v>
      </c>
      <c r="E57" s="22">
        <f t="shared" si="1"/>
        <v>561.29032258064603</v>
      </c>
      <c r="F57" s="22">
        <f t="shared" si="2"/>
        <v>200</v>
      </c>
      <c r="G57" s="22">
        <f t="shared" si="3"/>
        <v>1.3654384907980148</v>
      </c>
      <c r="H57" s="23">
        <f t="shared" si="4"/>
        <v>1.1275167785234916</v>
      </c>
      <c r="I57" s="23">
        <f t="shared" si="7"/>
        <v>1.0008923033309605</v>
      </c>
      <c r="J57" s="23">
        <f t="shared" si="8"/>
        <v>1.001235090010522</v>
      </c>
      <c r="K57" s="23">
        <f t="shared" si="14"/>
        <v>1.5519216444862844E-3</v>
      </c>
      <c r="L57" s="22">
        <f t="shared" si="15"/>
        <v>4.8376359797781036E-2</v>
      </c>
      <c r="M57" s="23">
        <f t="shared" si="9"/>
        <v>1.0246883243762852</v>
      </c>
      <c r="N57" s="23">
        <f t="shared" si="10"/>
        <v>1.000382003810262</v>
      </c>
      <c r="O57" s="23">
        <f t="shared" si="11"/>
        <v>0.99937491780451659</v>
      </c>
      <c r="P57" s="23">
        <f t="shared" si="12"/>
        <v>1.7058947556730424E-2</v>
      </c>
      <c r="Q57" s="22">
        <f t="shared" si="16"/>
        <v>0.1181381220677844</v>
      </c>
      <c r="R57" s="23">
        <f t="shared" si="13"/>
        <v>0.13426357533371142</v>
      </c>
    </row>
    <row r="58" spans="1:18" s="8" customFormat="1" ht="15.75">
      <c r="A58" s="22">
        <v>34</v>
      </c>
      <c r="B58" s="22">
        <f t="shared" si="6"/>
        <v>324.73118279569923</v>
      </c>
      <c r="C58" s="32">
        <f t="shared" si="5"/>
        <v>374.19354838709768</v>
      </c>
      <c r="D58" s="22">
        <f t="shared" si="0"/>
        <v>624.16862493769281</v>
      </c>
      <c r="E58" s="22">
        <f t="shared" si="1"/>
        <v>574.19354838709774</v>
      </c>
      <c r="F58" s="22">
        <f t="shared" si="2"/>
        <v>200</v>
      </c>
      <c r="G58" s="22">
        <f t="shared" si="3"/>
        <v>1.3631962427670763</v>
      </c>
      <c r="H58" s="23">
        <f t="shared" si="4"/>
        <v>1.1523178807947037</v>
      </c>
      <c r="I58" s="23">
        <f t="shared" si="7"/>
        <v>1.0008804003624663</v>
      </c>
      <c r="J58" s="23">
        <f t="shared" si="8"/>
        <v>1.0012040318426778</v>
      </c>
      <c r="K58" s="23">
        <f t="shared" si="14"/>
        <v>1.5231983244673481E-3</v>
      </c>
      <c r="L58" s="22">
        <f t="shared" si="15"/>
        <v>4.9899558122248382E-2</v>
      </c>
      <c r="M58" s="23">
        <f t="shared" si="9"/>
        <v>1.034492591204639</v>
      </c>
      <c r="N58" s="23">
        <f t="shared" si="10"/>
        <v>1.0003678863562411</v>
      </c>
      <c r="O58" s="23">
        <f t="shared" si="11"/>
        <v>0.99938324991167515</v>
      </c>
      <c r="P58" s="23">
        <f t="shared" si="12"/>
        <v>2.4094771531398388E-2</v>
      </c>
      <c r="Q58" s="22">
        <f t="shared" si="16"/>
        <v>0.14223289359918279</v>
      </c>
      <c r="R58" s="23">
        <f t="shared" si="13"/>
        <v>0.15886607963993224</v>
      </c>
    </row>
    <row r="59" spans="1:18" s="8" customFormat="1" ht="15.75">
      <c r="A59" s="22">
        <v>35</v>
      </c>
      <c r="B59" s="22">
        <f t="shared" si="6"/>
        <v>329.03225806451644</v>
      </c>
      <c r="C59" s="32">
        <f t="shared" si="5"/>
        <v>387.09677419354932</v>
      </c>
      <c r="D59" s="22">
        <f t="shared" si="0"/>
        <v>645.28779253637094</v>
      </c>
      <c r="E59" s="22">
        <f t="shared" si="1"/>
        <v>587.09677419354932</v>
      </c>
      <c r="F59" s="22">
        <f t="shared" si="2"/>
        <v>200</v>
      </c>
      <c r="G59" s="22">
        <f t="shared" si="3"/>
        <v>1.3610000371207414</v>
      </c>
      <c r="H59" s="23">
        <f t="shared" si="4"/>
        <v>1.1764705882352959</v>
      </c>
      <c r="I59" s="23">
        <f t="shared" si="7"/>
        <v>1.0008688107797414</v>
      </c>
      <c r="J59" s="23">
        <f t="shared" si="8"/>
        <v>1.0011735533989075</v>
      </c>
      <c r="K59" s="23">
        <f t="shared" si="14"/>
        <v>1.4949768292501799E-3</v>
      </c>
      <c r="L59" s="22">
        <f t="shared" si="15"/>
        <v>5.1394534951498559E-2</v>
      </c>
      <c r="M59" s="23">
        <f t="shared" si="9"/>
        <v>1.0588581461434383</v>
      </c>
      <c r="N59" s="23">
        <f t="shared" si="10"/>
        <v>1.0003545569138033</v>
      </c>
      <c r="O59" s="23">
        <f t="shared" si="11"/>
        <v>0.99939136280998664</v>
      </c>
      <c r="P59" s="23">
        <f t="shared" si="12"/>
        <v>4.1243239278176733E-2</v>
      </c>
      <c r="Q59" s="22">
        <f t="shared" si="16"/>
        <v>0.18347613287735953</v>
      </c>
      <c r="R59" s="23">
        <f t="shared" si="13"/>
        <v>0.20060764452785906</v>
      </c>
    </row>
    <row r="60" spans="1:18" s="8" customFormat="1" ht="15.75">
      <c r="A60" s="22">
        <v>36</v>
      </c>
      <c r="B60" s="22">
        <f>pcs</f>
        <v>333.33333333333331</v>
      </c>
      <c r="C60" s="22">
        <f t="shared" si="5"/>
        <v>399.99999999999994</v>
      </c>
      <c r="D60" s="22">
        <f t="shared" si="0"/>
        <v>666.66666666666663</v>
      </c>
      <c r="E60" s="22">
        <f t="shared" si="1"/>
        <v>600</v>
      </c>
      <c r="F60" s="22">
        <f t="shared" si="2"/>
        <v>200</v>
      </c>
      <c r="G60" s="22">
        <f t="shared" si="3"/>
        <v>1.3588488487223178</v>
      </c>
      <c r="H60" s="23">
        <f t="shared" si="4"/>
        <v>1.2</v>
      </c>
      <c r="I60" s="23"/>
      <c r="J60" s="23"/>
      <c r="K60" s="23"/>
      <c r="L60" s="22"/>
      <c r="M60" s="23"/>
      <c r="N60" s="23"/>
      <c r="O60" s="23"/>
      <c r="P60" s="23"/>
      <c r="Q60" s="22"/>
      <c r="R60" s="22"/>
    </row>
    <row r="61" spans="1:18" s="8" customFormat="1" ht="15.75"/>
    <row r="62" spans="1:18" ht="15.75">
      <c r="N62" s="24"/>
      <c r="O62" s="24"/>
      <c r="P62" s="24"/>
      <c r="Q62" s="24"/>
      <c r="R62" s="24"/>
    </row>
    <row r="63" spans="1:18" s="24" customFormat="1" ht="15.75"/>
    <row r="64" spans="1:18">
      <c r="C64" s="25"/>
      <c r="D64" s="25"/>
    </row>
    <row r="65" spans="3:4">
      <c r="C65" s="25"/>
      <c r="D65" s="25"/>
    </row>
    <row r="66" spans="3:4">
      <c r="C66" s="25"/>
      <c r="D66" s="25"/>
    </row>
    <row r="67" spans="3:4">
      <c r="C67" s="25"/>
      <c r="D67" s="25"/>
    </row>
    <row r="68" spans="3:4">
      <c r="C68" s="25"/>
      <c r="D68" s="25"/>
    </row>
    <row r="69" spans="3:4">
      <c r="C69" s="25"/>
      <c r="D69" s="25"/>
    </row>
    <row r="70" spans="3:4">
      <c r="C70" s="25"/>
      <c r="D70" s="25"/>
    </row>
    <row r="71" spans="3:4">
      <c r="C71" s="25"/>
      <c r="D71" s="25"/>
    </row>
    <row r="72" spans="3:4">
      <c r="C72" s="25"/>
      <c r="D72" s="25"/>
    </row>
    <row r="73" spans="3:4">
      <c r="C73" s="25"/>
      <c r="D73" s="25"/>
    </row>
    <row r="74" spans="3:4">
      <c r="C74" s="25"/>
      <c r="D74" s="25"/>
    </row>
    <row r="75" spans="3:4">
      <c r="C75" s="25"/>
      <c r="D75" s="25"/>
    </row>
    <row r="76" spans="3:4">
      <c r="C76" s="25"/>
      <c r="D76" s="25"/>
    </row>
  </sheetData>
  <phoneticPr fontId="0" type="noConversion"/>
  <pageMargins left="0.17" right="0.18" top="0.22" bottom="0.2" header="0.19" footer="0.16"/>
  <pageSetup scale="7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selection activeCell="J3" sqref="J3:J33"/>
    </sheetView>
  </sheetViews>
  <sheetFormatPr defaultRowHeight="12.75"/>
  <cols>
    <col min="2" max="2" width="19.85546875" customWidth="1"/>
    <col min="3" max="3" width="22.85546875" customWidth="1"/>
    <col min="4" max="4" width="16.85546875" customWidth="1"/>
    <col min="8" max="8" width="19.85546875" customWidth="1"/>
    <col min="9" max="9" width="22.85546875" customWidth="1"/>
    <col min="10" max="10" width="16.85546875" customWidth="1"/>
  </cols>
  <sheetData>
    <row r="1" spans="1:10">
      <c r="A1" s="31" t="s">
        <v>52</v>
      </c>
      <c r="G1" s="31" t="s">
        <v>53</v>
      </c>
    </row>
    <row r="2" spans="1:10" ht="15">
      <c r="A2" s="3" t="s">
        <v>22</v>
      </c>
      <c r="B2" s="4" t="s">
        <v>23</v>
      </c>
      <c r="C2" s="4" t="s">
        <v>50</v>
      </c>
      <c r="D2" s="4" t="s">
        <v>51</v>
      </c>
      <c r="G2" s="4" t="s">
        <v>22</v>
      </c>
      <c r="H2" s="4" t="s">
        <v>23</v>
      </c>
      <c r="I2" s="4" t="s">
        <v>50</v>
      </c>
      <c r="J2" s="4" t="s">
        <v>51</v>
      </c>
    </row>
    <row r="3" spans="1:10" ht="15">
      <c r="A3" s="5">
        <v>1</v>
      </c>
      <c r="B3" s="5">
        <v>0</v>
      </c>
      <c r="C3" s="6">
        <v>3.5905000000000003E-20</v>
      </c>
      <c r="D3" s="6">
        <v>1.21349E-18</v>
      </c>
      <c r="G3" s="33">
        <v>1</v>
      </c>
      <c r="H3" s="41">
        <v>0</v>
      </c>
      <c r="I3" s="40">
        <v>1.7203E-19</v>
      </c>
      <c r="J3" s="38">
        <v>1.18751E-18</v>
      </c>
    </row>
    <row r="4" spans="1:10" ht="15">
      <c r="A4" s="5">
        <v>2</v>
      </c>
      <c r="B4" s="5">
        <v>12.59</v>
      </c>
      <c r="C4" s="5">
        <v>4.4324000000000002E-4</v>
      </c>
      <c r="D4" s="5">
        <v>5.6755200000000003E-4</v>
      </c>
      <c r="G4" s="33">
        <v>2</v>
      </c>
      <c r="H4" s="41">
        <v>15.55</v>
      </c>
      <c r="I4" s="39">
        <v>6.2246000000000003E-4</v>
      </c>
      <c r="J4" s="37">
        <v>8.4442000000000002E-4</v>
      </c>
    </row>
    <row r="5" spans="1:10" ht="15">
      <c r="A5" s="5">
        <v>3</v>
      </c>
      <c r="B5" s="5">
        <v>25.16</v>
      </c>
      <c r="C5" s="5">
        <v>1.2687E-3</v>
      </c>
      <c r="D5" s="5">
        <v>1.83158E-3</v>
      </c>
      <c r="G5" s="33">
        <v>3</v>
      </c>
      <c r="H5" s="41">
        <v>26.51</v>
      </c>
      <c r="I5" s="39">
        <v>1.4151000000000001E-3</v>
      </c>
      <c r="J5" s="37">
        <v>2.0714000000000002E-3</v>
      </c>
    </row>
    <row r="6" spans="1:10" ht="15">
      <c r="A6" s="5">
        <v>4</v>
      </c>
      <c r="B6" s="5">
        <v>37.770000000000003</v>
      </c>
      <c r="C6" s="5">
        <v>2.2851999999999998E-3</v>
      </c>
      <c r="D6" s="5">
        <v>3.2599399999999998E-3</v>
      </c>
      <c r="G6" s="33">
        <v>4</v>
      </c>
      <c r="H6" s="41">
        <v>39.33</v>
      </c>
      <c r="I6" s="39">
        <v>2.3933000000000001E-3</v>
      </c>
      <c r="J6" s="37">
        <v>3.3899799999999999E-3</v>
      </c>
    </row>
    <row r="7" spans="1:10" ht="15">
      <c r="A7" s="5">
        <v>5</v>
      </c>
      <c r="B7" s="5">
        <v>50.4</v>
      </c>
      <c r="C7" s="5">
        <v>3.5022999999999999E-3</v>
      </c>
      <c r="D7" s="5">
        <v>4.8261800000000002E-3</v>
      </c>
      <c r="G7" s="33">
        <v>5</v>
      </c>
      <c r="H7" s="41">
        <v>51.22</v>
      </c>
      <c r="I7" s="39">
        <v>3.5672999999999998E-3</v>
      </c>
      <c r="J7" s="37">
        <v>4.8822800000000001E-3</v>
      </c>
    </row>
    <row r="8" spans="1:10" ht="15">
      <c r="A8" s="5">
        <v>6</v>
      </c>
      <c r="B8" s="5">
        <v>63.08</v>
      </c>
      <c r="C8" s="5">
        <v>4.9249000000000003E-3</v>
      </c>
      <c r="D8" s="5">
        <v>6.5038800000000001E-3</v>
      </c>
      <c r="G8" s="33">
        <v>6</v>
      </c>
      <c r="H8" s="41">
        <v>63.24</v>
      </c>
      <c r="I8" s="39">
        <v>4.9436999999999997E-3</v>
      </c>
      <c r="J8" s="37">
        <v>6.4908800000000001E-3</v>
      </c>
    </row>
    <row r="9" spans="1:10" ht="15">
      <c r="A9" s="5">
        <v>7</v>
      </c>
      <c r="B9" s="5">
        <v>75.77</v>
      </c>
      <c r="C9" s="5">
        <v>6.5547000000000001E-3</v>
      </c>
      <c r="D9" s="5">
        <v>8.2686200000000008E-3</v>
      </c>
      <c r="G9" s="33">
        <v>7</v>
      </c>
      <c r="H9" s="41">
        <v>75.41</v>
      </c>
      <c r="I9" s="39">
        <v>6.5265999999999996E-3</v>
      </c>
      <c r="J9" s="37">
        <v>8.1913200000000002E-3</v>
      </c>
    </row>
    <row r="10" spans="1:10" ht="15">
      <c r="A10" s="5">
        <v>8</v>
      </c>
      <c r="B10" s="5">
        <v>88.5</v>
      </c>
      <c r="C10" s="5">
        <v>8.3925000000000007E-3</v>
      </c>
      <c r="D10" s="5">
        <v>1.0099500000000001E-2</v>
      </c>
      <c r="G10" s="33">
        <v>8</v>
      </c>
      <c r="H10" s="41">
        <v>87.72</v>
      </c>
      <c r="I10" s="39">
        <v>8.3187000000000001E-3</v>
      </c>
      <c r="J10" s="37">
        <v>9.9633800000000008E-3</v>
      </c>
    </row>
    <row r="11" spans="1:10" ht="15">
      <c r="A11" s="5">
        <v>9</v>
      </c>
      <c r="B11" s="5">
        <v>101.24</v>
      </c>
      <c r="C11" s="5">
        <v>1.0439E-2</v>
      </c>
      <c r="D11" s="5">
        <v>1.1978600000000001E-2</v>
      </c>
      <c r="G11" s="33">
        <v>9</v>
      </c>
      <c r="H11" s="41">
        <v>100.12</v>
      </c>
      <c r="I11" s="39">
        <v>1.0323000000000001E-2</v>
      </c>
      <c r="J11" s="37">
        <v>1.1790200000000001E-2</v>
      </c>
    </row>
    <row r="12" spans="1:10" ht="15">
      <c r="A12" s="5">
        <v>10</v>
      </c>
      <c r="B12" s="5">
        <v>113.99</v>
      </c>
      <c r="C12" s="5">
        <v>1.2695E-2</v>
      </c>
      <c r="D12" s="5">
        <v>1.3890899999999999E-2</v>
      </c>
      <c r="G12" s="33">
        <v>10</v>
      </c>
      <c r="H12" s="41">
        <v>112.58</v>
      </c>
      <c r="I12" s="39">
        <v>1.2540000000000001E-2</v>
      </c>
      <c r="J12" s="37">
        <v>1.3654700000000001E-2</v>
      </c>
    </row>
    <row r="13" spans="1:10" ht="15">
      <c r="A13" s="5">
        <v>11</v>
      </c>
      <c r="B13" s="5">
        <v>126.94</v>
      </c>
      <c r="C13" s="5">
        <v>1.5214999999999999E-2</v>
      </c>
      <c r="D13" s="5">
        <v>1.5866100000000001E-2</v>
      </c>
      <c r="G13" s="33">
        <v>11</v>
      </c>
      <c r="H13" s="41">
        <v>125.1</v>
      </c>
      <c r="I13" s="39">
        <v>1.4976E-2</v>
      </c>
      <c r="J13" s="37">
        <v>1.55467E-2</v>
      </c>
    </row>
    <row r="14" spans="1:10" ht="15">
      <c r="A14" s="5">
        <v>12</v>
      </c>
      <c r="B14" s="5">
        <v>139.72999999999999</v>
      </c>
      <c r="C14" s="5">
        <v>1.7905000000000001E-2</v>
      </c>
      <c r="D14" s="5">
        <v>1.78122E-2</v>
      </c>
      <c r="G14" s="33">
        <v>12</v>
      </c>
      <c r="H14" s="41">
        <v>137.66</v>
      </c>
      <c r="I14" s="39">
        <v>1.7634E-2</v>
      </c>
      <c r="J14" s="37">
        <v>1.74536E-2</v>
      </c>
    </row>
    <row r="15" spans="1:10" ht="15">
      <c r="A15" s="5">
        <v>13</v>
      </c>
      <c r="B15" s="5">
        <v>152.47</v>
      </c>
      <c r="C15" s="5">
        <v>2.0806000000000002E-2</v>
      </c>
      <c r="D15" s="5">
        <v>1.9752800000000001E-2</v>
      </c>
      <c r="G15" s="33">
        <v>13</v>
      </c>
      <c r="H15" s="41">
        <v>150.25</v>
      </c>
      <c r="I15" s="39">
        <v>2.0521000000000001E-2</v>
      </c>
      <c r="J15" s="37">
        <v>1.9366600000000001E-2</v>
      </c>
    </row>
    <row r="16" spans="1:10" ht="15">
      <c r="A16" s="5">
        <v>14</v>
      </c>
      <c r="B16" s="5">
        <v>165.22</v>
      </c>
      <c r="C16" s="5">
        <v>2.3931000000000001E-2</v>
      </c>
      <c r="D16" s="5">
        <v>2.1685400000000001E-2</v>
      </c>
      <c r="G16" s="33">
        <v>14</v>
      </c>
      <c r="H16" s="41">
        <v>163.41</v>
      </c>
      <c r="I16" s="39">
        <v>2.3646E-2</v>
      </c>
      <c r="J16" s="37">
        <v>2.1238199999999999E-2</v>
      </c>
    </row>
    <row r="17" spans="1:10" ht="15">
      <c r="A17" s="5">
        <v>15</v>
      </c>
      <c r="B17" s="5">
        <v>178.13</v>
      </c>
      <c r="C17" s="5">
        <v>2.7345000000000001E-2</v>
      </c>
      <c r="D17" s="5">
        <v>2.36356E-2</v>
      </c>
      <c r="G17" s="33">
        <v>15</v>
      </c>
      <c r="H17" s="41">
        <v>175.81</v>
      </c>
      <c r="I17" s="39">
        <v>2.7022999999999998E-2</v>
      </c>
      <c r="J17" s="37">
        <v>2.3131800000000001E-2</v>
      </c>
    </row>
    <row r="18" spans="1:10" ht="15">
      <c r="A18" s="5">
        <v>16</v>
      </c>
      <c r="B18" s="5">
        <v>190.86</v>
      </c>
      <c r="C18" s="5">
        <v>3.0960000000000001E-2</v>
      </c>
      <c r="D18" s="5">
        <v>2.55388E-2</v>
      </c>
      <c r="G18" s="33">
        <v>16</v>
      </c>
      <c r="H18" s="41">
        <v>188.26</v>
      </c>
      <c r="I18" s="39">
        <v>3.0665999999999999E-2</v>
      </c>
      <c r="J18" s="37">
        <v>2.5014999999999999E-2</v>
      </c>
    </row>
    <row r="19" spans="1:10" ht="15">
      <c r="A19" s="5">
        <v>17</v>
      </c>
      <c r="B19" s="5">
        <v>203.73</v>
      </c>
      <c r="C19" s="5">
        <v>3.4887000000000001E-2</v>
      </c>
      <c r="D19" s="5">
        <v>2.7443200000000001E-2</v>
      </c>
      <c r="G19" s="33">
        <v>17</v>
      </c>
      <c r="H19" s="41">
        <v>200.75</v>
      </c>
      <c r="I19" s="39">
        <v>3.4597000000000003E-2</v>
      </c>
      <c r="J19" s="37">
        <v>2.6886199999999999E-2</v>
      </c>
    </row>
    <row r="20" spans="1:10" ht="15">
      <c r="A20" s="5">
        <v>18</v>
      </c>
      <c r="B20" s="5">
        <v>216.42</v>
      </c>
      <c r="C20" s="5">
        <v>3.9047999999999999E-2</v>
      </c>
      <c r="D20" s="5">
        <v>2.9295600000000002E-2</v>
      </c>
      <c r="G20" s="33">
        <v>18</v>
      </c>
      <c r="H20" s="41">
        <v>213.62</v>
      </c>
      <c r="I20" s="39">
        <v>3.8843999999999997E-2</v>
      </c>
      <c r="J20" s="37">
        <v>2.8703599999999999E-2</v>
      </c>
    </row>
    <row r="21" spans="1:10" ht="15">
      <c r="A21" s="5">
        <v>19</v>
      </c>
      <c r="B21" s="5">
        <v>229.21</v>
      </c>
      <c r="C21" s="5">
        <v>4.3568999999999997E-2</v>
      </c>
      <c r="D21" s="5">
        <v>3.1140000000000001E-2</v>
      </c>
      <c r="G21" s="33">
        <v>19</v>
      </c>
      <c r="H21" s="41">
        <v>225.88</v>
      </c>
      <c r="I21" s="39">
        <v>4.3439999999999999E-2</v>
      </c>
      <c r="J21" s="37">
        <v>3.0544999999999999E-2</v>
      </c>
    </row>
    <row r="22" spans="1:10" ht="15">
      <c r="A22" s="5">
        <v>20</v>
      </c>
      <c r="B22" s="5">
        <v>242.13</v>
      </c>
      <c r="C22" s="5">
        <v>4.8502000000000003E-2</v>
      </c>
      <c r="D22" s="5">
        <v>3.2974799999999999E-2</v>
      </c>
      <c r="G22" s="33">
        <v>20</v>
      </c>
      <c r="H22" s="41">
        <v>238.78</v>
      </c>
      <c r="I22" s="39">
        <v>4.8430000000000001E-2</v>
      </c>
      <c r="J22" s="37">
        <v>3.23916E-2</v>
      </c>
    </row>
    <row r="23" spans="1:10" ht="15">
      <c r="A23" s="5">
        <v>21</v>
      </c>
      <c r="B23" s="5">
        <v>254.87</v>
      </c>
      <c r="C23" s="5">
        <v>5.3775000000000003E-2</v>
      </c>
      <c r="D23" s="5">
        <v>3.47552E-2</v>
      </c>
      <c r="G23" s="33">
        <v>21</v>
      </c>
      <c r="H23" s="41">
        <v>251.23</v>
      </c>
      <c r="I23" s="39">
        <v>5.3872000000000003E-2</v>
      </c>
      <c r="J23" s="37">
        <v>3.4284799999999997E-2</v>
      </c>
    </row>
    <row r="24" spans="1:10" ht="15">
      <c r="A24" s="5">
        <v>22</v>
      </c>
      <c r="B24" s="5">
        <v>267.8</v>
      </c>
      <c r="C24" s="5">
        <v>5.9603000000000003E-2</v>
      </c>
      <c r="D24" s="5">
        <v>3.6531000000000001E-2</v>
      </c>
      <c r="G24" s="33">
        <v>22</v>
      </c>
      <c r="H24" s="41">
        <v>264.49</v>
      </c>
      <c r="I24" s="39">
        <v>5.9839999999999997E-2</v>
      </c>
      <c r="J24" s="37">
        <v>3.6142000000000001E-2</v>
      </c>
    </row>
    <row r="25" spans="1:10" ht="15">
      <c r="A25" s="5">
        <v>23</v>
      </c>
      <c r="B25" s="5">
        <v>280.67</v>
      </c>
      <c r="C25" s="5">
        <v>6.5966999999999998E-2</v>
      </c>
      <c r="D25" s="5">
        <v>3.8268999999999997E-2</v>
      </c>
      <c r="G25" s="33">
        <v>23</v>
      </c>
      <c r="H25" s="41">
        <v>277.99</v>
      </c>
      <c r="I25" s="39">
        <v>6.6436999999999996E-2</v>
      </c>
      <c r="J25" s="37">
        <v>3.7961000000000002E-2</v>
      </c>
    </row>
    <row r="26" spans="1:10" ht="15">
      <c r="A26" s="5">
        <v>24</v>
      </c>
      <c r="B26" s="5">
        <v>293.55</v>
      </c>
      <c r="C26" s="5">
        <v>7.3009000000000004E-2</v>
      </c>
      <c r="D26" s="5">
        <v>3.9976999999999999E-2</v>
      </c>
      <c r="G26" s="33">
        <v>24</v>
      </c>
      <c r="H26" s="41">
        <v>291.5</v>
      </c>
      <c r="I26" s="39">
        <v>7.3800000000000004E-2</v>
      </c>
      <c r="J26" s="37">
        <v>3.9742E-2</v>
      </c>
    </row>
    <row r="27" spans="1:10" ht="15">
      <c r="A27" s="5">
        <v>25</v>
      </c>
      <c r="B27" s="5">
        <v>306.41000000000003</v>
      </c>
      <c r="C27" s="5">
        <v>8.0869999999999997E-2</v>
      </c>
      <c r="D27" s="5">
        <v>4.165E-2</v>
      </c>
      <c r="G27" s="33">
        <v>25</v>
      </c>
      <c r="H27" s="41">
        <v>304.98</v>
      </c>
      <c r="I27" s="39">
        <v>8.2125000000000004E-2</v>
      </c>
      <c r="J27" s="37">
        <v>4.1488999999999998E-2</v>
      </c>
    </row>
    <row r="28" spans="1:10" ht="15">
      <c r="A28" s="5">
        <v>26</v>
      </c>
      <c r="B28" s="5">
        <v>319.20999999999998</v>
      </c>
      <c r="C28" s="5">
        <v>8.9734999999999995E-2</v>
      </c>
      <c r="D28" s="5">
        <v>4.3286999999999999E-2</v>
      </c>
      <c r="G28" s="33">
        <v>26</v>
      </c>
      <c r="H28" s="41">
        <v>318.54000000000002</v>
      </c>
      <c r="I28" s="39">
        <v>9.1699000000000003E-2</v>
      </c>
      <c r="J28" s="37">
        <v>4.3253E-2</v>
      </c>
    </row>
    <row r="29" spans="1:10" ht="15">
      <c r="A29" s="5">
        <v>27</v>
      </c>
      <c r="B29" s="5">
        <v>332.13</v>
      </c>
      <c r="C29" s="5">
        <v>0.10006</v>
      </c>
      <c r="D29" s="5">
        <v>4.4909999999999999E-2</v>
      </c>
      <c r="G29" s="33">
        <v>27</v>
      </c>
      <c r="H29" s="41">
        <v>332.29</v>
      </c>
      <c r="I29" s="39">
        <v>0.10297000000000001</v>
      </c>
      <c r="J29" s="37">
        <v>4.4937999999999999E-2</v>
      </c>
    </row>
    <row r="30" spans="1:10" ht="15">
      <c r="A30" s="5">
        <v>28</v>
      </c>
      <c r="B30" s="5">
        <v>345.03</v>
      </c>
      <c r="C30" s="5">
        <v>0.11229</v>
      </c>
      <c r="D30" s="5">
        <v>4.6496000000000003E-2</v>
      </c>
      <c r="G30" s="33">
        <v>28</v>
      </c>
      <c r="H30" s="41">
        <v>345.91</v>
      </c>
      <c r="I30" s="39">
        <v>0.11669</v>
      </c>
      <c r="J30" s="37">
        <v>4.6623999999999999E-2</v>
      </c>
    </row>
    <row r="31" spans="1:10" ht="15">
      <c r="A31" s="5">
        <v>29</v>
      </c>
      <c r="B31" s="5">
        <v>357.86</v>
      </c>
      <c r="C31" s="5">
        <v>0.12726000000000001</v>
      </c>
      <c r="D31" s="5">
        <v>4.8048E-2</v>
      </c>
      <c r="G31" s="33">
        <v>29</v>
      </c>
      <c r="H31" s="41">
        <v>359.68</v>
      </c>
      <c r="I31" s="39">
        <v>0.13425999999999999</v>
      </c>
      <c r="J31" s="37">
        <v>4.8275999999999999E-2</v>
      </c>
    </row>
    <row r="32" spans="1:10" ht="15">
      <c r="A32" s="5">
        <v>30</v>
      </c>
      <c r="B32" s="5">
        <v>370.78</v>
      </c>
      <c r="C32" s="5">
        <v>0.14693000000000001</v>
      </c>
      <c r="D32" s="5">
        <v>4.9570000000000003E-2</v>
      </c>
      <c r="G32" s="33">
        <v>30</v>
      </c>
      <c r="H32" s="41">
        <v>373.37</v>
      </c>
      <c r="I32" s="39">
        <v>0.15887000000000001</v>
      </c>
      <c r="J32" s="37">
        <v>4.9889999999999997E-2</v>
      </c>
    </row>
    <row r="33" spans="1:10" ht="15">
      <c r="A33" s="5">
        <v>31</v>
      </c>
      <c r="B33" s="5">
        <v>383.66</v>
      </c>
      <c r="C33" s="5">
        <v>0.17562</v>
      </c>
      <c r="D33" s="5">
        <v>5.1063999999999998E-2</v>
      </c>
      <c r="G33" s="33">
        <v>31</v>
      </c>
      <c r="H33" s="41">
        <v>387.09</v>
      </c>
      <c r="I33" s="39">
        <v>0.20061000000000001</v>
      </c>
      <c r="J33" s="37">
        <v>5.1473999999999999E-2</v>
      </c>
    </row>
    <row r="34" spans="1:10" ht="15">
      <c r="A34" s="5"/>
      <c r="B34" s="5"/>
      <c r="C34" s="5"/>
      <c r="D34" s="5"/>
      <c r="G34" s="33"/>
      <c r="H34" s="35"/>
      <c r="I34" s="36"/>
      <c r="J34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4" baseType="lpstr">
      <vt:lpstr>Sheet2</vt:lpstr>
      <vt:lpstr>Analytical Solution</vt:lpstr>
      <vt:lpstr>Phase2</vt:lpstr>
      <vt:lpstr>Stress-Path</vt:lpstr>
      <vt:lpstr>q-epsa</vt:lpstr>
      <vt:lpstr>ev-ea</vt:lpstr>
      <vt:lpstr>v-ea</vt:lpstr>
      <vt:lpstr>G</vt:lpstr>
      <vt:lpstr>Gamma</vt:lpstr>
      <vt:lpstr>k</vt:lpstr>
      <vt:lpstr>l</vt:lpstr>
      <vt:lpstr>M</vt:lpstr>
      <vt:lpstr>MJ</vt:lpstr>
      <vt:lpstr>N</vt:lpstr>
      <vt:lpstr>nu</vt:lpstr>
      <vt:lpstr>p0</vt:lpstr>
      <vt:lpstr>pcs</vt:lpstr>
      <vt:lpstr>ph</vt:lpstr>
      <vt:lpstr>pinit</vt:lpstr>
      <vt:lpstr>py</vt:lpstr>
      <vt:lpstr>qcs</vt:lpstr>
      <vt:lpstr>qinit</vt:lpstr>
      <vt:lpstr>qy</vt:lpstr>
      <vt:lpstr>vy</vt:lpstr>
    </vt:vector>
  </TitlesOfParts>
  <Company>Rocscience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Reginald Hammah</dc:creator>
  <cp:lastModifiedBy>Alireza Azami</cp:lastModifiedBy>
  <cp:lastPrinted>2005-12-15T19:34:43Z</cp:lastPrinted>
  <dcterms:created xsi:type="dcterms:W3CDTF">2004-11-19T21:26:55Z</dcterms:created>
  <dcterms:modified xsi:type="dcterms:W3CDTF">2011-09-02T17:53:18Z</dcterms:modified>
</cp:coreProperties>
</file>