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4505" yWindow="-15" windowWidth="8610" windowHeight="7140" activeTab="5"/>
  </bookViews>
  <sheets>
    <sheet name="Sheet2" sheetId="6" r:id="rId1"/>
    <sheet name="Analytical Solution" sheetId="1" r:id="rId2"/>
    <sheet name="Stress Path" sheetId="10" r:id="rId3"/>
    <sheet name="Phase2" sheetId="8" r:id="rId4"/>
    <sheet name="q-epsa" sheetId="4" r:id="rId5"/>
    <sheet name="ev-ea" sheetId="5" r:id="rId6"/>
    <sheet name="v-ea" sheetId="7" r:id="rId7"/>
  </sheets>
  <definedNames>
    <definedName name="G">'Analytical Solution'!$C$10</definedName>
    <definedName name="Gamma">'Analytical Solution'!$C$5</definedName>
    <definedName name="k">'Analytical Solution'!$C$8</definedName>
    <definedName name="l">'Analytical Solution'!$C$9</definedName>
    <definedName name="M">'Analytical Solution'!$C$4</definedName>
    <definedName name="MJ">'Analytical Solution'!$C$14</definedName>
    <definedName name="N">'Analytical Solution'!$C$6</definedName>
    <definedName name="nu">'Analytical Solution'!$C$11</definedName>
    <definedName name="p0">'Analytical Solution'!$C$12</definedName>
    <definedName name="pcs">'Analytical Solution'!$F$18</definedName>
    <definedName name="ph">'Analytical Solution'!$G$10</definedName>
    <definedName name="pinit">'Analytical Solution'!$G$6</definedName>
    <definedName name="py">'Analytical Solution'!$F$14</definedName>
    <definedName name="qcs">'Analytical Solution'!$G$18</definedName>
    <definedName name="qinit">'Analytical Solution'!$G$7</definedName>
    <definedName name="qy">'Analytical Solution'!$G$14</definedName>
    <definedName name="vy">'Analytical Solution'!$H$14</definedName>
  </definedNames>
  <calcPr calcId="125725"/>
</workbook>
</file>

<file path=xl/calcChain.xml><?xml version="1.0" encoding="utf-8"?>
<calcChain xmlns="http://schemas.openxmlformats.org/spreadsheetml/2006/main">
  <c r="E25" i="1"/>
  <c r="M5" i="6" l="1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4"/>
  <c r="L5"/>
  <c r="L6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4"/>
  <c r="Q25" i="1"/>
  <c r="D25"/>
  <c r="G10"/>
  <c r="F18" s="1"/>
  <c r="C14"/>
  <c r="H25"/>
  <c r="B53" i="6"/>
  <c r="C53" s="1"/>
  <c r="G8" i="1"/>
  <c r="C5"/>
  <c r="B25"/>
  <c r="F14"/>
  <c r="H14" s="1"/>
  <c r="C25"/>
  <c r="B4" i="6"/>
  <c r="B5" s="1"/>
  <c r="D60" i="1" l="1"/>
  <c r="F4" i="6"/>
  <c r="G4" s="1"/>
  <c r="G18" i="1"/>
  <c r="F25"/>
  <c r="G25" s="1"/>
  <c r="D29"/>
  <c r="D26" s="1"/>
  <c r="C5" i="6"/>
  <c r="B6"/>
  <c r="G14" i="1"/>
  <c r="G22" s="1"/>
  <c r="C4" i="6"/>
  <c r="K26" i="1" l="1"/>
  <c r="E60"/>
  <c r="H60" s="1"/>
  <c r="L25"/>
  <c r="D30"/>
  <c r="E30" s="1"/>
  <c r="D27"/>
  <c r="E26"/>
  <c r="P26" s="1"/>
  <c r="Q26" s="1"/>
  <c r="E29"/>
  <c r="C29" s="1"/>
  <c r="B7" i="6"/>
  <c r="C6"/>
  <c r="F22" i="1"/>
  <c r="D31" l="1"/>
  <c r="B60"/>
  <c r="F60"/>
  <c r="G60" s="1"/>
  <c r="C60"/>
  <c r="R25"/>
  <c r="L26"/>
  <c r="H30"/>
  <c r="C30"/>
  <c r="F30"/>
  <c r="G30" s="1"/>
  <c r="H26"/>
  <c r="F26"/>
  <c r="B26"/>
  <c r="C26"/>
  <c r="H29"/>
  <c r="I30" s="1"/>
  <c r="F29"/>
  <c r="B29"/>
  <c r="E27"/>
  <c r="D28"/>
  <c r="C7" i="6"/>
  <c r="B8"/>
  <c r="B30" i="1"/>
  <c r="D32"/>
  <c r="E31"/>
  <c r="H31" s="1"/>
  <c r="J31" l="1"/>
  <c r="R26"/>
  <c r="H27"/>
  <c r="P27"/>
  <c r="Q27" s="1"/>
  <c r="I31"/>
  <c r="J30"/>
  <c r="C27"/>
  <c r="O30"/>
  <c r="M30"/>
  <c r="N30"/>
  <c r="E28"/>
  <c r="G29"/>
  <c r="G26"/>
  <c r="K27" s="1"/>
  <c r="L27" s="1"/>
  <c r="F27"/>
  <c r="B27"/>
  <c r="O31"/>
  <c r="M31"/>
  <c r="N31"/>
  <c r="C8" i="6"/>
  <c r="B9"/>
  <c r="F31" i="1"/>
  <c r="G31" s="1"/>
  <c r="B31"/>
  <c r="C31"/>
  <c r="E32"/>
  <c r="H32" s="1"/>
  <c r="I32" s="1"/>
  <c r="D33"/>
  <c r="R27" l="1"/>
  <c r="H28"/>
  <c r="P28"/>
  <c r="Q28" s="1"/>
  <c r="Q29" s="1"/>
  <c r="P29"/>
  <c r="J32"/>
  <c r="K32" s="1"/>
  <c r="K31"/>
  <c r="P31"/>
  <c r="P30"/>
  <c r="C28"/>
  <c r="B28"/>
  <c r="G27"/>
  <c r="K28" s="1"/>
  <c r="L28" s="1"/>
  <c r="B32"/>
  <c r="F32"/>
  <c r="G32" s="1"/>
  <c r="C32"/>
  <c r="F28"/>
  <c r="C9" i="6"/>
  <c r="B10"/>
  <c r="M32" i="1"/>
  <c r="O32"/>
  <c r="N32"/>
  <c r="E33"/>
  <c r="H33" s="1"/>
  <c r="D34"/>
  <c r="P32" l="1"/>
  <c r="Q30"/>
  <c r="Q31" s="1"/>
  <c r="R28"/>
  <c r="J33"/>
  <c r="I33"/>
  <c r="G28"/>
  <c r="F33"/>
  <c r="G33" s="1"/>
  <c r="B33"/>
  <c r="C33"/>
  <c r="D35"/>
  <c r="E34"/>
  <c r="H34" s="1"/>
  <c r="B11" i="6"/>
  <c r="C10"/>
  <c r="O33" i="1"/>
  <c r="M33"/>
  <c r="N33"/>
  <c r="Q32" l="1"/>
  <c r="K33"/>
  <c r="K29"/>
  <c r="L29" s="1"/>
  <c r="K30"/>
  <c r="J34"/>
  <c r="P33"/>
  <c r="Q33" s="1"/>
  <c r="I34"/>
  <c r="B34"/>
  <c r="N34"/>
  <c r="O34"/>
  <c r="M34"/>
  <c r="C11" i="6"/>
  <c r="B12"/>
  <c r="C34" i="1"/>
  <c r="F34"/>
  <c r="G34" s="1"/>
  <c r="D36"/>
  <c r="E35"/>
  <c r="H35" s="1"/>
  <c r="L30" l="1"/>
  <c r="R29"/>
  <c r="P34"/>
  <c r="Q34" s="1"/>
  <c r="J35"/>
  <c r="K34"/>
  <c r="I35"/>
  <c r="B35"/>
  <c r="M35"/>
  <c r="N35"/>
  <c r="O35"/>
  <c r="F35"/>
  <c r="G35" s="1"/>
  <c r="C35"/>
  <c r="D37"/>
  <c r="E36"/>
  <c r="H36" s="1"/>
  <c r="I36" s="1"/>
  <c r="C12" i="6"/>
  <c r="B13"/>
  <c r="K35" i="1" l="1"/>
  <c r="L31"/>
  <c r="R30"/>
  <c r="P35"/>
  <c r="Q35" s="1"/>
  <c r="J36"/>
  <c r="K36" s="1"/>
  <c r="B36"/>
  <c r="N36"/>
  <c r="M36"/>
  <c r="O36"/>
  <c r="C13" i="6"/>
  <c r="B14"/>
  <c r="C36" i="1"/>
  <c r="F36"/>
  <c r="G36" s="1"/>
  <c r="E37"/>
  <c r="H37" s="1"/>
  <c r="D38"/>
  <c r="P36" l="1"/>
  <c r="Q36" s="1"/>
  <c r="J37"/>
  <c r="L32"/>
  <c r="R31"/>
  <c r="I37"/>
  <c r="F37"/>
  <c r="G37" s="1"/>
  <c r="C14" i="6"/>
  <c r="B15"/>
  <c r="O37" i="1"/>
  <c r="M37"/>
  <c r="N37"/>
  <c r="D39"/>
  <c r="E38"/>
  <c r="H38" s="1"/>
  <c r="C37"/>
  <c r="B37"/>
  <c r="P37" l="1"/>
  <c r="Q37" s="1"/>
  <c r="J38"/>
  <c r="F38"/>
  <c r="G38" s="1"/>
  <c r="K37"/>
  <c r="I38"/>
  <c r="K38" s="1"/>
  <c r="L33"/>
  <c r="R32"/>
  <c r="N38"/>
  <c r="O38"/>
  <c r="M38"/>
  <c r="D40"/>
  <c r="E39"/>
  <c r="H39" s="1"/>
  <c r="C15" i="6"/>
  <c r="B16"/>
  <c r="B38" i="1"/>
  <c r="C38"/>
  <c r="B39" l="1"/>
  <c r="J39"/>
  <c r="L34"/>
  <c r="R33"/>
  <c r="I39"/>
  <c r="P38"/>
  <c r="Q38" s="1"/>
  <c r="E40"/>
  <c r="H40" s="1"/>
  <c r="I40" s="1"/>
  <c r="D41"/>
  <c r="C16" i="6"/>
  <c r="B17"/>
  <c r="O39" i="1"/>
  <c r="M39"/>
  <c r="N39"/>
  <c r="F39"/>
  <c r="G39" s="1"/>
  <c r="C39"/>
  <c r="K39" l="1"/>
  <c r="J40"/>
  <c r="K40" s="1"/>
  <c r="L35"/>
  <c r="R34"/>
  <c r="P39"/>
  <c r="Q39" s="1"/>
  <c r="C40"/>
  <c r="F40"/>
  <c r="G40" s="1"/>
  <c r="B40"/>
  <c r="E41"/>
  <c r="H41" s="1"/>
  <c r="I41" s="1"/>
  <c r="D42"/>
  <c r="C17" i="6"/>
  <c r="B18"/>
  <c r="M40" i="1"/>
  <c r="O40"/>
  <c r="N40"/>
  <c r="F41" l="1"/>
  <c r="G41" s="1"/>
  <c r="K41"/>
  <c r="J41"/>
  <c r="L36"/>
  <c r="R35"/>
  <c r="P40"/>
  <c r="Q40" s="1"/>
  <c r="C41"/>
  <c r="B41"/>
  <c r="F42"/>
  <c r="G42" s="1"/>
  <c r="D43"/>
  <c r="E42"/>
  <c r="H42" s="1"/>
  <c r="I42" s="1"/>
  <c r="B19" i="6"/>
  <c r="C18"/>
  <c r="O41" i="1"/>
  <c r="M41"/>
  <c r="N41"/>
  <c r="L37" l="1"/>
  <c r="R36"/>
  <c r="J42"/>
  <c r="K42" s="1"/>
  <c r="P41"/>
  <c r="Q41" s="1"/>
  <c r="C19" i="6"/>
  <c r="B20"/>
  <c r="E43" i="1"/>
  <c r="H43" s="1"/>
  <c r="I43" s="1"/>
  <c r="D44"/>
  <c r="M42"/>
  <c r="P42" s="1"/>
  <c r="N42"/>
  <c r="O42"/>
  <c r="C42"/>
  <c r="B42"/>
  <c r="Q42" l="1"/>
  <c r="F43"/>
  <c r="G43" s="1"/>
  <c r="J43"/>
  <c r="K43" s="1"/>
  <c r="L38"/>
  <c r="R37"/>
  <c r="B43"/>
  <c r="C43"/>
  <c r="D45"/>
  <c r="E44"/>
  <c r="H44" s="1"/>
  <c r="C20" i="6"/>
  <c r="B21"/>
  <c r="N43" i="1"/>
  <c r="O43"/>
  <c r="M43"/>
  <c r="L39" l="1"/>
  <c r="R38"/>
  <c r="J44"/>
  <c r="P43"/>
  <c r="Q43" s="1"/>
  <c r="I44"/>
  <c r="B44"/>
  <c r="C44"/>
  <c r="C21" i="6"/>
  <c r="B22"/>
  <c r="M44" i="1"/>
  <c r="O44"/>
  <c r="N44"/>
  <c r="F44"/>
  <c r="G44" s="1"/>
  <c r="E45"/>
  <c r="H45" s="1"/>
  <c r="I45" s="1"/>
  <c r="D46"/>
  <c r="K44" l="1"/>
  <c r="C45"/>
  <c r="L40"/>
  <c r="R39"/>
  <c r="J45"/>
  <c r="K45" s="1"/>
  <c r="P44"/>
  <c r="Q44" s="1"/>
  <c r="B45"/>
  <c r="N45"/>
  <c r="O45"/>
  <c r="M45"/>
  <c r="D47"/>
  <c r="E46"/>
  <c r="H46" s="1"/>
  <c r="B23" i="6"/>
  <c r="C22"/>
  <c r="F45" i="1"/>
  <c r="G45" s="1"/>
  <c r="J46" l="1"/>
  <c r="L41"/>
  <c r="R40"/>
  <c r="I46"/>
  <c r="P45"/>
  <c r="Q45" s="1"/>
  <c r="B46"/>
  <c r="F46"/>
  <c r="G46" s="1"/>
  <c r="N46"/>
  <c r="O46"/>
  <c r="M46"/>
  <c r="C46"/>
  <c r="C23" i="6"/>
  <c r="B24"/>
  <c r="D48" i="1"/>
  <c r="E47"/>
  <c r="H47" s="1"/>
  <c r="Q46" l="1"/>
  <c r="J47"/>
  <c r="K46"/>
  <c r="I47"/>
  <c r="L42"/>
  <c r="R41"/>
  <c r="P46"/>
  <c r="M47"/>
  <c r="N47"/>
  <c r="O47"/>
  <c r="C47"/>
  <c r="B47"/>
  <c r="E48"/>
  <c r="H48" s="1"/>
  <c r="I48" s="1"/>
  <c r="D49"/>
  <c r="C24" i="6"/>
  <c r="B25"/>
  <c r="F47" i="1"/>
  <c r="G47" s="1"/>
  <c r="P47" l="1"/>
  <c r="Q47" s="1"/>
  <c r="K47"/>
  <c r="L43"/>
  <c r="R42"/>
  <c r="J48"/>
  <c r="K48" s="1"/>
  <c r="B48"/>
  <c r="N48"/>
  <c r="M48"/>
  <c r="O48"/>
  <c r="F48"/>
  <c r="G48" s="1"/>
  <c r="C25" i="6"/>
  <c r="B26"/>
  <c r="E49" i="1"/>
  <c r="H49" s="1"/>
  <c r="I49" s="1"/>
  <c r="D50"/>
  <c r="C48"/>
  <c r="P48" l="1"/>
  <c r="Q48" s="1"/>
  <c r="J49"/>
  <c r="K49" s="1"/>
  <c r="L44"/>
  <c r="R43"/>
  <c r="C49"/>
  <c r="B49"/>
  <c r="N49"/>
  <c r="O49"/>
  <c r="M49"/>
  <c r="E50"/>
  <c r="H50" s="1"/>
  <c r="D51"/>
  <c r="C26" i="6"/>
  <c r="B27"/>
  <c r="F49" i="1"/>
  <c r="G49" s="1"/>
  <c r="L45" l="1"/>
  <c r="R44"/>
  <c r="J50"/>
  <c r="P49"/>
  <c r="Q49" s="1"/>
  <c r="I50"/>
  <c r="K50" s="1"/>
  <c r="C50"/>
  <c r="B28" i="6"/>
  <c r="C27"/>
  <c r="N50" i="1"/>
  <c r="M50"/>
  <c r="O50"/>
  <c r="D52"/>
  <c r="E51"/>
  <c r="H51" s="1"/>
  <c r="F50"/>
  <c r="G50" s="1"/>
  <c r="B50"/>
  <c r="J51" l="1"/>
  <c r="L46"/>
  <c r="R45"/>
  <c r="P50"/>
  <c r="Q50" s="1"/>
  <c r="I51"/>
  <c r="B51"/>
  <c r="F51"/>
  <c r="G51" s="1"/>
  <c r="C28" i="6"/>
  <c r="B29"/>
  <c r="M51" i="1"/>
  <c r="N51"/>
  <c r="O51"/>
  <c r="E52"/>
  <c r="H52" s="1"/>
  <c r="I52" s="1"/>
  <c r="D53"/>
  <c r="C51"/>
  <c r="K52" l="1"/>
  <c r="J52"/>
  <c r="L47"/>
  <c r="R46"/>
  <c r="K51"/>
  <c r="P51"/>
  <c r="Q51" s="1"/>
  <c r="M52"/>
  <c r="P52" s="1"/>
  <c r="O52"/>
  <c r="N52"/>
  <c r="B52"/>
  <c r="C29" i="6"/>
  <c r="B30"/>
  <c r="E53" i="1"/>
  <c r="H53" s="1"/>
  <c r="D54"/>
  <c r="C52"/>
  <c r="F52"/>
  <c r="G52" s="1"/>
  <c r="Q52" l="1"/>
  <c r="L48"/>
  <c r="R47"/>
  <c r="J53"/>
  <c r="I53"/>
  <c r="M53"/>
  <c r="N53"/>
  <c r="O53"/>
  <c r="C30" i="6"/>
  <c r="B31"/>
  <c r="E54" i="1"/>
  <c r="H54" s="1"/>
  <c r="D55"/>
  <c r="C54"/>
  <c r="F53"/>
  <c r="G53" s="1"/>
  <c r="C53"/>
  <c r="B53"/>
  <c r="L49" l="1"/>
  <c r="R48"/>
  <c r="K53"/>
  <c r="J54"/>
  <c r="P53"/>
  <c r="Q53" s="1"/>
  <c r="I54"/>
  <c r="F54"/>
  <c r="G54" s="1"/>
  <c r="B54"/>
  <c r="E55"/>
  <c r="H55" s="1"/>
  <c r="I55" s="1"/>
  <c r="D56"/>
  <c r="N54"/>
  <c r="M54"/>
  <c r="O54"/>
  <c r="C31" i="6"/>
  <c r="B32"/>
  <c r="Q54" i="1" l="1"/>
  <c r="L50"/>
  <c r="R49"/>
  <c r="P54"/>
  <c r="J55"/>
  <c r="K55" s="1"/>
  <c r="K54"/>
  <c r="C55"/>
  <c r="F55"/>
  <c r="G55" s="1"/>
  <c r="B55"/>
  <c r="C32" i="6"/>
  <c r="B33"/>
  <c r="D57" i="1"/>
  <c r="E56"/>
  <c r="H56" s="1"/>
  <c r="I56" s="1"/>
  <c r="M55"/>
  <c r="N55"/>
  <c r="O55"/>
  <c r="J56" l="1"/>
  <c r="K56" s="1"/>
  <c r="L51"/>
  <c r="R50"/>
  <c r="P55"/>
  <c r="Q55" s="1"/>
  <c r="B56"/>
  <c r="F56"/>
  <c r="G56" s="1"/>
  <c r="M56"/>
  <c r="O56"/>
  <c r="N56"/>
  <c r="E57"/>
  <c r="H57" s="1"/>
  <c r="I57" s="1"/>
  <c r="D58"/>
  <c r="B34" i="6"/>
  <c r="C33"/>
  <c r="C56" i="1"/>
  <c r="L52" l="1"/>
  <c r="R51"/>
  <c r="P56"/>
  <c r="Q56" s="1"/>
  <c r="J57"/>
  <c r="K57" s="1"/>
  <c r="M57"/>
  <c r="N57"/>
  <c r="O57"/>
  <c r="B35" i="6"/>
  <c r="C34"/>
  <c r="D59" i="1"/>
  <c r="E58"/>
  <c r="H58" s="1"/>
  <c r="I58" s="1"/>
  <c r="C57"/>
  <c r="B57"/>
  <c r="F57"/>
  <c r="G57" s="1"/>
  <c r="L53" l="1"/>
  <c r="R52"/>
  <c r="J58"/>
  <c r="K58" s="1"/>
  <c r="P57"/>
  <c r="Q57" s="1"/>
  <c r="C35" i="6"/>
  <c r="B36"/>
  <c r="F58" i="1"/>
  <c r="G58" s="1"/>
  <c r="E59"/>
  <c r="H59" s="1"/>
  <c r="J59" s="1"/>
  <c r="M58"/>
  <c r="N58"/>
  <c r="O58"/>
  <c r="C58"/>
  <c r="B58"/>
  <c r="I59" l="1"/>
  <c r="K59" s="1"/>
  <c r="L54"/>
  <c r="R53"/>
  <c r="P58"/>
  <c r="Q58" s="1"/>
  <c r="F59"/>
  <c r="G59" s="1"/>
  <c r="B59"/>
  <c r="M59"/>
  <c r="N59"/>
  <c r="O59"/>
  <c r="B37" i="6"/>
  <c r="C36"/>
  <c r="C59" i="1"/>
  <c r="L55" l="1"/>
  <c r="R54"/>
  <c r="P59"/>
  <c r="Q59" s="1"/>
  <c r="C37" i="6"/>
  <c r="B38"/>
  <c r="L56" i="1" l="1"/>
  <c r="R55"/>
  <c r="B39" i="6"/>
  <c r="C38"/>
  <c r="L57" i="1" l="1"/>
  <c r="R56"/>
  <c r="C39" i="6"/>
  <c r="B40"/>
  <c r="L58" i="1" l="1"/>
  <c r="R57"/>
  <c r="B41" i="6"/>
  <c r="C40"/>
  <c r="L59" i="1" l="1"/>
  <c r="R59" s="1"/>
  <c r="R58"/>
  <c r="B42" i="6"/>
  <c r="C41"/>
  <c r="B43" l="1"/>
  <c r="C42"/>
  <c r="C43" l="1"/>
  <c r="B44"/>
  <c r="B45" l="1"/>
  <c r="C44"/>
  <c r="C45" l="1"/>
  <c r="B46"/>
  <c r="B47" l="1"/>
  <c r="C46"/>
  <c r="B48" l="1"/>
  <c r="C47"/>
  <c r="B49" l="1"/>
  <c r="C48"/>
  <c r="B50" l="1"/>
  <c r="C49"/>
  <c r="B51" l="1"/>
  <c r="C50"/>
  <c r="B52" l="1"/>
  <c r="C52" s="1"/>
  <c r="C51"/>
</calcChain>
</file>

<file path=xl/sharedStrings.xml><?xml version="1.0" encoding="utf-8"?>
<sst xmlns="http://schemas.openxmlformats.org/spreadsheetml/2006/main" count="73" uniqueCount="54">
  <si>
    <t>p</t>
  </si>
  <si>
    <t>q</t>
  </si>
  <si>
    <t>Modified Cam Clay Parameters</t>
  </si>
  <si>
    <t>G</t>
  </si>
  <si>
    <t>M</t>
  </si>
  <si>
    <t>k</t>
  </si>
  <si>
    <t>l</t>
  </si>
  <si>
    <t>n</t>
  </si>
  <si>
    <t>N</t>
  </si>
  <si>
    <t>Initial state</t>
  </si>
  <si>
    <t>kPa</t>
  </si>
  <si>
    <t>Drained Triaxial Test</t>
  </si>
  <si>
    <t>CSL</t>
  </si>
  <si>
    <t>Modelling Parameters</t>
  </si>
  <si>
    <t xml:space="preserve">Intersection of Load Path with Initial Yield Envelope </t>
  </si>
  <si>
    <t>Intersection of Load Path with Critical State Line</t>
  </si>
  <si>
    <t>v</t>
  </si>
  <si>
    <t>Strains at Elastic Limit</t>
  </si>
  <si>
    <t>Vol.</t>
  </si>
  <si>
    <t>Dev.</t>
  </si>
  <si>
    <t>Initial Yield Envelope</t>
  </si>
  <si>
    <t>Loading Path</t>
  </si>
  <si>
    <t>Stage Number</t>
  </si>
  <si>
    <t>Deviatoric Stress [kPa]</t>
  </si>
  <si>
    <t>Calculation of Volumetric Strain</t>
  </si>
  <si>
    <t>first term</t>
  </si>
  <si>
    <t>second term</t>
  </si>
  <si>
    <t>Calculation of Deviatoric Strain</t>
  </si>
  <si>
    <t>third term</t>
  </si>
  <si>
    <t>ɳ</t>
  </si>
  <si>
    <r>
      <rPr>
        <b/>
        <sz val="12"/>
        <rFont val="Calibri"/>
        <family val="2"/>
      </rPr>
      <t>Δε</t>
    </r>
    <r>
      <rPr>
        <b/>
        <i/>
        <vertAlign val="subscript"/>
        <sz val="12"/>
        <rFont val="Garamond"/>
        <family val="1"/>
      </rPr>
      <t>v</t>
    </r>
  </si>
  <si>
    <r>
      <rPr>
        <b/>
        <sz val="12"/>
        <rFont val="Calibri"/>
        <family val="2"/>
      </rPr>
      <t>ε</t>
    </r>
    <r>
      <rPr>
        <b/>
        <i/>
        <vertAlign val="subscript"/>
        <sz val="12"/>
        <rFont val="Garamond"/>
        <family val="1"/>
      </rPr>
      <t>v</t>
    </r>
  </si>
  <si>
    <r>
      <rPr>
        <b/>
        <sz val="12"/>
        <rFont val="Calibri"/>
        <family val="2"/>
      </rPr>
      <t>Δε</t>
    </r>
    <r>
      <rPr>
        <b/>
        <i/>
        <vertAlign val="subscript"/>
        <sz val="12"/>
        <rFont val="Garamond"/>
        <family val="1"/>
      </rPr>
      <t>q</t>
    </r>
  </si>
  <si>
    <r>
      <rPr>
        <b/>
        <sz val="12"/>
        <rFont val="Calibri"/>
        <family val="2"/>
      </rPr>
      <t>ε</t>
    </r>
    <r>
      <rPr>
        <b/>
        <i/>
        <vertAlign val="subscript"/>
        <sz val="12"/>
        <rFont val="Garamond"/>
        <family val="1"/>
      </rPr>
      <t>q</t>
    </r>
  </si>
  <si>
    <r>
      <rPr>
        <b/>
        <sz val="12"/>
        <rFont val="Calibri"/>
        <family val="2"/>
      </rPr>
      <t>ε</t>
    </r>
    <r>
      <rPr>
        <b/>
        <i/>
        <vertAlign val="subscript"/>
        <sz val="12"/>
        <rFont val="Garamond"/>
        <family val="1"/>
      </rPr>
      <t>a</t>
    </r>
  </si>
  <si>
    <r>
      <t>p</t>
    </r>
    <r>
      <rPr>
        <i/>
        <vertAlign val="subscript"/>
        <sz val="12"/>
        <rFont val="Garamond"/>
        <family val="1"/>
      </rPr>
      <t>init</t>
    </r>
  </si>
  <si>
    <r>
      <t>q</t>
    </r>
    <r>
      <rPr>
        <b/>
        <i/>
        <vertAlign val="subscript"/>
        <sz val="12"/>
        <rFont val="Garamond"/>
        <family val="1"/>
      </rPr>
      <t>init</t>
    </r>
  </si>
  <si>
    <r>
      <t>v</t>
    </r>
    <r>
      <rPr>
        <i/>
        <vertAlign val="subscript"/>
        <sz val="12"/>
        <rFont val="Garamond"/>
        <family val="1"/>
      </rPr>
      <t>init</t>
    </r>
  </si>
  <si>
    <r>
      <t>p</t>
    </r>
    <r>
      <rPr>
        <b/>
        <i/>
        <vertAlign val="subscript"/>
        <sz val="12"/>
        <rFont val="Garamond"/>
        <family val="1"/>
      </rPr>
      <t>h</t>
    </r>
  </si>
  <si>
    <r>
      <t>p</t>
    </r>
    <r>
      <rPr>
        <b/>
        <vertAlign val="subscript"/>
        <sz val="12"/>
        <rFont val="Arial"/>
        <family val="2"/>
      </rPr>
      <t>0</t>
    </r>
  </si>
  <si>
    <r>
      <t>p</t>
    </r>
    <r>
      <rPr>
        <i/>
        <vertAlign val="subscript"/>
        <sz val="12"/>
        <rFont val="Garamond"/>
        <family val="1"/>
      </rPr>
      <t>yield</t>
    </r>
  </si>
  <si>
    <r>
      <t>q</t>
    </r>
    <r>
      <rPr>
        <i/>
        <vertAlign val="subscript"/>
        <sz val="12"/>
        <rFont val="Garamond"/>
        <family val="1"/>
      </rPr>
      <t>yield</t>
    </r>
  </si>
  <si>
    <r>
      <t>v</t>
    </r>
    <r>
      <rPr>
        <b/>
        <i/>
        <vertAlign val="subscript"/>
        <sz val="12"/>
        <rFont val="Garamond"/>
        <family val="1"/>
      </rPr>
      <t>yield</t>
    </r>
  </si>
  <si>
    <r>
      <t>M</t>
    </r>
    <r>
      <rPr>
        <b/>
        <vertAlign val="subscript"/>
        <sz val="12"/>
        <rFont val="Arial"/>
        <family val="2"/>
      </rPr>
      <t>J</t>
    </r>
  </si>
  <si>
    <r>
      <t>p</t>
    </r>
    <r>
      <rPr>
        <i/>
        <vertAlign val="subscript"/>
        <sz val="12"/>
        <rFont val="Garamond"/>
        <family val="1"/>
      </rPr>
      <t>CSL</t>
    </r>
  </si>
  <si>
    <r>
      <t>q</t>
    </r>
    <r>
      <rPr>
        <i/>
        <vertAlign val="subscript"/>
        <sz val="12"/>
        <rFont val="Garamond"/>
        <family val="1"/>
      </rPr>
      <t>CSL</t>
    </r>
  </si>
  <si>
    <r>
      <t>s</t>
    </r>
    <r>
      <rPr>
        <b/>
        <i/>
        <vertAlign val="subscript"/>
        <sz val="12"/>
        <rFont val="Garamond"/>
        <family val="1"/>
      </rPr>
      <t>a</t>
    </r>
  </si>
  <si>
    <r>
      <t>s</t>
    </r>
    <r>
      <rPr>
        <b/>
        <i/>
        <vertAlign val="subscript"/>
        <sz val="12"/>
        <rFont val="Garamond"/>
        <family val="1"/>
      </rPr>
      <t>r</t>
    </r>
  </si>
  <si>
    <r>
      <t>p</t>
    </r>
    <r>
      <rPr>
        <b/>
        <i/>
        <vertAlign val="subscript"/>
        <sz val="12"/>
        <rFont val="Garamond"/>
        <family val="1"/>
      </rPr>
      <t>0</t>
    </r>
  </si>
  <si>
    <t>Axial Strain</t>
  </si>
  <si>
    <t xml:space="preserve">Volumetric Strain </t>
  </si>
  <si>
    <t>Phase2-Load Control</t>
  </si>
  <si>
    <t>Phase2-Displacement Control</t>
  </si>
  <si>
    <t>Final Yield Envelope</t>
  </si>
</sst>
</file>

<file path=xl/styles.xml><?xml version="1.0" encoding="utf-8"?>
<styleSheet xmlns="http://schemas.openxmlformats.org/spreadsheetml/2006/main">
  <fonts count="1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i/>
      <sz val="12"/>
      <name val="Garamond"/>
      <family val="1"/>
    </font>
    <font>
      <b/>
      <i/>
      <vertAlign val="subscript"/>
      <sz val="12"/>
      <name val="Garamond"/>
      <family val="1"/>
    </font>
    <font>
      <b/>
      <sz val="12"/>
      <name val="Garamond"/>
      <family val="1"/>
    </font>
    <font>
      <sz val="12"/>
      <name val="Garamond"/>
      <family val="1"/>
    </font>
    <font>
      <sz val="12"/>
      <name val="Arial"/>
      <family val="2"/>
    </font>
    <font>
      <b/>
      <sz val="12"/>
      <name val="Symbol"/>
      <family val="1"/>
      <charset val="2"/>
    </font>
    <font>
      <i/>
      <vertAlign val="subscript"/>
      <sz val="12"/>
      <name val="Garamond"/>
      <family val="1"/>
    </font>
    <font>
      <b/>
      <vertAlign val="subscript"/>
      <sz val="12"/>
      <name val="Arial"/>
      <family val="2"/>
    </font>
    <font>
      <b/>
      <i/>
      <sz val="12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2" fillId="0" borderId="0"/>
    <xf numFmtId="0" fontId="1" fillId="0" borderId="0"/>
  </cellStyleXfs>
  <cellXfs count="38">
    <xf numFmtId="0" fontId="0" fillId="0" borderId="0" xfId="0"/>
    <xf numFmtId="0" fontId="3" fillId="0" borderId="0" xfId="0" applyFont="1"/>
    <xf numFmtId="0" fontId="7" fillId="0" borderId="0" xfId="1" applyFont="1"/>
    <xf numFmtId="0" fontId="7" fillId="0" borderId="0" xfId="1" applyFont="1"/>
    <xf numFmtId="0" fontId="6" fillId="0" borderId="0" xfId="1"/>
    <xf numFmtId="0" fontId="6" fillId="0" borderId="0" xfId="1"/>
    <xf numFmtId="0" fontId="4" fillId="0" borderId="0" xfId="0" applyFont="1" applyFill="1"/>
    <xf numFmtId="0" fontId="8" fillId="2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12" fillId="0" borderId="0" xfId="0" applyFont="1" applyFill="1" applyProtection="1">
      <protection locked="0"/>
    </xf>
    <xf numFmtId="0" fontId="9" fillId="0" borderId="0" xfId="0" applyFont="1" applyFill="1"/>
    <xf numFmtId="0" fontId="9" fillId="0" borderId="0" xfId="0" applyFont="1" applyFill="1" applyAlignment="1">
      <alignment vertical="center" wrapText="1"/>
    </xf>
    <xf numFmtId="0" fontId="12" fillId="0" borderId="0" xfId="0" applyFont="1" applyFill="1" applyBorder="1"/>
    <xf numFmtId="0" fontId="9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center" wrapText="1"/>
    </xf>
    <xf numFmtId="0" fontId="12" fillId="0" borderId="1" xfId="0" applyFont="1" applyFill="1" applyBorder="1"/>
    <xf numFmtId="0" fontId="4" fillId="0" borderId="0" xfId="0" applyFont="1" applyFill="1" applyAlignment="1">
      <alignment vertical="center" wrapText="1"/>
    </xf>
    <xf numFmtId="11" fontId="13" fillId="0" borderId="0" xfId="0" applyNumberFormat="1" applyFont="1" applyFill="1"/>
    <xf numFmtId="0" fontId="13" fillId="0" borderId="2" xfId="0" applyFont="1" applyFill="1" applyBorder="1"/>
    <xf numFmtId="0" fontId="13" fillId="0" borderId="3" xfId="0" applyFont="1" applyFill="1" applyBorder="1"/>
    <xf numFmtId="0" fontId="12" fillId="0" borderId="4" xfId="0" applyFont="1" applyFill="1" applyBorder="1"/>
    <xf numFmtId="0" fontId="13" fillId="0" borderId="4" xfId="0" applyFont="1" applyFill="1" applyBorder="1"/>
    <xf numFmtId="0" fontId="5" fillId="0" borderId="0" xfId="0" applyFont="1"/>
    <xf numFmtId="2" fontId="12" fillId="0" borderId="1" xfId="0" applyNumberFormat="1" applyFont="1" applyFill="1" applyBorder="1"/>
    <xf numFmtId="0" fontId="2" fillId="0" borderId="0" xfId="2"/>
    <xf numFmtId="11" fontId="2" fillId="0" borderId="0" xfId="2" applyNumberFormat="1"/>
    <xf numFmtId="0" fontId="2" fillId="0" borderId="0" xfId="2"/>
    <xf numFmtId="11" fontId="2" fillId="0" borderId="0" xfId="2" applyNumberFormat="1"/>
    <xf numFmtId="0" fontId="1" fillId="0" borderId="0" xfId="3"/>
    <xf numFmtId="11" fontId="1" fillId="0" borderId="0" xfId="3" applyNumberFormat="1"/>
    <xf numFmtId="0" fontId="1" fillId="0" borderId="0" xfId="3"/>
    <xf numFmtId="11" fontId="1" fillId="0" borderId="0" xfId="3" applyNumberFormat="1"/>
    <xf numFmtId="0" fontId="1" fillId="0" borderId="0" xfId="3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06226043788644"/>
          <c:y val="7.621962566040881E-2"/>
          <c:w val="0.81681139742625386"/>
          <c:h val="0.73170840633992529"/>
        </c:manualLayout>
      </c:layout>
      <c:scatterChart>
        <c:scatterStyle val="smoothMarker"/>
        <c:ser>
          <c:idx val="2"/>
          <c:order val="0"/>
          <c:tx>
            <c:v>Load Path</c:v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'Analytical Solution'!$D$25:$D$60</c:f>
              <c:numCache>
                <c:formatCode>General</c:formatCode>
                <c:ptCount val="36"/>
                <c:pt idx="0">
                  <c:v>100</c:v>
                </c:pt>
                <c:pt idx="1">
                  <c:v>109.28476690885259</c:v>
                </c:pt>
                <c:pt idx="2">
                  <c:v>118.56953381770518</c:v>
                </c:pt>
                <c:pt idx="3">
                  <c:v>127.85430072655777</c:v>
                </c:pt>
                <c:pt idx="4">
                  <c:v>137.13906763541036</c:v>
                </c:pt>
                <c:pt idx="5">
                  <c:v>138.091570829967</c:v>
                </c:pt>
                <c:pt idx="6">
                  <c:v>139.04407402452364</c:v>
                </c:pt>
                <c:pt idx="7">
                  <c:v>139.99657721908028</c:v>
                </c:pt>
                <c:pt idx="8">
                  <c:v>140.94908041363692</c:v>
                </c:pt>
                <c:pt idx="9">
                  <c:v>141.90158360819356</c:v>
                </c:pt>
                <c:pt idx="10">
                  <c:v>142.8540868027502</c:v>
                </c:pt>
                <c:pt idx="11">
                  <c:v>143.80658999730684</c:v>
                </c:pt>
                <c:pt idx="12">
                  <c:v>144.75909319186349</c:v>
                </c:pt>
                <c:pt idx="13">
                  <c:v>145.71159638642013</c:v>
                </c:pt>
                <c:pt idx="14">
                  <c:v>146.66409958097677</c:v>
                </c:pt>
                <c:pt idx="15">
                  <c:v>147.61660277553341</c:v>
                </c:pt>
                <c:pt idx="16">
                  <c:v>148.56910597009005</c:v>
                </c:pt>
                <c:pt idx="17">
                  <c:v>149.52160916464669</c:v>
                </c:pt>
                <c:pt idx="18">
                  <c:v>150.47411235920333</c:v>
                </c:pt>
                <c:pt idx="19">
                  <c:v>151.42661555375997</c:v>
                </c:pt>
                <c:pt idx="20">
                  <c:v>152.37911874831661</c:v>
                </c:pt>
                <c:pt idx="21">
                  <c:v>153.33162194287326</c:v>
                </c:pt>
                <c:pt idx="22">
                  <c:v>154.2841251374299</c:v>
                </c:pt>
                <c:pt idx="23">
                  <c:v>155.23662833198654</c:v>
                </c:pt>
                <c:pt idx="24">
                  <c:v>156.18913152654318</c:v>
                </c:pt>
                <c:pt idx="25">
                  <c:v>157.14163472109982</c:v>
                </c:pt>
                <c:pt idx="26">
                  <c:v>158.09413791565646</c:v>
                </c:pt>
                <c:pt idx="27">
                  <c:v>159.0466411102131</c:v>
                </c:pt>
                <c:pt idx="28">
                  <c:v>159.99914430476974</c:v>
                </c:pt>
                <c:pt idx="29">
                  <c:v>160.95164749932638</c:v>
                </c:pt>
                <c:pt idx="30">
                  <c:v>161.90415069388303</c:v>
                </c:pt>
                <c:pt idx="31">
                  <c:v>162.85665388843967</c:v>
                </c:pt>
                <c:pt idx="32">
                  <c:v>163.80915708299631</c:v>
                </c:pt>
                <c:pt idx="33">
                  <c:v>164.76166027755295</c:v>
                </c:pt>
                <c:pt idx="34">
                  <c:v>165.71416347210959</c:v>
                </c:pt>
                <c:pt idx="35">
                  <c:v>166.66666666666666</c:v>
                </c:pt>
              </c:numCache>
            </c:numRef>
          </c:xVal>
          <c:yVal>
            <c:numRef>
              <c:f>'Analytical Solution'!$E$25:$E$60</c:f>
              <c:numCache>
                <c:formatCode>0.00</c:formatCode>
                <c:ptCount val="36"/>
                <c:pt idx="0">
                  <c:v>0</c:v>
                </c:pt>
                <c:pt idx="1">
                  <c:v>27.854300726557767</c:v>
                </c:pt>
                <c:pt idx="2">
                  <c:v>55.708601453115534</c:v>
                </c:pt>
                <c:pt idx="3">
                  <c:v>83.562902179673301</c:v>
                </c:pt>
                <c:pt idx="4">
                  <c:v>111.41720290623107</c:v>
                </c:pt>
                <c:pt idx="5">
                  <c:v>114.27471248990099</c:v>
                </c:pt>
                <c:pt idx="6">
                  <c:v>117.13222207357092</c:v>
                </c:pt>
                <c:pt idx="7">
                  <c:v>119.98973165724084</c:v>
                </c:pt>
                <c:pt idx="8">
                  <c:v>122.84724124091076</c:v>
                </c:pt>
                <c:pt idx="9">
                  <c:v>125.70475082458069</c:v>
                </c:pt>
                <c:pt idx="10">
                  <c:v>128.56226040825061</c:v>
                </c:pt>
                <c:pt idx="11">
                  <c:v>131.41976999192053</c:v>
                </c:pt>
                <c:pt idx="12">
                  <c:v>134.27727957559046</c:v>
                </c:pt>
                <c:pt idx="13">
                  <c:v>137.13478915926038</c:v>
                </c:pt>
                <c:pt idx="14">
                  <c:v>139.9922987429303</c:v>
                </c:pt>
                <c:pt idx="15">
                  <c:v>142.84980832660023</c:v>
                </c:pt>
                <c:pt idx="16">
                  <c:v>145.70731791027015</c:v>
                </c:pt>
                <c:pt idx="17">
                  <c:v>148.56482749394007</c:v>
                </c:pt>
                <c:pt idx="18">
                  <c:v>151.42233707761</c:v>
                </c:pt>
                <c:pt idx="19">
                  <c:v>154.27984666127992</c:v>
                </c:pt>
                <c:pt idx="20">
                  <c:v>157.13735624494984</c:v>
                </c:pt>
                <c:pt idx="21">
                  <c:v>159.99486582861977</c:v>
                </c:pt>
                <c:pt idx="22">
                  <c:v>162.85237541228969</c:v>
                </c:pt>
                <c:pt idx="23">
                  <c:v>165.70988499595961</c:v>
                </c:pt>
                <c:pt idx="24">
                  <c:v>168.56739457962954</c:v>
                </c:pt>
                <c:pt idx="25">
                  <c:v>171.42490416329946</c:v>
                </c:pt>
                <c:pt idx="26">
                  <c:v>174.28241374696938</c:v>
                </c:pt>
                <c:pt idx="27">
                  <c:v>177.13992333063931</c:v>
                </c:pt>
                <c:pt idx="28">
                  <c:v>179.99743291430923</c:v>
                </c:pt>
                <c:pt idx="29">
                  <c:v>182.85494249797915</c:v>
                </c:pt>
                <c:pt idx="30">
                  <c:v>185.71245208164908</c:v>
                </c:pt>
                <c:pt idx="31">
                  <c:v>188.569961665319</c:v>
                </c:pt>
                <c:pt idx="32">
                  <c:v>191.42747124898892</c:v>
                </c:pt>
                <c:pt idx="33">
                  <c:v>194.28498083265885</c:v>
                </c:pt>
                <c:pt idx="34">
                  <c:v>197.14249041632877</c:v>
                </c:pt>
                <c:pt idx="35" formatCode="General">
                  <c:v>199.99999999999997</c:v>
                </c:pt>
              </c:numCache>
            </c:numRef>
          </c:yVal>
        </c:ser>
        <c:ser>
          <c:idx val="1"/>
          <c:order val="1"/>
          <c:tx>
            <c:v>CSL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1"/>
            <c:spPr>
              <a:ln w="31750">
                <a:solidFill>
                  <a:srgbClr val="FF0000"/>
                </a:solidFill>
                <a:prstDash val="solid"/>
              </a:ln>
            </c:spPr>
          </c:dPt>
          <c:xVal>
            <c:numRef>
              <c:f>Sheet2!$F$3:$F$4</c:f>
              <c:numCache>
                <c:formatCode>General</c:formatCode>
                <c:ptCount val="2"/>
                <c:pt idx="0">
                  <c:v>0</c:v>
                </c:pt>
                <c:pt idx="1">
                  <c:v>220</c:v>
                </c:pt>
              </c:numCache>
            </c:numRef>
          </c:xVal>
          <c:yVal>
            <c:numRef>
              <c:f>Sheet2!$G$3:$G$4</c:f>
              <c:numCache>
                <c:formatCode>General</c:formatCode>
                <c:ptCount val="2"/>
                <c:pt idx="0">
                  <c:v>0</c:v>
                </c:pt>
                <c:pt idx="1">
                  <c:v>264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Sheet2!$B$1</c:f>
              <c:strCache>
                <c:ptCount val="1"/>
                <c:pt idx="0">
                  <c:v>Initial Yield Envelope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Sheet2!$B$3:$B$53</c:f>
              <c:numCache>
                <c:formatCode>General</c:formatCode>
                <c:ptCount val="5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</c:numCache>
            </c:numRef>
          </c:xVal>
          <c:yVal>
            <c:numRef>
              <c:f>Sheet2!$C$3:$C$53</c:f>
              <c:numCache>
                <c:formatCode>General</c:formatCode>
                <c:ptCount val="51"/>
                <c:pt idx="0">
                  <c:v>0</c:v>
                </c:pt>
                <c:pt idx="1">
                  <c:v>33.6</c:v>
                </c:pt>
                <c:pt idx="2">
                  <c:v>47.030203061437021</c:v>
                </c:pt>
                <c:pt idx="3">
                  <c:v>56.996842017782001</c:v>
                </c:pt>
                <c:pt idx="4">
                  <c:v>65.110367838002574</c:v>
                </c:pt>
                <c:pt idx="5">
                  <c:v>72</c:v>
                </c:pt>
                <c:pt idx="6">
                  <c:v>77.990768684505227</c:v>
                </c:pt>
                <c:pt idx="7">
                  <c:v>83.276887549907869</c:v>
                </c:pt>
                <c:pt idx="8">
                  <c:v>87.98545334315213</c:v>
                </c:pt>
                <c:pt idx="9">
                  <c:v>92.204989019033022</c:v>
                </c:pt>
                <c:pt idx="10">
                  <c:v>96</c:v>
                </c:pt>
                <c:pt idx="11">
                  <c:v>99.419112850598296</c:v>
                </c:pt>
                <c:pt idx="12">
                  <c:v>102.49995121950059</c:v>
                </c:pt>
                <c:pt idx="13">
                  <c:v>105.27221855741428</c:v>
                </c:pt>
                <c:pt idx="14">
                  <c:v>107.75973273908951</c:v>
                </c:pt>
                <c:pt idx="15">
                  <c:v>109.98181667894016</c:v>
                </c:pt>
                <c:pt idx="16">
                  <c:v>111.95427638102977</c:v>
                </c:pt>
                <c:pt idx="17">
                  <c:v>113.6901051103393</c:v>
                </c:pt>
                <c:pt idx="18">
                  <c:v>115.2</c:v>
                </c:pt>
                <c:pt idx="19">
                  <c:v>116.49274655531134</c:v>
                </c:pt>
                <c:pt idx="20">
                  <c:v>117.57550765359255</c:v>
                </c:pt>
                <c:pt idx="21">
                  <c:v>118.45404172082942</c:v>
                </c:pt>
                <c:pt idx="22">
                  <c:v>119.13286700151222</c:v>
                </c:pt>
                <c:pt idx="23">
                  <c:v>119.61538362602028</c:v>
                </c:pt>
                <c:pt idx="24">
                  <c:v>119.90396156924925</c:v>
                </c:pt>
                <c:pt idx="25">
                  <c:v>120</c:v>
                </c:pt>
                <c:pt idx="26">
                  <c:v>119.90396156924925</c:v>
                </c:pt>
                <c:pt idx="27">
                  <c:v>119.61538362602028</c:v>
                </c:pt>
                <c:pt idx="28">
                  <c:v>119.13286700151224</c:v>
                </c:pt>
                <c:pt idx="29">
                  <c:v>118.45404172082942</c:v>
                </c:pt>
                <c:pt idx="30">
                  <c:v>117.57550765359255</c:v>
                </c:pt>
                <c:pt idx="31">
                  <c:v>116.49274655531133</c:v>
                </c:pt>
                <c:pt idx="32">
                  <c:v>115.2</c:v>
                </c:pt>
                <c:pt idx="33">
                  <c:v>113.6901051103393</c:v>
                </c:pt>
                <c:pt idx="34">
                  <c:v>111.95427638102977</c:v>
                </c:pt>
                <c:pt idx="35">
                  <c:v>109.98181667894016</c:v>
                </c:pt>
                <c:pt idx="36">
                  <c:v>107.7597327390895</c:v>
                </c:pt>
                <c:pt idx="37">
                  <c:v>105.27221855741428</c:v>
                </c:pt>
                <c:pt idx="38">
                  <c:v>102.4999512195006</c:v>
                </c:pt>
                <c:pt idx="39">
                  <c:v>99.419112850598324</c:v>
                </c:pt>
                <c:pt idx="40">
                  <c:v>96</c:v>
                </c:pt>
                <c:pt idx="41">
                  <c:v>92.204989019033007</c:v>
                </c:pt>
                <c:pt idx="42">
                  <c:v>87.985453343152116</c:v>
                </c:pt>
                <c:pt idx="43">
                  <c:v>83.276887549907883</c:v>
                </c:pt>
                <c:pt idx="44">
                  <c:v>77.990768684505241</c:v>
                </c:pt>
                <c:pt idx="45">
                  <c:v>72.000000000000014</c:v>
                </c:pt>
                <c:pt idx="46">
                  <c:v>65.110367838002546</c:v>
                </c:pt>
                <c:pt idx="47">
                  <c:v>56.996842017781994</c:v>
                </c:pt>
                <c:pt idx="48">
                  <c:v>47.030203061437057</c:v>
                </c:pt>
                <c:pt idx="49">
                  <c:v>33.600000000000016</c:v>
                </c:pt>
                <c:pt idx="5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Sheet2!$L$1</c:f>
              <c:strCache>
                <c:ptCount val="1"/>
                <c:pt idx="0">
                  <c:v>Final Yield Envelope</c:v>
                </c:pt>
              </c:strCache>
            </c:strRef>
          </c:tx>
          <c:spPr>
            <a:ln>
              <a:prstDash val="lgDashDot"/>
            </a:ln>
          </c:spPr>
          <c:marker>
            <c:symbol val="none"/>
          </c:marker>
          <c:xVal>
            <c:numRef>
              <c:f>Sheet2!$L$3:$L$53</c:f>
              <c:numCache>
                <c:formatCode>General</c:formatCode>
                <c:ptCount val="51"/>
                <c:pt idx="0">
                  <c:v>0</c:v>
                </c:pt>
                <c:pt idx="1">
                  <c:v>6.6666660000000002</c:v>
                </c:pt>
                <c:pt idx="2">
                  <c:v>13.333332</c:v>
                </c:pt>
                <c:pt idx="3">
                  <c:v>19.999998000000001</c:v>
                </c:pt>
                <c:pt idx="4">
                  <c:v>26.666664000000001</c:v>
                </c:pt>
                <c:pt idx="5">
                  <c:v>33.333330000000004</c:v>
                </c:pt>
                <c:pt idx="6">
                  <c:v>39.999996000000003</c:v>
                </c:pt>
                <c:pt idx="7">
                  <c:v>46.666662000000002</c:v>
                </c:pt>
                <c:pt idx="8">
                  <c:v>53.333328000000002</c:v>
                </c:pt>
                <c:pt idx="9">
                  <c:v>59.999994000000001</c:v>
                </c:pt>
                <c:pt idx="10">
                  <c:v>66.666660000000007</c:v>
                </c:pt>
                <c:pt idx="11">
                  <c:v>73.333326000000014</c:v>
                </c:pt>
                <c:pt idx="12">
                  <c:v>79.99999200000002</c:v>
                </c:pt>
                <c:pt idx="13">
                  <c:v>86.666658000000027</c:v>
                </c:pt>
                <c:pt idx="14">
                  <c:v>93.333324000000033</c:v>
                </c:pt>
                <c:pt idx="15">
                  <c:v>99.999990000000039</c:v>
                </c:pt>
                <c:pt idx="16">
                  <c:v>106.66665600000005</c:v>
                </c:pt>
                <c:pt idx="17">
                  <c:v>113.33332200000005</c:v>
                </c:pt>
                <c:pt idx="18">
                  <c:v>119.99998800000006</c:v>
                </c:pt>
                <c:pt idx="19">
                  <c:v>126.66665400000007</c:v>
                </c:pt>
                <c:pt idx="20">
                  <c:v>133.33332000000007</c:v>
                </c:pt>
                <c:pt idx="21">
                  <c:v>139.99998600000006</c:v>
                </c:pt>
                <c:pt idx="22">
                  <c:v>146.66665200000006</c:v>
                </c:pt>
                <c:pt idx="23">
                  <c:v>153.33331800000005</c:v>
                </c:pt>
                <c:pt idx="24">
                  <c:v>159.99998400000004</c:v>
                </c:pt>
                <c:pt idx="25">
                  <c:v>166.66665000000003</c:v>
                </c:pt>
                <c:pt idx="26">
                  <c:v>173.33331600000002</c:v>
                </c:pt>
                <c:pt idx="27">
                  <c:v>179.99998200000002</c:v>
                </c:pt>
                <c:pt idx="28">
                  <c:v>186.66664800000001</c:v>
                </c:pt>
                <c:pt idx="29">
                  <c:v>193.333314</c:v>
                </c:pt>
                <c:pt idx="30">
                  <c:v>199.99997999999999</c:v>
                </c:pt>
                <c:pt idx="31">
                  <c:v>206.66664599999999</c:v>
                </c:pt>
                <c:pt idx="32">
                  <c:v>213.33331199999998</c:v>
                </c:pt>
                <c:pt idx="33">
                  <c:v>219.99997799999997</c:v>
                </c:pt>
                <c:pt idx="34">
                  <c:v>226.66664399999996</c:v>
                </c:pt>
                <c:pt idx="35">
                  <c:v>233.33330999999995</c:v>
                </c:pt>
                <c:pt idx="36">
                  <c:v>239.99997599999995</c:v>
                </c:pt>
                <c:pt idx="37">
                  <c:v>246.66664199999994</c:v>
                </c:pt>
                <c:pt idx="38">
                  <c:v>253.33330799999993</c:v>
                </c:pt>
                <c:pt idx="39">
                  <c:v>259.99997399999995</c:v>
                </c:pt>
                <c:pt idx="40">
                  <c:v>266.66663999999997</c:v>
                </c:pt>
                <c:pt idx="41">
                  <c:v>273.33330599999999</c:v>
                </c:pt>
                <c:pt idx="42">
                  <c:v>279.99997200000001</c:v>
                </c:pt>
                <c:pt idx="43">
                  <c:v>286.66663800000003</c:v>
                </c:pt>
                <c:pt idx="44">
                  <c:v>293.33330400000006</c:v>
                </c:pt>
                <c:pt idx="45">
                  <c:v>299.99997000000008</c:v>
                </c:pt>
                <c:pt idx="46">
                  <c:v>306.6666360000001</c:v>
                </c:pt>
                <c:pt idx="47">
                  <c:v>313.33330200000012</c:v>
                </c:pt>
                <c:pt idx="48">
                  <c:v>319.99996800000014</c:v>
                </c:pt>
                <c:pt idx="49">
                  <c:v>326.66663400000016</c:v>
                </c:pt>
                <c:pt idx="50">
                  <c:v>333.33330000000001</c:v>
                </c:pt>
              </c:numCache>
            </c:numRef>
          </c:xVal>
          <c:yVal>
            <c:numRef>
              <c:f>Sheet2!$M$3:$M$53</c:f>
              <c:numCache>
                <c:formatCode>General</c:formatCode>
                <c:ptCount val="51"/>
                <c:pt idx="0">
                  <c:v>0</c:v>
                </c:pt>
                <c:pt idx="1">
                  <c:v>55.999994400000006</c:v>
                </c:pt>
                <c:pt idx="2">
                  <c:v>78.383663930694524</c:v>
                </c:pt>
                <c:pt idx="3">
                  <c:v>94.994727196829658</c:v>
                </c:pt>
                <c:pt idx="4">
                  <c:v>108.51726887827631</c:v>
                </c:pt>
                <c:pt idx="5">
                  <c:v>119.999988</c:v>
                </c:pt>
                <c:pt idx="6">
                  <c:v>129.9846014757139</c:v>
                </c:pt>
                <c:pt idx="7">
                  <c:v>138.79479870369852</c:v>
                </c:pt>
                <c:pt idx="8">
                  <c:v>146.64240757434467</c:v>
                </c:pt>
                <c:pt idx="9">
                  <c:v>153.67496633089019</c:v>
                </c:pt>
                <c:pt idx="10">
                  <c:v>159.99998400000001</c:v>
                </c:pt>
                <c:pt idx="11">
                  <c:v>165.69850484781171</c:v>
                </c:pt>
                <c:pt idx="12">
                  <c:v>170.83323494917579</c:v>
                </c:pt>
                <c:pt idx="13">
                  <c:v>175.45368005032074</c:v>
                </c:pt>
                <c:pt idx="14">
                  <c:v>179.59953660519375</c:v>
                </c:pt>
                <c:pt idx="15">
                  <c:v>183.30300946793085</c:v>
                </c:pt>
                <c:pt idx="16">
                  <c:v>186.59044197600358</c:v>
                </c:pt>
                <c:pt idx="17">
                  <c:v>189.48348956888137</c:v>
                </c:pt>
                <c:pt idx="18">
                  <c:v>191.9999808</c:v>
                </c:pt>
                <c:pt idx="19">
                  <c:v>194.15455817672782</c:v>
                </c:pt>
                <c:pt idx="20">
                  <c:v>195.95915982673631</c:v>
                </c:pt>
                <c:pt idx="21">
                  <c:v>197.4233831257088</c:v>
                </c:pt>
                <c:pt idx="22">
                  <c:v>198.55475848037588</c:v>
                </c:pt>
                <c:pt idx="23">
                  <c:v>199.35895277413653</c:v>
                </c:pt>
                <c:pt idx="24">
                  <c:v>199.83991596475516</c:v>
                </c:pt>
                <c:pt idx="25">
                  <c:v>199.99997999999999</c:v>
                </c:pt>
                <c:pt idx="26">
                  <c:v>199.83991596475516</c:v>
                </c:pt>
                <c:pt idx="27">
                  <c:v>199.35895277413653</c:v>
                </c:pt>
                <c:pt idx="28">
                  <c:v>198.55475848037588</c:v>
                </c:pt>
                <c:pt idx="29">
                  <c:v>197.4233831257088</c:v>
                </c:pt>
                <c:pt idx="30">
                  <c:v>195.95915982673631</c:v>
                </c:pt>
                <c:pt idx="31">
                  <c:v>194.15455817672779</c:v>
                </c:pt>
                <c:pt idx="32">
                  <c:v>191.9999808</c:v>
                </c:pt>
                <c:pt idx="33">
                  <c:v>189.48348956888131</c:v>
                </c:pt>
                <c:pt idx="34">
                  <c:v>186.5904419760036</c:v>
                </c:pt>
                <c:pt idx="35">
                  <c:v>183.30300946793082</c:v>
                </c:pt>
                <c:pt idx="36">
                  <c:v>179.59953660519378</c:v>
                </c:pt>
                <c:pt idx="37">
                  <c:v>175.45368005032077</c:v>
                </c:pt>
                <c:pt idx="38">
                  <c:v>170.83323494917582</c:v>
                </c:pt>
                <c:pt idx="39">
                  <c:v>165.69850484781176</c:v>
                </c:pt>
                <c:pt idx="40">
                  <c:v>159.99998400000004</c:v>
                </c:pt>
                <c:pt idx="41">
                  <c:v>153.67496633089019</c:v>
                </c:pt>
                <c:pt idx="42">
                  <c:v>146.64240757434465</c:v>
                </c:pt>
                <c:pt idx="43">
                  <c:v>138.79479870369846</c:v>
                </c:pt>
                <c:pt idx="44">
                  <c:v>129.98460147571387</c:v>
                </c:pt>
                <c:pt idx="45">
                  <c:v>119.99998799999995</c:v>
                </c:pt>
                <c:pt idx="46">
                  <c:v>108.51726887827618</c:v>
                </c:pt>
                <c:pt idx="47">
                  <c:v>94.994727196829359</c:v>
                </c:pt>
                <c:pt idx="48">
                  <c:v>78.383663930694212</c:v>
                </c:pt>
                <c:pt idx="49">
                  <c:v>55.999994399999444</c:v>
                </c:pt>
                <c:pt idx="50">
                  <c:v>0</c:v>
                </c:pt>
              </c:numCache>
            </c:numRef>
          </c:yVal>
          <c:smooth val="1"/>
        </c:ser>
        <c:axId val="60899328"/>
        <c:axId val="60901248"/>
      </c:scatterChart>
      <c:valAx>
        <c:axId val="6089932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p' (kPa)</a:t>
                </a:r>
              </a:p>
            </c:rich>
          </c:tx>
          <c:layout>
            <c:manualLayout>
              <c:xMode val="edge"/>
              <c:yMode val="edge"/>
              <c:x val="0.52707581227436906"/>
              <c:y val="0.8902451827667882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0901248"/>
        <c:crosses val="autoZero"/>
        <c:crossBetween val="midCat"/>
      </c:valAx>
      <c:valAx>
        <c:axId val="60901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q (kPa)</a:t>
                </a:r>
              </a:p>
            </c:rich>
          </c:tx>
          <c:layout>
            <c:manualLayout>
              <c:xMode val="edge"/>
              <c:yMode val="edge"/>
              <c:x val="1.4440433212996392E-2"/>
              <c:y val="0.35924162705468277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08993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837685556148452"/>
          <c:y val="9.4365010316494344E-2"/>
          <c:w val="0.2705625060243631"/>
          <c:h val="0.23412363777108505"/>
        </c:manualLayout>
      </c:layout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/>
            </a:pPr>
            <a:r>
              <a:rPr lang="en-US" sz="800" b="1"/>
              <a:t>Drained Triaxial Test - Over Consolidated Clay - Constant Shear Modulus</a:t>
            </a:r>
          </a:p>
        </c:rich>
      </c:tx>
      <c:layout>
        <c:manualLayout>
          <c:xMode val="edge"/>
          <c:yMode val="edge"/>
          <c:x val="0.23270440251572344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283758786533481"/>
          <c:y val="0.12234910277324638"/>
          <c:w val="0.86052534221235666"/>
          <c:h val="0.7683523654159865"/>
        </c:manualLayout>
      </c:layout>
      <c:scatterChart>
        <c:scatterStyle val="smoothMarker"/>
        <c:ser>
          <c:idx val="0"/>
          <c:order val="0"/>
          <c:tx>
            <c:v>Analytical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'Analytical Solution'!$R$25:$R$59</c:f>
              <c:numCache>
                <c:formatCode>General</c:formatCode>
                <c:ptCount val="35"/>
                <c:pt idx="0">
                  <c:v>0</c:v>
                </c:pt>
                <c:pt idx="1">
                  <c:v>6.2209271958392097E-4</c:v>
                </c:pt>
                <c:pt idx="2">
                  <c:v>1.2314086697670563E-3</c:v>
                </c:pt>
                <c:pt idx="3">
                  <c:v>1.829910382347058E-3</c:v>
                </c:pt>
                <c:pt idx="4">
                  <c:v>2.4191240891333374E-3</c:v>
                </c:pt>
                <c:pt idx="5">
                  <c:v>4.3447366048253323E-3</c:v>
                </c:pt>
                <c:pt idx="6">
                  <c:v>6.3423915798010884E-3</c:v>
                </c:pt>
                <c:pt idx="7">
                  <c:v>8.4161928580029251E-3</c:v>
                </c:pt>
                <c:pt idx="8">
                  <c:v>1.0570787369901634E-2</c:v>
                </c:pt>
                <c:pt idx="9">
                  <c:v>1.2811401007589374E-2</c:v>
                </c:pt>
                <c:pt idx="10">
                  <c:v>1.5143926856274378E-2</c:v>
                </c:pt>
                <c:pt idx="11">
                  <c:v>1.7575031526831913E-2</c:v>
                </c:pt>
                <c:pt idx="12">
                  <c:v>2.0112284221808913E-2</c:v>
                </c:pt>
                <c:pt idx="13">
                  <c:v>2.2764314608116412E-2</c:v>
                </c:pt>
                <c:pt idx="14">
                  <c:v>2.5541007547675271E-2</c:v>
                </c:pt>
                <c:pt idx="15">
                  <c:v>2.8453745488717094E-2</c:v>
                </c:pt>
                <c:pt idx="16">
                  <c:v>3.1515713202797696E-2</c:v>
                </c:pt>
                <c:pt idx="17">
                  <c:v>3.4742285117118667E-2</c:v>
                </c:pt>
                <c:pt idx="18">
                  <c:v>3.8151523605447719E-2</c:v>
                </c:pt>
                <c:pt idx="19">
                  <c:v>4.1764828657579682E-2</c:v>
                </c:pt>
                <c:pt idx="20">
                  <c:v>4.5607797642619276E-2</c:v>
                </c:pt>
                <c:pt idx="21">
                  <c:v>4.97113822995972E-2</c:v>
                </c:pt>
                <c:pt idx="22">
                  <c:v>5.411347540234708E-2</c:v>
                </c:pt>
                <c:pt idx="23">
                  <c:v>5.8861133967730517E-2</c:v>
                </c:pt>
                <c:pt idx="24">
                  <c:v>6.4013772294468807E-2</c:v>
                </c:pt>
                <c:pt idx="25">
                  <c:v>6.9647881346695875E-2</c:v>
                </c:pt>
                <c:pt idx="26">
                  <c:v>7.5864243345355159E-2</c:v>
                </c:pt>
                <c:pt idx="27">
                  <c:v>8.2799413737971783E-2</c:v>
                </c:pt>
                <c:pt idx="28">
                  <c:v>9.0644910751596058E-2</c:v>
                </c:pt>
                <c:pt idx="29">
                  <c:v>9.9681297849853231E-2</c:v>
                </c:pt>
                <c:pt idx="30">
                  <c:v>0.11034362204684421</c:v>
                </c:pt>
                <c:pt idx="31">
                  <c:v>0.12336080339395802</c:v>
                </c:pt>
                <c:pt idx="32">
                  <c:v>0.14009942152374519</c:v>
                </c:pt>
                <c:pt idx="33">
                  <c:v>0.16362761483779631</c:v>
                </c:pt>
                <c:pt idx="34">
                  <c:v>0.20373557396845263</c:v>
                </c:pt>
              </c:numCache>
            </c:numRef>
          </c:xVal>
          <c:yVal>
            <c:numRef>
              <c:f>'Analytical Solution'!$E$25:$E$59</c:f>
              <c:numCache>
                <c:formatCode>0.00</c:formatCode>
                <c:ptCount val="35"/>
                <c:pt idx="0">
                  <c:v>0</c:v>
                </c:pt>
                <c:pt idx="1">
                  <c:v>27.854300726557767</c:v>
                </c:pt>
                <c:pt idx="2">
                  <c:v>55.708601453115534</c:v>
                </c:pt>
                <c:pt idx="3">
                  <c:v>83.562902179673301</c:v>
                </c:pt>
                <c:pt idx="4">
                  <c:v>111.41720290623107</c:v>
                </c:pt>
                <c:pt idx="5">
                  <c:v>114.27471248990099</c:v>
                </c:pt>
                <c:pt idx="6">
                  <c:v>117.13222207357092</c:v>
                </c:pt>
                <c:pt idx="7">
                  <c:v>119.98973165724084</c:v>
                </c:pt>
                <c:pt idx="8">
                  <c:v>122.84724124091076</c:v>
                </c:pt>
                <c:pt idx="9">
                  <c:v>125.70475082458069</c:v>
                </c:pt>
                <c:pt idx="10">
                  <c:v>128.56226040825061</c:v>
                </c:pt>
                <c:pt idx="11">
                  <c:v>131.41976999192053</c:v>
                </c:pt>
                <c:pt idx="12">
                  <c:v>134.27727957559046</c:v>
                </c:pt>
                <c:pt idx="13">
                  <c:v>137.13478915926038</c:v>
                </c:pt>
                <c:pt idx="14">
                  <c:v>139.9922987429303</c:v>
                </c:pt>
                <c:pt idx="15">
                  <c:v>142.84980832660023</c:v>
                </c:pt>
                <c:pt idx="16">
                  <c:v>145.70731791027015</c:v>
                </c:pt>
                <c:pt idx="17">
                  <c:v>148.56482749394007</c:v>
                </c:pt>
                <c:pt idx="18">
                  <c:v>151.42233707761</c:v>
                </c:pt>
                <c:pt idx="19">
                  <c:v>154.27984666127992</c:v>
                </c:pt>
                <c:pt idx="20">
                  <c:v>157.13735624494984</c:v>
                </c:pt>
                <c:pt idx="21">
                  <c:v>159.99486582861977</c:v>
                </c:pt>
                <c:pt idx="22">
                  <c:v>162.85237541228969</c:v>
                </c:pt>
                <c:pt idx="23">
                  <c:v>165.70988499595961</c:v>
                </c:pt>
                <c:pt idx="24">
                  <c:v>168.56739457962954</c:v>
                </c:pt>
                <c:pt idx="25">
                  <c:v>171.42490416329946</c:v>
                </c:pt>
                <c:pt idx="26">
                  <c:v>174.28241374696938</c:v>
                </c:pt>
                <c:pt idx="27">
                  <c:v>177.13992333063931</c:v>
                </c:pt>
                <c:pt idx="28">
                  <c:v>179.99743291430923</c:v>
                </c:pt>
                <c:pt idx="29">
                  <c:v>182.85494249797915</c:v>
                </c:pt>
                <c:pt idx="30">
                  <c:v>185.71245208164908</c:v>
                </c:pt>
                <c:pt idx="31">
                  <c:v>188.569961665319</c:v>
                </c:pt>
                <c:pt idx="32">
                  <c:v>191.42747124898892</c:v>
                </c:pt>
                <c:pt idx="33">
                  <c:v>194.28498083265885</c:v>
                </c:pt>
                <c:pt idx="34">
                  <c:v>197.14249041632877</c:v>
                </c:pt>
              </c:numCache>
            </c:numRef>
          </c:yVal>
        </c:ser>
        <c:ser>
          <c:idx val="1"/>
          <c:order val="1"/>
          <c:tx>
            <c:strRef>
              <c:f>Phase2!$A$1</c:f>
              <c:strCache>
                <c:ptCount val="1"/>
                <c:pt idx="0">
                  <c:v>Phase2-Load Control</c:v>
                </c:pt>
              </c:strCache>
            </c:strRef>
          </c:tx>
          <c:spPr>
            <a:ln w="12700"/>
          </c:spPr>
          <c:marker>
            <c:symbol val="triangle"/>
            <c:size val="5"/>
            <c:spPr>
              <a:noFill/>
            </c:spPr>
          </c:marker>
          <c:xVal>
            <c:numRef>
              <c:f>Phase2!$C$3:$C$38</c:f>
              <c:numCache>
                <c:formatCode>General</c:formatCode>
                <c:ptCount val="36"/>
                <c:pt idx="0" formatCode="0.00E+00">
                  <c:v>3.1025000000000001E-20</c:v>
                </c:pt>
                <c:pt idx="1">
                  <c:v>6.2140999999999997E-4</c:v>
                </c:pt>
                <c:pt idx="2">
                  <c:v>1.2309E-3</c:v>
                </c:pt>
                <c:pt idx="3">
                  <c:v>1.8295E-3</c:v>
                </c:pt>
                <c:pt idx="4">
                  <c:v>2.4217000000000002E-3</c:v>
                </c:pt>
                <c:pt idx="5">
                  <c:v>2.4819999999999998E-3</c:v>
                </c:pt>
                <c:pt idx="6">
                  <c:v>4.2136999999999999E-3</c:v>
                </c:pt>
                <c:pt idx="7">
                  <c:v>6.1615000000000003E-3</c:v>
                </c:pt>
                <c:pt idx="8">
                  <c:v>8.1927000000000007E-3</c:v>
                </c:pt>
                <c:pt idx="9">
                  <c:v>1.0302E-2</c:v>
                </c:pt>
                <c:pt idx="10">
                  <c:v>1.2489E-2</c:v>
                </c:pt>
                <c:pt idx="11">
                  <c:v>1.4755000000000001E-2</c:v>
                </c:pt>
                <c:pt idx="12">
                  <c:v>1.7104999999999999E-2</c:v>
                </c:pt>
                <c:pt idx="13">
                  <c:v>1.9542E-2</c:v>
                </c:pt>
                <c:pt idx="14">
                  <c:v>2.2134999999999998E-2</c:v>
                </c:pt>
                <c:pt idx="15">
                  <c:v>2.4799999999999999E-2</c:v>
                </c:pt>
                <c:pt idx="16">
                  <c:v>2.7557000000000002E-2</c:v>
                </c:pt>
                <c:pt idx="17">
                  <c:v>3.0485999999999999E-2</c:v>
                </c:pt>
                <c:pt idx="18">
                  <c:v>3.3569000000000002E-2</c:v>
                </c:pt>
                <c:pt idx="19">
                  <c:v>3.6808E-2</c:v>
                </c:pt>
                <c:pt idx="20">
                  <c:v>4.0207E-2</c:v>
                </c:pt>
                <c:pt idx="21">
                  <c:v>4.3841999999999999E-2</c:v>
                </c:pt>
                <c:pt idx="22">
                  <c:v>4.7699999999999999E-2</c:v>
                </c:pt>
                <c:pt idx="23">
                  <c:v>5.1788000000000001E-2</c:v>
                </c:pt>
                <c:pt idx="24">
                  <c:v>5.6126000000000002E-2</c:v>
                </c:pt>
                <c:pt idx="25">
                  <c:v>6.0860999999999998E-2</c:v>
                </c:pt>
                <c:pt idx="26">
                  <c:v>6.5976999999999994E-2</c:v>
                </c:pt>
                <c:pt idx="27">
                  <c:v>7.1554000000000006E-2</c:v>
                </c:pt>
                <c:pt idx="28">
                  <c:v>7.7674000000000007E-2</c:v>
                </c:pt>
                <c:pt idx="29">
                  <c:v>8.4430000000000005E-2</c:v>
                </c:pt>
                <c:pt idx="30">
                  <c:v>9.2118000000000005E-2</c:v>
                </c:pt>
                <c:pt idx="31">
                  <c:v>0.10088</c:v>
                </c:pt>
                <c:pt idx="32">
                  <c:v>0.11111</c:v>
                </c:pt>
                <c:pt idx="33">
                  <c:v>0.12349</c:v>
                </c:pt>
                <c:pt idx="34">
                  <c:v>0.13908000000000001</c:v>
                </c:pt>
                <c:pt idx="35">
                  <c:v>0.16039</c:v>
                </c:pt>
              </c:numCache>
            </c:numRef>
          </c:xVal>
          <c:yVal>
            <c:numRef>
              <c:f>Phase2!$B$3:$B$38</c:f>
              <c:numCache>
                <c:formatCode>General</c:formatCode>
                <c:ptCount val="36"/>
                <c:pt idx="0">
                  <c:v>0</c:v>
                </c:pt>
                <c:pt idx="1">
                  <c:v>27.852</c:v>
                </c:pt>
                <c:pt idx="2">
                  <c:v>55.71</c:v>
                </c:pt>
                <c:pt idx="3">
                  <c:v>83.56</c:v>
                </c:pt>
                <c:pt idx="4">
                  <c:v>111.28</c:v>
                </c:pt>
                <c:pt idx="5">
                  <c:v>111.36</c:v>
                </c:pt>
                <c:pt idx="6">
                  <c:v>113.94</c:v>
                </c:pt>
                <c:pt idx="7">
                  <c:v>116.77</c:v>
                </c:pt>
                <c:pt idx="8">
                  <c:v>119.61</c:v>
                </c:pt>
                <c:pt idx="9">
                  <c:v>122.46</c:v>
                </c:pt>
                <c:pt idx="10">
                  <c:v>125.32</c:v>
                </c:pt>
                <c:pt idx="11">
                  <c:v>128.16</c:v>
                </c:pt>
                <c:pt idx="12">
                  <c:v>130.99</c:v>
                </c:pt>
                <c:pt idx="13">
                  <c:v>133.81</c:v>
                </c:pt>
                <c:pt idx="14">
                  <c:v>136.69999999999999</c:v>
                </c:pt>
                <c:pt idx="15">
                  <c:v>139.53</c:v>
                </c:pt>
                <c:pt idx="16">
                  <c:v>142.34</c:v>
                </c:pt>
                <c:pt idx="17">
                  <c:v>145.19</c:v>
                </c:pt>
                <c:pt idx="18">
                  <c:v>148.05000000000001</c:v>
                </c:pt>
                <c:pt idx="19">
                  <c:v>150.9</c:v>
                </c:pt>
                <c:pt idx="20">
                  <c:v>153.72999999999999</c:v>
                </c:pt>
                <c:pt idx="21">
                  <c:v>156.6</c:v>
                </c:pt>
                <c:pt idx="22">
                  <c:v>159.47999999999999</c:v>
                </c:pt>
                <c:pt idx="23">
                  <c:v>162.32</c:v>
                </c:pt>
                <c:pt idx="24">
                  <c:v>165.14</c:v>
                </c:pt>
                <c:pt idx="25">
                  <c:v>168.01</c:v>
                </c:pt>
                <c:pt idx="26">
                  <c:v>170.87</c:v>
                </c:pt>
                <c:pt idx="27">
                  <c:v>173.73</c:v>
                </c:pt>
                <c:pt idx="28">
                  <c:v>176.58</c:v>
                </c:pt>
                <c:pt idx="29">
                  <c:v>179.41</c:v>
                </c:pt>
                <c:pt idx="30">
                  <c:v>182.27</c:v>
                </c:pt>
                <c:pt idx="31">
                  <c:v>185.13</c:v>
                </c:pt>
                <c:pt idx="32">
                  <c:v>187.98</c:v>
                </c:pt>
                <c:pt idx="33">
                  <c:v>190.83</c:v>
                </c:pt>
                <c:pt idx="34">
                  <c:v>193.68</c:v>
                </c:pt>
                <c:pt idx="35">
                  <c:v>196.54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Phase2!$G$1</c:f>
              <c:strCache>
                <c:ptCount val="1"/>
                <c:pt idx="0">
                  <c:v>Phase2-Displacement Control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marker>
            <c:symbol val="square"/>
            <c:size val="5"/>
            <c:spPr>
              <a:noFill/>
              <a:ln>
                <a:solidFill>
                  <a:srgbClr val="4F81BD"/>
                </a:solidFill>
              </a:ln>
            </c:spPr>
          </c:marker>
          <c:xVal>
            <c:numRef>
              <c:f>Phase2!$I$3:$I$37</c:f>
              <c:numCache>
                <c:formatCode>General</c:formatCode>
                <c:ptCount val="35"/>
                <c:pt idx="0" formatCode="0.00E+00">
                  <c:v>3.4432E-20</c:v>
                </c:pt>
                <c:pt idx="1">
                  <c:v>6.2208999999999995E-4</c:v>
                </c:pt>
                <c:pt idx="2">
                  <c:v>1.2313999999999999E-3</c:v>
                </c:pt>
                <c:pt idx="3">
                  <c:v>1.8299E-3</c:v>
                </c:pt>
                <c:pt idx="4">
                  <c:v>2.4191E-3</c:v>
                </c:pt>
                <c:pt idx="5">
                  <c:v>4.3447E-3</c:v>
                </c:pt>
                <c:pt idx="6">
                  <c:v>6.3423999999999998E-3</c:v>
                </c:pt>
                <c:pt idx="7">
                  <c:v>8.4162000000000004E-3</c:v>
                </c:pt>
                <c:pt idx="8">
                  <c:v>1.0571000000000001E-2</c:v>
                </c:pt>
                <c:pt idx="9">
                  <c:v>1.2810999999999999E-2</c:v>
                </c:pt>
                <c:pt idx="10">
                  <c:v>1.5143999999999999E-2</c:v>
                </c:pt>
                <c:pt idx="11">
                  <c:v>1.7575E-2</c:v>
                </c:pt>
                <c:pt idx="12">
                  <c:v>2.0112000000000001E-2</c:v>
                </c:pt>
                <c:pt idx="13">
                  <c:v>2.2764E-2</c:v>
                </c:pt>
                <c:pt idx="14">
                  <c:v>2.5541000000000001E-2</c:v>
                </c:pt>
                <c:pt idx="15">
                  <c:v>2.8454E-2</c:v>
                </c:pt>
                <c:pt idx="16">
                  <c:v>3.1516000000000002E-2</c:v>
                </c:pt>
                <c:pt idx="17">
                  <c:v>3.4742000000000002E-2</c:v>
                </c:pt>
                <c:pt idx="18">
                  <c:v>3.8150999999999997E-2</c:v>
                </c:pt>
                <c:pt idx="19">
                  <c:v>4.1764999999999997E-2</c:v>
                </c:pt>
                <c:pt idx="20">
                  <c:v>4.5608000000000003E-2</c:v>
                </c:pt>
                <c:pt idx="21">
                  <c:v>4.9710999999999998E-2</c:v>
                </c:pt>
                <c:pt idx="22">
                  <c:v>5.4114000000000002E-2</c:v>
                </c:pt>
                <c:pt idx="23">
                  <c:v>5.8860999999999997E-2</c:v>
                </c:pt>
                <c:pt idx="24">
                  <c:v>6.4014000000000001E-2</c:v>
                </c:pt>
                <c:pt idx="25">
                  <c:v>6.9648000000000002E-2</c:v>
                </c:pt>
                <c:pt idx="26">
                  <c:v>7.5864000000000001E-2</c:v>
                </c:pt>
                <c:pt idx="27">
                  <c:v>8.2798999999999998E-2</c:v>
                </c:pt>
                <c:pt idx="28">
                  <c:v>9.0645000000000003E-2</c:v>
                </c:pt>
                <c:pt idx="29">
                  <c:v>9.9681000000000006E-2</c:v>
                </c:pt>
                <c:pt idx="30">
                  <c:v>0.11033999999999999</c:v>
                </c:pt>
                <c:pt idx="31">
                  <c:v>0.12336</c:v>
                </c:pt>
                <c:pt idx="32">
                  <c:v>0.1401</c:v>
                </c:pt>
                <c:pt idx="33">
                  <c:v>0.16363</c:v>
                </c:pt>
                <c:pt idx="34">
                  <c:v>0.20374</c:v>
                </c:pt>
              </c:numCache>
            </c:numRef>
          </c:xVal>
          <c:yVal>
            <c:numRef>
              <c:f>Phase2!$H$3:$H$37</c:f>
              <c:numCache>
                <c:formatCode>General</c:formatCode>
                <c:ptCount val="35"/>
                <c:pt idx="0">
                  <c:v>0</c:v>
                </c:pt>
                <c:pt idx="1">
                  <c:v>27.54</c:v>
                </c:pt>
                <c:pt idx="2">
                  <c:v>55.45</c:v>
                </c:pt>
                <c:pt idx="3">
                  <c:v>83.34</c:v>
                </c:pt>
                <c:pt idx="4">
                  <c:v>111.22</c:v>
                </c:pt>
                <c:pt idx="5">
                  <c:v>113.85</c:v>
                </c:pt>
                <c:pt idx="6">
                  <c:v>116.68</c:v>
                </c:pt>
                <c:pt idx="7">
                  <c:v>119.53</c:v>
                </c:pt>
                <c:pt idx="8">
                  <c:v>122.38</c:v>
                </c:pt>
                <c:pt idx="9">
                  <c:v>125.54</c:v>
                </c:pt>
                <c:pt idx="10">
                  <c:v>128.37</c:v>
                </c:pt>
                <c:pt idx="11">
                  <c:v>131.30000000000001</c:v>
                </c:pt>
                <c:pt idx="12">
                  <c:v>134.16</c:v>
                </c:pt>
                <c:pt idx="13">
                  <c:v>137.06</c:v>
                </c:pt>
                <c:pt idx="14">
                  <c:v>139.94</c:v>
                </c:pt>
                <c:pt idx="15">
                  <c:v>142.83000000000001</c:v>
                </c:pt>
                <c:pt idx="16">
                  <c:v>145.77000000000001</c:v>
                </c:pt>
                <c:pt idx="17">
                  <c:v>148.68</c:v>
                </c:pt>
                <c:pt idx="18">
                  <c:v>151.61000000000001</c:v>
                </c:pt>
                <c:pt idx="19">
                  <c:v>154.69</c:v>
                </c:pt>
                <c:pt idx="20">
                  <c:v>157.57</c:v>
                </c:pt>
                <c:pt idx="21">
                  <c:v>160.46</c:v>
                </c:pt>
                <c:pt idx="22">
                  <c:v>163.4</c:v>
                </c:pt>
                <c:pt idx="23">
                  <c:v>166.38</c:v>
                </c:pt>
                <c:pt idx="24">
                  <c:v>169.44</c:v>
                </c:pt>
                <c:pt idx="25">
                  <c:v>172.37</c:v>
                </c:pt>
                <c:pt idx="26">
                  <c:v>175.37</c:v>
                </c:pt>
                <c:pt idx="27">
                  <c:v>178.43</c:v>
                </c:pt>
                <c:pt idx="28">
                  <c:v>181.44</c:v>
                </c:pt>
                <c:pt idx="29">
                  <c:v>184.55</c:v>
                </c:pt>
                <c:pt idx="30">
                  <c:v>187.65</c:v>
                </c:pt>
                <c:pt idx="31">
                  <c:v>190.7</c:v>
                </c:pt>
                <c:pt idx="32">
                  <c:v>193.76</c:v>
                </c:pt>
                <c:pt idx="33">
                  <c:v>196.87</c:v>
                </c:pt>
                <c:pt idx="34">
                  <c:v>200.21</c:v>
                </c:pt>
              </c:numCache>
            </c:numRef>
          </c:yVal>
          <c:smooth val="1"/>
        </c:ser>
        <c:axId val="101450496"/>
        <c:axId val="101452800"/>
      </c:scatterChart>
      <c:valAx>
        <c:axId val="10145049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Axial Strain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1272430668842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01452800"/>
        <c:crosses val="autoZero"/>
        <c:crossBetween val="midCat"/>
      </c:valAx>
      <c:valAx>
        <c:axId val="1014528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Deviatoric Stress (kPa)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9592169657422547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014504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6637069922307"/>
          <c:y val="0.74101724233899813"/>
          <c:w val="0.22523122456529782"/>
          <c:h val="0.11861119317670937"/>
        </c:manualLayout>
      </c:layout>
    </c:legend>
    <c:plotVisOnly val="1"/>
    <c:dispBlanksAs val="gap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/>
            </a:pPr>
            <a:r>
              <a:rPr lang="en-US" sz="800" b="1"/>
              <a:t>Drained Triaxial Test - Over Consolidated Clay - Constant Shear Modulus</a:t>
            </a:r>
          </a:p>
        </c:rich>
      </c:tx>
      <c:layout>
        <c:manualLayout>
          <c:xMode val="edge"/>
          <c:yMode val="edge"/>
          <c:x val="0.24602293747687762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73880873103963"/>
          <c:y val="0.12017400761283306"/>
          <c:w val="0.87310395856455825"/>
          <c:h val="0.7683523654159865"/>
        </c:manualLayout>
      </c:layout>
      <c:scatterChart>
        <c:scatterStyle val="lineMarker"/>
        <c:ser>
          <c:idx val="4"/>
          <c:order val="0"/>
          <c:tx>
            <c:v>Analytical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'Analytical Solution'!$R$25:$R$59</c:f>
              <c:numCache>
                <c:formatCode>General</c:formatCode>
                <c:ptCount val="35"/>
                <c:pt idx="0">
                  <c:v>0</c:v>
                </c:pt>
                <c:pt idx="1">
                  <c:v>6.2209271958392097E-4</c:v>
                </c:pt>
                <c:pt idx="2">
                  <c:v>1.2314086697670563E-3</c:v>
                </c:pt>
                <c:pt idx="3">
                  <c:v>1.829910382347058E-3</c:v>
                </c:pt>
                <c:pt idx="4">
                  <c:v>2.4191240891333374E-3</c:v>
                </c:pt>
                <c:pt idx="5">
                  <c:v>4.3447366048253323E-3</c:v>
                </c:pt>
                <c:pt idx="6">
                  <c:v>6.3423915798010884E-3</c:v>
                </c:pt>
                <c:pt idx="7">
                  <c:v>8.4161928580029251E-3</c:v>
                </c:pt>
                <c:pt idx="8">
                  <c:v>1.0570787369901634E-2</c:v>
                </c:pt>
                <c:pt idx="9">
                  <c:v>1.2811401007589374E-2</c:v>
                </c:pt>
                <c:pt idx="10">
                  <c:v>1.5143926856274378E-2</c:v>
                </c:pt>
                <c:pt idx="11">
                  <c:v>1.7575031526831913E-2</c:v>
                </c:pt>
                <c:pt idx="12">
                  <c:v>2.0112284221808913E-2</c:v>
                </c:pt>
                <c:pt idx="13">
                  <c:v>2.2764314608116412E-2</c:v>
                </c:pt>
                <c:pt idx="14">
                  <c:v>2.5541007547675271E-2</c:v>
                </c:pt>
                <c:pt idx="15">
                  <c:v>2.8453745488717094E-2</c:v>
                </c:pt>
                <c:pt idx="16">
                  <c:v>3.1515713202797696E-2</c:v>
                </c:pt>
                <c:pt idx="17">
                  <c:v>3.4742285117118667E-2</c:v>
                </c:pt>
                <c:pt idx="18">
                  <c:v>3.8151523605447719E-2</c:v>
                </c:pt>
                <c:pt idx="19">
                  <c:v>4.1764828657579682E-2</c:v>
                </c:pt>
                <c:pt idx="20">
                  <c:v>4.5607797642619276E-2</c:v>
                </c:pt>
                <c:pt idx="21">
                  <c:v>4.97113822995972E-2</c:v>
                </c:pt>
                <c:pt idx="22">
                  <c:v>5.411347540234708E-2</c:v>
                </c:pt>
                <c:pt idx="23">
                  <c:v>5.8861133967730517E-2</c:v>
                </c:pt>
                <c:pt idx="24">
                  <c:v>6.4013772294468807E-2</c:v>
                </c:pt>
                <c:pt idx="25">
                  <c:v>6.9647881346695875E-2</c:v>
                </c:pt>
                <c:pt idx="26">
                  <c:v>7.5864243345355159E-2</c:v>
                </c:pt>
                <c:pt idx="27">
                  <c:v>8.2799413737971783E-2</c:v>
                </c:pt>
                <c:pt idx="28">
                  <c:v>9.0644910751596058E-2</c:v>
                </c:pt>
                <c:pt idx="29">
                  <c:v>9.9681297849853231E-2</c:v>
                </c:pt>
                <c:pt idx="30">
                  <c:v>0.11034362204684421</c:v>
                </c:pt>
                <c:pt idx="31">
                  <c:v>0.12336080339395802</c:v>
                </c:pt>
                <c:pt idx="32">
                  <c:v>0.14009942152374519</c:v>
                </c:pt>
                <c:pt idx="33">
                  <c:v>0.16362761483779631</c:v>
                </c:pt>
                <c:pt idx="34">
                  <c:v>0.20373557396845263</c:v>
                </c:pt>
              </c:numCache>
            </c:numRef>
          </c:xVal>
          <c:yVal>
            <c:numRef>
              <c:f>'Analytical Solution'!$L$25:$L$59</c:f>
              <c:numCache>
                <c:formatCode>General</c:formatCode>
                <c:ptCount val="35"/>
                <c:pt idx="0">
                  <c:v>0</c:v>
                </c:pt>
                <c:pt idx="1">
                  <c:v>4.7356312242387473E-4</c:v>
                </c:pt>
                <c:pt idx="2">
                  <c:v>9.0879593664539211E-4</c:v>
                </c:pt>
                <c:pt idx="3">
                  <c:v>1.311586038057509E-3</c:v>
                </c:pt>
                <c:pt idx="4">
                  <c:v>1.6865121220884585E-3</c:v>
                </c:pt>
                <c:pt idx="5">
                  <c:v>2.4781499682380208E-3</c:v>
                </c:pt>
                <c:pt idx="6">
                  <c:v>3.2649197109266056E-3</c:v>
                </c:pt>
                <c:pt idx="7">
                  <c:v>4.0465717522212763E-3</c:v>
                </c:pt>
                <c:pt idx="8">
                  <c:v>4.8229871717737002E-3</c:v>
                </c:pt>
                <c:pt idx="9">
                  <c:v>5.5940628919603436E-3</c:v>
                </c:pt>
                <c:pt idx="10">
                  <c:v>6.3597104143243892E-3</c:v>
                </c:pt>
                <c:pt idx="11">
                  <c:v>7.1198546453724535E-3</c:v>
                </c:pt>
                <c:pt idx="12">
                  <c:v>7.8744328062986049E-3</c:v>
                </c:pt>
                <c:pt idx="13">
                  <c:v>8.6233934213961073E-3</c:v>
                </c:pt>
                <c:pt idx="14">
                  <c:v>9.3666953801208371E-3</c:v>
                </c:pt>
                <c:pt idx="15">
                  <c:v>1.0104307067997462E-2</c:v>
                </c:pt>
                <c:pt idx="16">
                  <c:v>1.0836205561781326E-2</c:v>
                </c:pt>
                <c:pt idx="17">
                  <c:v>1.1562375884532726E-2</c:v>
                </c:pt>
                <c:pt idx="18">
                  <c:v>1.2282810316490428E-2</c:v>
                </c:pt>
                <c:pt idx="19">
                  <c:v>1.2997507757868728E-2</c:v>
                </c:pt>
                <c:pt idx="20">
                  <c:v>1.3706473139926581E-2</c:v>
                </c:pt>
                <c:pt idx="21">
                  <c:v>1.4409716880886422E-2</c:v>
                </c:pt>
                <c:pt idx="22">
                  <c:v>1.5107254383489576E-2</c:v>
                </c:pt>
                <c:pt idx="23">
                  <c:v>1.5799105571186276E-2</c:v>
                </c:pt>
                <c:pt idx="24">
                  <c:v>1.6485294460150953E-2</c:v>
                </c:pt>
                <c:pt idx="25">
                  <c:v>1.7165848764507056E-2</c:v>
                </c:pt>
                <c:pt idx="26">
                  <c:v>1.7840799532317545E-2</c:v>
                </c:pt>
                <c:pt idx="27">
                  <c:v>1.8510180810071473E-2</c:v>
                </c:pt>
                <c:pt idx="28">
                  <c:v>1.9174029333550904E-2</c:v>
                </c:pt>
                <c:pt idx="29">
                  <c:v>1.9832384243114086E-2</c:v>
                </c:pt>
                <c:pt idx="30">
                  <c:v>2.0485286821569294E-2</c:v>
                </c:pt>
                <c:pt idx="31">
                  <c:v>2.1132780252946636E-2</c:v>
                </c:pt>
                <c:pt idx="32">
                  <c:v>2.1774909400596541E-2</c:v>
                </c:pt>
                <c:pt idx="33">
                  <c:v>2.2411720603156726E-2</c:v>
                </c:pt>
                <c:pt idx="34">
                  <c:v>2.3043261487038998E-2</c:v>
                </c:pt>
              </c:numCache>
            </c:numRef>
          </c:yVal>
        </c:ser>
        <c:ser>
          <c:idx val="0"/>
          <c:order val="1"/>
          <c:tx>
            <c:strRef>
              <c:f>Phase2!$A$1</c:f>
              <c:strCache>
                <c:ptCount val="1"/>
                <c:pt idx="0">
                  <c:v>Phase2-Load Control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Phase2!$C$3:$C$38</c:f>
              <c:numCache>
                <c:formatCode>General</c:formatCode>
                <c:ptCount val="36"/>
                <c:pt idx="0" formatCode="0.00E+00">
                  <c:v>3.1025000000000001E-20</c:v>
                </c:pt>
                <c:pt idx="1">
                  <c:v>6.2140999999999997E-4</c:v>
                </c:pt>
                <c:pt idx="2">
                  <c:v>1.2309E-3</c:v>
                </c:pt>
                <c:pt idx="3">
                  <c:v>1.8295E-3</c:v>
                </c:pt>
                <c:pt idx="4">
                  <c:v>2.4217000000000002E-3</c:v>
                </c:pt>
                <c:pt idx="5">
                  <c:v>2.4819999999999998E-3</c:v>
                </c:pt>
                <c:pt idx="6">
                  <c:v>4.2136999999999999E-3</c:v>
                </c:pt>
                <c:pt idx="7">
                  <c:v>6.1615000000000003E-3</c:v>
                </c:pt>
                <c:pt idx="8">
                  <c:v>8.1927000000000007E-3</c:v>
                </c:pt>
                <c:pt idx="9">
                  <c:v>1.0302E-2</c:v>
                </c:pt>
                <c:pt idx="10">
                  <c:v>1.2489E-2</c:v>
                </c:pt>
                <c:pt idx="11">
                  <c:v>1.4755000000000001E-2</c:v>
                </c:pt>
                <c:pt idx="12">
                  <c:v>1.7104999999999999E-2</c:v>
                </c:pt>
                <c:pt idx="13">
                  <c:v>1.9542E-2</c:v>
                </c:pt>
                <c:pt idx="14">
                  <c:v>2.2134999999999998E-2</c:v>
                </c:pt>
                <c:pt idx="15">
                  <c:v>2.4799999999999999E-2</c:v>
                </c:pt>
                <c:pt idx="16">
                  <c:v>2.7557000000000002E-2</c:v>
                </c:pt>
                <c:pt idx="17">
                  <c:v>3.0485999999999999E-2</c:v>
                </c:pt>
                <c:pt idx="18">
                  <c:v>3.3569000000000002E-2</c:v>
                </c:pt>
                <c:pt idx="19">
                  <c:v>3.6808E-2</c:v>
                </c:pt>
                <c:pt idx="20">
                  <c:v>4.0207E-2</c:v>
                </c:pt>
                <c:pt idx="21">
                  <c:v>4.3841999999999999E-2</c:v>
                </c:pt>
                <c:pt idx="22">
                  <c:v>4.7699999999999999E-2</c:v>
                </c:pt>
                <c:pt idx="23">
                  <c:v>5.1788000000000001E-2</c:v>
                </c:pt>
                <c:pt idx="24">
                  <c:v>5.6126000000000002E-2</c:v>
                </c:pt>
                <c:pt idx="25">
                  <c:v>6.0860999999999998E-2</c:v>
                </c:pt>
                <c:pt idx="26">
                  <c:v>6.5976999999999994E-2</c:v>
                </c:pt>
                <c:pt idx="27">
                  <c:v>7.1554000000000006E-2</c:v>
                </c:pt>
                <c:pt idx="28">
                  <c:v>7.7674000000000007E-2</c:v>
                </c:pt>
                <c:pt idx="29">
                  <c:v>8.4430000000000005E-2</c:v>
                </c:pt>
                <c:pt idx="30">
                  <c:v>9.2118000000000005E-2</c:v>
                </c:pt>
                <c:pt idx="31">
                  <c:v>0.10088</c:v>
                </c:pt>
                <c:pt idx="32">
                  <c:v>0.11111</c:v>
                </c:pt>
                <c:pt idx="33">
                  <c:v>0.12349</c:v>
                </c:pt>
                <c:pt idx="34">
                  <c:v>0.13908000000000001</c:v>
                </c:pt>
                <c:pt idx="35">
                  <c:v>0.16039</c:v>
                </c:pt>
              </c:numCache>
            </c:numRef>
          </c:xVal>
          <c:yVal>
            <c:numRef>
              <c:f>Phase2!$D$3:$D$38</c:f>
              <c:numCache>
                <c:formatCode>General</c:formatCode>
                <c:ptCount val="36"/>
                <c:pt idx="0" formatCode="0.00E+00">
                  <c:v>1.1336000000000001E-18</c:v>
                </c:pt>
                <c:pt idx="1">
                  <c:v>4.7150799999999999E-4</c:v>
                </c:pt>
                <c:pt idx="2">
                  <c:v>9.0720000000000004E-4</c:v>
                </c:pt>
                <c:pt idx="3">
                  <c:v>1.31032E-3</c:v>
                </c:pt>
                <c:pt idx="4">
                  <c:v>1.6867799999999999E-3</c:v>
                </c:pt>
                <c:pt idx="5">
                  <c:v>1.7248400000000001E-3</c:v>
                </c:pt>
                <c:pt idx="6">
                  <c:v>2.4483399999999998E-3</c:v>
                </c:pt>
                <c:pt idx="7">
                  <c:v>3.2296999999999998E-3</c:v>
                </c:pt>
                <c:pt idx="8">
                  <c:v>4.0106999999999999E-3</c:v>
                </c:pt>
                <c:pt idx="9">
                  <c:v>4.7873999999999998E-3</c:v>
                </c:pt>
                <c:pt idx="10">
                  <c:v>5.5579999999999996E-3</c:v>
                </c:pt>
                <c:pt idx="11">
                  <c:v>6.3206E-3</c:v>
                </c:pt>
                <c:pt idx="12">
                  <c:v>7.0764000000000001E-3</c:v>
                </c:pt>
                <c:pt idx="13">
                  <c:v>7.8230000000000001E-3</c:v>
                </c:pt>
                <c:pt idx="14">
                  <c:v>8.5793999999999992E-3</c:v>
                </c:pt>
                <c:pt idx="15">
                  <c:v>9.3185999999999998E-3</c:v>
                </c:pt>
                <c:pt idx="16">
                  <c:v>1.0044000000000001E-2</c:v>
                </c:pt>
                <c:pt idx="17">
                  <c:v>1.0774799999999999E-2</c:v>
                </c:pt>
                <c:pt idx="18">
                  <c:v>1.1501000000000001E-2</c:v>
                </c:pt>
                <c:pt idx="19">
                  <c:v>1.222E-2</c:v>
                </c:pt>
                <c:pt idx="20">
                  <c:v>1.2929E-2</c:v>
                </c:pt>
                <c:pt idx="21">
                  <c:v>1.3639999999999999E-2</c:v>
                </c:pt>
                <c:pt idx="22">
                  <c:v>1.4344000000000001E-2</c:v>
                </c:pt>
                <c:pt idx="23">
                  <c:v>1.504E-2</c:v>
                </c:pt>
                <c:pt idx="24">
                  <c:v>1.5722E-2</c:v>
                </c:pt>
                <c:pt idx="25">
                  <c:v>1.6409E-2</c:v>
                </c:pt>
                <c:pt idx="26">
                  <c:v>1.7089E-2</c:v>
                </c:pt>
                <c:pt idx="27">
                  <c:v>1.7763999999999999E-2</c:v>
                </c:pt>
                <c:pt idx="28">
                  <c:v>1.8429999999999998E-2</c:v>
                </c:pt>
                <c:pt idx="29">
                  <c:v>1.9088000000000001E-2</c:v>
                </c:pt>
                <c:pt idx="30">
                  <c:v>1.9746E-2</c:v>
                </c:pt>
                <c:pt idx="31">
                  <c:v>2.0397999999999999E-2</c:v>
                </c:pt>
                <c:pt idx="32">
                  <c:v>2.104E-2</c:v>
                </c:pt>
                <c:pt idx="33">
                  <c:v>2.1680000000000001E-2</c:v>
                </c:pt>
                <c:pt idx="34">
                  <c:v>2.2318000000000001E-2</c:v>
                </c:pt>
                <c:pt idx="35">
                  <c:v>2.2943999999999999E-2</c:v>
                </c:pt>
              </c:numCache>
            </c:numRef>
          </c:yVal>
        </c:ser>
        <c:ser>
          <c:idx val="1"/>
          <c:order val="2"/>
          <c:tx>
            <c:strRef>
              <c:f>Phase2!$G$1</c:f>
              <c:strCache>
                <c:ptCount val="1"/>
                <c:pt idx="0">
                  <c:v>Phase2-Displacement Control</c:v>
                </c:pt>
              </c:strCache>
            </c:strRef>
          </c:tx>
          <c:spPr>
            <a:ln w="12700">
              <a:solidFill>
                <a:srgbClr val="4F81BD"/>
              </a:solidFill>
            </a:ln>
          </c:spPr>
          <c:marker>
            <c:symbol val="square"/>
            <c:size val="5"/>
            <c:spPr>
              <a:noFill/>
              <a:ln>
                <a:solidFill>
                  <a:srgbClr val="4F81BD"/>
                </a:solidFill>
              </a:ln>
            </c:spPr>
          </c:marker>
          <c:xVal>
            <c:numRef>
              <c:f>Phase2!$I$3:$I$37</c:f>
              <c:numCache>
                <c:formatCode>General</c:formatCode>
                <c:ptCount val="35"/>
                <c:pt idx="0" formatCode="0.00E+00">
                  <c:v>3.4432E-20</c:v>
                </c:pt>
                <c:pt idx="1">
                  <c:v>6.2208999999999995E-4</c:v>
                </c:pt>
                <c:pt idx="2">
                  <c:v>1.2313999999999999E-3</c:v>
                </c:pt>
                <c:pt idx="3">
                  <c:v>1.8299E-3</c:v>
                </c:pt>
                <c:pt idx="4">
                  <c:v>2.4191E-3</c:v>
                </c:pt>
                <c:pt idx="5">
                  <c:v>4.3447E-3</c:v>
                </c:pt>
                <c:pt idx="6">
                  <c:v>6.3423999999999998E-3</c:v>
                </c:pt>
                <c:pt idx="7">
                  <c:v>8.4162000000000004E-3</c:v>
                </c:pt>
                <c:pt idx="8">
                  <c:v>1.0571000000000001E-2</c:v>
                </c:pt>
                <c:pt idx="9">
                  <c:v>1.2810999999999999E-2</c:v>
                </c:pt>
                <c:pt idx="10">
                  <c:v>1.5143999999999999E-2</c:v>
                </c:pt>
                <c:pt idx="11">
                  <c:v>1.7575E-2</c:v>
                </c:pt>
                <c:pt idx="12">
                  <c:v>2.0112000000000001E-2</c:v>
                </c:pt>
                <c:pt idx="13">
                  <c:v>2.2764E-2</c:v>
                </c:pt>
                <c:pt idx="14">
                  <c:v>2.5541000000000001E-2</c:v>
                </c:pt>
                <c:pt idx="15">
                  <c:v>2.8454E-2</c:v>
                </c:pt>
                <c:pt idx="16">
                  <c:v>3.1516000000000002E-2</c:v>
                </c:pt>
                <c:pt idx="17">
                  <c:v>3.4742000000000002E-2</c:v>
                </c:pt>
                <c:pt idx="18">
                  <c:v>3.8150999999999997E-2</c:v>
                </c:pt>
                <c:pt idx="19">
                  <c:v>4.1764999999999997E-2</c:v>
                </c:pt>
                <c:pt idx="20">
                  <c:v>4.5608000000000003E-2</c:v>
                </c:pt>
                <c:pt idx="21">
                  <c:v>4.9710999999999998E-2</c:v>
                </c:pt>
                <c:pt idx="22">
                  <c:v>5.4114000000000002E-2</c:v>
                </c:pt>
                <c:pt idx="23">
                  <c:v>5.8860999999999997E-2</c:v>
                </c:pt>
                <c:pt idx="24">
                  <c:v>6.4014000000000001E-2</c:v>
                </c:pt>
                <c:pt idx="25">
                  <c:v>6.9648000000000002E-2</c:v>
                </c:pt>
                <c:pt idx="26">
                  <c:v>7.5864000000000001E-2</c:v>
                </c:pt>
                <c:pt idx="27">
                  <c:v>8.2798999999999998E-2</c:v>
                </c:pt>
                <c:pt idx="28">
                  <c:v>9.0645000000000003E-2</c:v>
                </c:pt>
                <c:pt idx="29">
                  <c:v>9.9681000000000006E-2</c:v>
                </c:pt>
                <c:pt idx="30">
                  <c:v>0.11033999999999999</c:v>
                </c:pt>
                <c:pt idx="31">
                  <c:v>0.12336</c:v>
                </c:pt>
                <c:pt idx="32">
                  <c:v>0.1401</c:v>
                </c:pt>
                <c:pt idx="33">
                  <c:v>0.16363</c:v>
                </c:pt>
                <c:pt idx="34">
                  <c:v>0.20374</c:v>
                </c:pt>
              </c:numCache>
            </c:numRef>
          </c:xVal>
          <c:yVal>
            <c:numRef>
              <c:f>Phase2!$J$3:$J$37</c:f>
              <c:numCache>
                <c:formatCode>General</c:formatCode>
                <c:ptCount val="35"/>
                <c:pt idx="0" formatCode="0.00E+00">
                  <c:v>1.1155299999999999E-18</c:v>
                </c:pt>
                <c:pt idx="1">
                  <c:v>4.8953799999999997E-4</c:v>
                </c:pt>
                <c:pt idx="2">
                  <c:v>9.2153999999999999E-4</c:v>
                </c:pt>
                <c:pt idx="3">
                  <c:v>1.32278E-3</c:v>
                </c:pt>
                <c:pt idx="4">
                  <c:v>1.6963600000000001E-3</c:v>
                </c:pt>
                <c:pt idx="5">
                  <c:v>2.5156800000000002E-3</c:v>
                </c:pt>
                <c:pt idx="6">
                  <c:v>3.3134000000000002E-3</c:v>
                </c:pt>
                <c:pt idx="7">
                  <c:v>4.1092000000000004E-3</c:v>
                </c:pt>
                <c:pt idx="8">
                  <c:v>4.9036000000000001E-3</c:v>
                </c:pt>
                <c:pt idx="9">
                  <c:v>5.6423999999999997E-3</c:v>
                </c:pt>
                <c:pt idx="10">
                  <c:v>6.4092000000000003E-3</c:v>
                </c:pt>
                <c:pt idx="11">
                  <c:v>7.1732000000000002E-3</c:v>
                </c:pt>
                <c:pt idx="12">
                  <c:v>7.9413999999999995E-3</c:v>
                </c:pt>
                <c:pt idx="13">
                  <c:v>8.7011999999999992E-3</c:v>
                </c:pt>
                <c:pt idx="14">
                  <c:v>9.4616000000000006E-3</c:v>
                </c:pt>
                <c:pt idx="15">
                  <c:v>1.02206E-2</c:v>
                </c:pt>
                <c:pt idx="16">
                  <c:v>1.0968E-2</c:v>
                </c:pt>
                <c:pt idx="17">
                  <c:v>1.172E-2</c:v>
                </c:pt>
                <c:pt idx="18">
                  <c:v>1.2473E-2</c:v>
                </c:pt>
                <c:pt idx="19">
                  <c:v>1.3174999999999999E-2</c:v>
                </c:pt>
                <c:pt idx="20">
                  <c:v>1.3896E-2</c:v>
                </c:pt>
                <c:pt idx="21">
                  <c:v>1.4619E-2</c:v>
                </c:pt>
                <c:pt idx="22">
                  <c:v>1.5350000000000001E-2</c:v>
                </c:pt>
                <c:pt idx="23">
                  <c:v>1.6084999999999999E-2</c:v>
                </c:pt>
                <c:pt idx="24">
                  <c:v>1.6768000000000002E-2</c:v>
                </c:pt>
                <c:pt idx="25">
                  <c:v>1.7479999999999999E-2</c:v>
                </c:pt>
                <c:pt idx="26">
                  <c:v>1.8206E-2</c:v>
                </c:pt>
                <c:pt idx="27">
                  <c:v>1.8889E-2</c:v>
                </c:pt>
                <c:pt idx="28">
                  <c:v>1.9612999999999998E-2</c:v>
                </c:pt>
                <c:pt idx="29">
                  <c:v>2.0313000000000001E-2</c:v>
                </c:pt>
                <c:pt idx="30">
                  <c:v>2.1011999999999999E-2</c:v>
                </c:pt>
                <c:pt idx="31">
                  <c:v>2.1683999999999998E-2</c:v>
                </c:pt>
                <c:pt idx="32">
                  <c:v>2.2377999999999999E-2</c:v>
                </c:pt>
                <c:pt idx="33">
                  <c:v>2.3066E-2</c:v>
                </c:pt>
                <c:pt idx="34">
                  <c:v>2.3806000000000001E-2</c:v>
                </c:pt>
              </c:numCache>
            </c:numRef>
          </c:yVal>
        </c:ser>
        <c:axId val="49842432"/>
        <c:axId val="49857280"/>
      </c:scatterChart>
      <c:valAx>
        <c:axId val="4984243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Axial Strain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1272430668842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9857280"/>
        <c:crosses val="autoZero"/>
        <c:crossBetween val="midCat"/>
      </c:valAx>
      <c:valAx>
        <c:axId val="498572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Volumetric Strain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828711256117457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98424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822419533851289"/>
          <c:y val="0.74638613077117399"/>
          <c:w val="0.24094709581945992"/>
          <c:h val="0.12004281683386639"/>
        </c:manualLayout>
      </c:layout>
    </c:legend>
    <c:plotVisOnly val="1"/>
    <c:dispBlanksAs val="gap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7.8801331853496179E-2"/>
          <c:y val="3.4257748776509001E-2"/>
          <c:w val="0.89456159822419534"/>
          <c:h val="0.85970636215334462"/>
        </c:manualLayout>
      </c:layout>
      <c:scatterChart>
        <c:scatterStyle val="lineMarker"/>
        <c:ser>
          <c:idx val="0"/>
          <c:order val="0"/>
          <c:tx>
            <c:v>v-ea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'Analytical Solution'!$R$25:$R$59</c:f>
              <c:numCache>
                <c:formatCode>General</c:formatCode>
                <c:ptCount val="35"/>
                <c:pt idx="0">
                  <c:v>0</c:v>
                </c:pt>
                <c:pt idx="1">
                  <c:v>6.2209271958392097E-4</c:v>
                </c:pt>
                <c:pt idx="2">
                  <c:v>1.2314086697670563E-3</c:v>
                </c:pt>
                <c:pt idx="3">
                  <c:v>1.829910382347058E-3</c:v>
                </c:pt>
                <c:pt idx="4">
                  <c:v>2.4191240891333374E-3</c:v>
                </c:pt>
                <c:pt idx="5">
                  <c:v>4.3447366048253323E-3</c:v>
                </c:pt>
                <c:pt idx="6">
                  <c:v>6.3423915798010884E-3</c:v>
                </c:pt>
                <c:pt idx="7">
                  <c:v>8.4161928580029251E-3</c:v>
                </c:pt>
                <c:pt idx="8">
                  <c:v>1.0570787369901634E-2</c:v>
                </c:pt>
                <c:pt idx="9">
                  <c:v>1.2811401007589374E-2</c:v>
                </c:pt>
                <c:pt idx="10">
                  <c:v>1.5143926856274378E-2</c:v>
                </c:pt>
                <c:pt idx="11">
                  <c:v>1.7575031526831913E-2</c:v>
                </c:pt>
                <c:pt idx="12">
                  <c:v>2.0112284221808913E-2</c:v>
                </c:pt>
                <c:pt idx="13">
                  <c:v>2.2764314608116412E-2</c:v>
                </c:pt>
                <c:pt idx="14">
                  <c:v>2.5541007547675271E-2</c:v>
                </c:pt>
                <c:pt idx="15">
                  <c:v>2.8453745488717094E-2</c:v>
                </c:pt>
                <c:pt idx="16">
                  <c:v>3.1515713202797696E-2</c:v>
                </c:pt>
                <c:pt idx="17">
                  <c:v>3.4742285117118667E-2</c:v>
                </c:pt>
                <c:pt idx="18">
                  <c:v>3.8151523605447719E-2</c:v>
                </c:pt>
                <c:pt idx="19">
                  <c:v>4.1764828657579682E-2</c:v>
                </c:pt>
                <c:pt idx="20">
                  <c:v>4.5607797642619276E-2</c:v>
                </c:pt>
                <c:pt idx="21">
                  <c:v>4.97113822995972E-2</c:v>
                </c:pt>
                <c:pt idx="22">
                  <c:v>5.411347540234708E-2</c:v>
                </c:pt>
                <c:pt idx="23">
                  <c:v>5.8861133967730517E-2</c:v>
                </c:pt>
                <c:pt idx="24">
                  <c:v>6.4013772294468807E-2</c:v>
                </c:pt>
                <c:pt idx="25">
                  <c:v>6.9647881346695875E-2</c:v>
                </c:pt>
                <c:pt idx="26">
                  <c:v>7.5864243345355159E-2</c:v>
                </c:pt>
                <c:pt idx="27">
                  <c:v>8.2799413737971783E-2</c:v>
                </c:pt>
                <c:pt idx="28">
                  <c:v>9.0644910751596058E-2</c:v>
                </c:pt>
                <c:pt idx="29">
                  <c:v>9.9681297849853231E-2</c:v>
                </c:pt>
                <c:pt idx="30">
                  <c:v>0.11034362204684421</c:v>
                </c:pt>
                <c:pt idx="31">
                  <c:v>0.12336080339395802</c:v>
                </c:pt>
                <c:pt idx="32">
                  <c:v>0.14009942152374519</c:v>
                </c:pt>
                <c:pt idx="33">
                  <c:v>0.16362761483779631</c:v>
                </c:pt>
                <c:pt idx="34">
                  <c:v>0.20373557396845263</c:v>
                </c:pt>
              </c:numCache>
            </c:numRef>
          </c:xVal>
          <c:yVal>
            <c:numRef>
              <c:f>'Analytical Solution'!$G$25:$G$59</c:f>
              <c:numCache>
                <c:formatCode>General</c:formatCode>
                <c:ptCount val="35"/>
                <c:pt idx="0">
                  <c:v>1.4436482870981413</c:v>
                </c:pt>
                <c:pt idx="1">
                  <c:v>1.442624865092869</c:v>
                </c:pt>
                <c:pt idx="2">
                  <c:v>1.4412385348500185</c:v>
                </c:pt>
                <c:pt idx="3">
                  <c:v>1.439755939874604</c:v>
                </c:pt>
                <c:pt idx="4">
                  <c:v>1.4383110538078296</c:v>
                </c:pt>
                <c:pt idx="5">
                  <c:v>1.4370810882255329</c:v>
                </c:pt>
                <c:pt idx="6">
                  <c:v>1.4358599294213219</c:v>
                </c:pt>
                <c:pt idx="7">
                  <c:v>1.4346477829578119</c:v>
                </c:pt>
                <c:pt idx="8">
                  <c:v>1.4334448256940331</c:v>
                </c:pt>
                <c:pt idx="9">
                  <c:v>1.4322512081302738</c:v>
                </c:pt>
                <c:pt idx="10">
                  <c:v>1.4310670565849288</c:v>
                </c:pt>
                <c:pt idx="11">
                  <c:v>1.4298924752135058</c:v>
                </c:pt>
                <c:pt idx="12">
                  <c:v>1.4287275478796395</c:v>
                </c:pt>
                <c:pt idx="13">
                  <c:v>1.4275723398875972</c:v>
                </c:pt>
                <c:pt idx="14">
                  <c:v>1.4264268995853653</c:v>
                </c:pt>
                <c:pt idx="15">
                  <c:v>1.4252912598469871</c:v>
                </c:pt>
                <c:pt idx="16">
                  <c:v>1.4241654394423875</c:v>
                </c:pt>
                <c:pt idx="17">
                  <c:v>1.4230494443024797</c:v>
                </c:pt>
                <c:pt idx="18">
                  <c:v>1.4219432686869116</c:v>
                </c:pt>
                <c:pt idx="19">
                  <c:v>1.4208468962613805</c:v>
                </c:pt>
                <c:pt idx="20">
                  <c:v>1.4197603010910187</c:v>
                </c:pt>
                <c:pt idx="21">
                  <c:v>1.4186834485559447</c:v>
                </c:pt>
                <c:pt idx="22">
                  <c:v>1.4176162961946868</c:v>
                </c:pt>
                <c:pt idx="23">
                  <c:v>1.4165587944807996</c:v>
                </c:pt>
                <c:pt idx="24">
                  <c:v>1.4155108875376443</c:v>
                </c:pt>
                <c:pt idx="25">
                  <c:v>1.4144725137959566</c:v>
                </c:pt>
                <c:pt idx="26">
                  <c:v>1.4134436065985094</c:v>
                </c:pt>
                <c:pt idx="27">
                  <c:v>1.4124240947558673</c:v>
                </c:pt>
                <c:pt idx="28">
                  <c:v>1.4114139030569504</c:v>
                </c:pt>
                <c:pt idx="29">
                  <c:v>1.4104129527378524</c:v>
                </c:pt>
                <c:pt idx="30">
                  <c:v>1.4094211619121113</c:v>
                </c:pt>
                <c:pt idx="31">
                  <c:v>1.4084384459653905</c:v>
                </c:pt>
                <c:pt idx="32">
                  <c:v>1.4074647179173165</c:v>
                </c:pt>
                <c:pt idx="33">
                  <c:v>1.4064998887530085</c:v>
                </c:pt>
                <c:pt idx="34">
                  <c:v>1.4055438677266501</c:v>
                </c:pt>
              </c:numCache>
            </c:numRef>
          </c:yVal>
        </c:ser>
        <c:axId val="50307840"/>
        <c:axId val="50310144"/>
      </c:scatterChart>
      <c:valAx>
        <c:axId val="50307840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ea</a:t>
                </a:r>
              </a:p>
            </c:rich>
          </c:tx>
          <c:layout>
            <c:manualLayout>
              <c:xMode val="edge"/>
              <c:yMode val="edge"/>
              <c:x val="0.51498335183129806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10144"/>
        <c:crosses val="autoZero"/>
        <c:crossBetween val="midCat"/>
      </c:valAx>
      <c:valAx>
        <c:axId val="503101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551386623164763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078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15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tabSelected="1" zoomScale="13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16" cy="629186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17"/>
  </sheetPr>
  <dimension ref="B1:M53"/>
  <sheetViews>
    <sheetView workbookViewId="0">
      <selection activeCell="S20" sqref="S20"/>
    </sheetView>
  </sheetViews>
  <sheetFormatPr defaultRowHeight="12.75"/>
  <cols>
    <col min="1" max="1" width="3.7109375" customWidth="1"/>
  </cols>
  <sheetData>
    <row r="1" spans="2:13" s="1" customFormat="1">
      <c r="B1" s="1" t="s">
        <v>20</v>
      </c>
      <c r="F1" s="1" t="s">
        <v>12</v>
      </c>
      <c r="I1" s="1" t="s">
        <v>21</v>
      </c>
      <c r="L1" s="1" t="s">
        <v>53</v>
      </c>
    </row>
    <row r="2" spans="2:13" s="1" customFormat="1">
      <c r="B2" s="1" t="s">
        <v>0</v>
      </c>
      <c r="C2" s="1" t="s">
        <v>1</v>
      </c>
      <c r="F2" s="1" t="s">
        <v>0</v>
      </c>
      <c r="G2" s="1" t="s">
        <v>1</v>
      </c>
      <c r="I2" s="1" t="s">
        <v>0</v>
      </c>
      <c r="J2" s="1" t="s">
        <v>1</v>
      </c>
      <c r="L2" s="1" t="s">
        <v>0</v>
      </c>
      <c r="M2" s="1" t="s">
        <v>1</v>
      </c>
    </row>
    <row r="3" spans="2:13">
      <c r="B3">
        <v>0</v>
      </c>
      <c r="C3">
        <v>0</v>
      </c>
      <c r="F3">
        <v>0</v>
      </c>
      <c r="G3">
        <v>0</v>
      </c>
      <c r="L3">
        <v>0</v>
      </c>
      <c r="M3">
        <v>0</v>
      </c>
    </row>
    <row r="4" spans="2:13">
      <c r="B4">
        <f t="shared" ref="B4:B35" si="0">B3+($B$53-$B$3)/50</f>
        <v>4</v>
      </c>
      <c r="C4">
        <f t="shared" ref="C4:C35" si="1">SQRT(M^2*B4^2*(p0/B4-1))</f>
        <v>33.6</v>
      </c>
      <c r="F4">
        <f>MAX(pcs,p0)+20</f>
        <v>220</v>
      </c>
      <c r="G4">
        <f>M*F4</f>
        <v>264</v>
      </c>
      <c r="L4">
        <f>L3+($L$53-$B$3)/50</f>
        <v>6.6666660000000002</v>
      </c>
      <c r="M4">
        <f>SQRT(M^2*L4^2*($L$53/L4-1))</f>
        <v>55.999994400000006</v>
      </c>
    </row>
    <row r="5" spans="2:13">
      <c r="B5">
        <f t="shared" si="0"/>
        <v>8</v>
      </c>
      <c r="C5">
        <f t="shared" si="1"/>
        <v>47.030203061437021</v>
      </c>
      <c r="L5">
        <f t="shared" ref="L5:L52" si="2">L4+($L$53-$B$3)/50</f>
        <v>13.333332</v>
      </c>
      <c r="M5">
        <f>SQRT(M^2*L5^2*($L$53/L5-1))</f>
        <v>78.383663930694524</v>
      </c>
    </row>
    <row r="6" spans="2:13">
      <c r="B6">
        <f t="shared" si="0"/>
        <v>12</v>
      </c>
      <c r="C6">
        <f t="shared" si="1"/>
        <v>56.996842017782001</v>
      </c>
      <c r="L6">
        <f t="shared" si="2"/>
        <v>19.999998000000001</v>
      </c>
      <c r="M6">
        <f>SQRT(M^2*L6^2*($L$53/L6-1))</f>
        <v>94.994727196829658</v>
      </c>
    </row>
    <row r="7" spans="2:13">
      <c r="B7">
        <f t="shared" si="0"/>
        <v>16</v>
      </c>
      <c r="C7">
        <f t="shared" si="1"/>
        <v>65.110367838002574</v>
      </c>
      <c r="L7">
        <f t="shared" si="2"/>
        <v>26.666664000000001</v>
      </c>
      <c r="M7">
        <f>SQRT(M^2*L7^2*($L$53/L7-1))</f>
        <v>108.51726887827631</v>
      </c>
    </row>
    <row r="8" spans="2:13">
      <c r="B8">
        <f t="shared" si="0"/>
        <v>20</v>
      </c>
      <c r="C8">
        <f t="shared" si="1"/>
        <v>72</v>
      </c>
      <c r="L8">
        <f t="shared" si="2"/>
        <v>33.333330000000004</v>
      </c>
      <c r="M8">
        <f>SQRT(M^2*L8^2*($L$53/L8-1))</f>
        <v>119.999988</v>
      </c>
    </row>
    <row r="9" spans="2:13">
      <c r="B9">
        <f t="shared" si="0"/>
        <v>24</v>
      </c>
      <c r="C9">
        <f t="shared" si="1"/>
        <v>77.990768684505227</v>
      </c>
      <c r="L9">
        <f t="shared" si="2"/>
        <v>39.999996000000003</v>
      </c>
      <c r="M9">
        <f>SQRT(M^2*L9^2*($L$53/L9-1))</f>
        <v>129.9846014757139</v>
      </c>
    </row>
    <row r="10" spans="2:13">
      <c r="B10">
        <f t="shared" si="0"/>
        <v>28</v>
      </c>
      <c r="C10">
        <f t="shared" si="1"/>
        <v>83.276887549907869</v>
      </c>
      <c r="L10">
        <f t="shared" si="2"/>
        <v>46.666662000000002</v>
      </c>
      <c r="M10">
        <f>SQRT(M^2*L10^2*($L$53/L10-1))</f>
        <v>138.79479870369852</v>
      </c>
    </row>
    <row r="11" spans="2:13">
      <c r="B11">
        <f t="shared" si="0"/>
        <v>32</v>
      </c>
      <c r="C11">
        <f t="shared" si="1"/>
        <v>87.98545334315213</v>
      </c>
      <c r="L11">
        <f t="shared" si="2"/>
        <v>53.333328000000002</v>
      </c>
      <c r="M11">
        <f>SQRT(M^2*L11^2*($L$53/L11-1))</f>
        <v>146.64240757434467</v>
      </c>
    </row>
    <row r="12" spans="2:13">
      <c r="B12">
        <f t="shared" si="0"/>
        <v>36</v>
      </c>
      <c r="C12">
        <f t="shared" si="1"/>
        <v>92.204989019033022</v>
      </c>
      <c r="L12">
        <f t="shared" si="2"/>
        <v>59.999994000000001</v>
      </c>
      <c r="M12">
        <f>SQRT(M^2*L12^2*($L$53/L12-1))</f>
        <v>153.67496633089019</v>
      </c>
    </row>
    <row r="13" spans="2:13">
      <c r="B13">
        <f t="shared" si="0"/>
        <v>40</v>
      </c>
      <c r="C13">
        <f t="shared" si="1"/>
        <v>96</v>
      </c>
      <c r="L13">
        <f t="shared" si="2"/>
        <v>66.666660000000007</v>
      </c>
      <c r="M13">
        <f>SQRT(M^2*L13^2*($L$53/L13-1))</f>
        <v>159.99998400000001</v>
      </c>
    </row>
    <row r="14" spans="2:13">
      <c r="B14">
        <f t="shared" si="0"/>
        <v>44</v>
      </c>
      <c r="C14">
        <f t="shared" si="1"/>
        <v>99.419112850598296</v>
      </c>
      <c r="L14">
        <f t="shared" si="2"/>
        <v>73.333326000000014</v>
      </c>
      <c r="M14">
        <f>SQRT(M^2*L14^2*($L$53/L14-1))</f>
        <v>165.69850484781171</v>
      </c>
    </row>
    <row r="15" spans="2:13">
      <c r="B15">
        <f t="shared" si="0"/>
        <v>48</v>
      </c>
      <c r="C15">
        <f t="shared" si="1"/>
        <v>102.49995121950059</v>
      </c>
      <c r="L15">
        <f t="shared" si="2"/>
        <v>79.99999200000002</v>
      </c>
      <c r="M15">
        <f>SQRT(M^2*L15^2*($L$53/L15-1))</f>
        <v>170.83323494917579</v>
      </c>
    </row>
    <row r="16" spans="2:13">
      <c r="B16">
        <f t="shared" si="0"/>
        <v>52</v>
      </c>
      <c r="C16">
        <f t="shared" si="1"/>
        <v>105.27221855741428</v>
      </c>
      <c r="L16">
        <f t="shared" si="2"/>
        <v>86.666658000000027</v>
      </c>
      <c r="M16">
        <f>SQRT(M^2*L16^2*($L$53/L16-1))</f>
        <v>175.45368005032074</v>
      </c>
    </row>
    <row r="17" spans="2:13">
      <c r="B17">
        <f t="shared" si="0"/>
        <v>56</v>
      </c>
      <c r="C17">
        <f t="shared" si="1"/>
        <v>107.75973273908951</v>
      </c>
      <c r="L17">
        <f t="shared" si="2"/>
        <v>93.333324000000033</v>
      </c>
      <c r="M17">
        <f>SQRT(M^2*L17^2*($L$53/L17-1))</f>
        <v>179.59953660519375</v>
      </c>
    </row>
    <row r="18" spans="2:13">
      <c r="B18">
        <f t="shared" si="0"/>
        <v>60</v>
      </c>
      <c r="C18">
        <f t="shared" si="1"/>
        <v>109.98181667894016</v>
      </c>
      <c r="L18">
        <f t="shared" si="2"/>
        <v>99.999990000000039</v>
      </c>
      <c r="M18">
        <f>SQRT(M^2*L18^2*($L$53/L18-1))</f>
        <v>183.30300946793085</v>
      </c>
    </row>
    <row r="19" spans="2:13">
      <c r="B19">
        <f t="shared" si="0"/>
        <v>64</v>
      </c>
      <c r="C19">
        <f t="shared" si="1"/>
        <v>111.95427638102977</v>
      </c>
      <c r="L19">
        <f t="shared" si="2"/>
        <v>106.66665600000005</v>
      </c>
      <c r="M19">
        <f>SQRT(M^2*L19^2*($L$53/L19-1))</f>
        <v>186.59044197600358</v>
      </c>
    </row>
    <row r="20" spans="2:13">
      <c r="B20">
        <f t="shared" si="0"/>
        <v>68</v>
      </c>
      <c r="C20">
        <f t="shared" si="1"/>
        <v>113.6901051103393</v>
      </c>
      <c r="L20">
        <f t="shared" si="2"/>
        <v>113.33332200000005</v>
      </c>
      <c r="M20">
        <f>SQRT(M^2*L20^2*($L$53/L20-1))</f>
        <v>189.48348956888137</v>
      </c>
    </row>
    <row r="21" spans="2:13">
      <c r="B21">
        <f t="shared" si="0"/>
        <v>72</v>
      </c>
      <c r="C21">
        <f t="shared" si="1"/>
        <v>115.2</v>
      </c>
      <c r="L21">
        <f t="shared" si="2"/>
        <v>119.99998800000006</v>
      </c>
      <c r="M21">
        <f>SQRT(M^2*L21^2*($L$53/L21-1))</f>
        <v>191.9999808</v>
      </c>
    </row>
    <row r="22" spans="2:13">
      <c r="B22">
        <f t="shared" si="0"/>
        <v>76</v>
      </c>
      <c r="C22">
        <f t="shared" si="1"/>
        <v>116.49274655531134</v>
      </c>
      <c r="L22">
        <f t="shared" si="2"/>
        <v>126.66665400000007</v>
      </c>
      <c r="M22">
        <f>SQRT(M^2*L22^2*($L$53/L22-1))</f>
        <v>194.15455817672782</v>
      </c>
    </row>
    <row r="23" spans="2:13">
      <c r="B23">
        <f t="shared" si="0"/>
        <v>80</v>
      </c>
      <c r="C23">
        <f t="shared" si="1"/>
        <v>117.57550765359255</v>
      </c>
      <c r="L23">
        <f t="shared" si="2"/>
        <v>133.33332000000007</v>
      </c>
      <c r="M23">
        <f>SQRT(M^2*L23^2*($L$53/L23-1))</f>
        <v>195.95915982673631</v>
      </c>
    </row>
    <row r="24" spans="2:13">
      <c r="B24">
        <f t="shared" si="0"/>
        <v>84</v>
      </c>
      <c r="C24">
        <f t="shared" si="1"/>
        <v>118.45404172082942</v>
      </c>
      <c r="L24">
        <f t="shared" si="2"/>
        <v>139.99998600000006</v>
      </c>
      <c r="M24">
        <f>SQRT(M^2*L24^2*($L$53/L24-1))</f>
        <v>197.4233831257088</v>
      </c>
    </row>
    <row r="25" spans="2:13">
      <c r="B25">
        <f t="shared" si="0"/>
        <v>88</v>
      </c>
      <c r="C25">
        <f t="shared" si="1"/>
        <v>119.13286700151222</v>
      </c>
      <c r="L25">
        <f t="shared" si="2"/>
        <v>146.66665200000006</v>
      </c>
      <c r="M25">
        <f>SQRT(M^2*L25^2*($L$53/L25-1))</f>
        <v>198.55475848037588</v>
      </c>
    </row>
    <row r="26" spans="2:13">
      <c r="B26">
        <f t="shared" si="0"/>
        <v>92</v>
      </c>
      <c r="C26">
        <f t="shared" si="1"/>
        <v>119.61538362602028</v>
      </c>
      <c r="L26">
        <f t="shared" si="2"/>
        <v>153.33331800000005</v>
      </c>
      <c r="M26">
        <f>SQRT(M^2*L26^2*($L$53/L26-1))</f>
        <v>199.35895277413653</v>
      </c>
    </row>
    <row r="27" spans="2:13">
      <c r="B27">
        <f t="shared" si="0"/>
        <v>96</v>
      </c>
      <c r="C27">
        <f t="shared" si="1"/>
        <v>119.90396156924925</v>
      </c>
      <c r="L27">
        <f t="shared" si="2"/>
        <v>159.99998400000004</v>
      </c>
      <c r="M27">
        <f>SQRT(M^2*L27^2*($L$53/L27-1))</f>
        <v>199.83991596475516</v>
      </c>
    </row>
    <row r="28" spans="2:13">
      <c r="B28">
        <f t="shared" si="0"/>
        <v>100</v>
      </c>
      <c r="C28">
        <f t="shared" si="1"/>
        <v>120</v>
      </c>
      <c r="L28">
        <f t="shared" si="2"/>
        <v>166.66665000000003</v>
      </c>
      <c r="M28">
        <f>SQRT(M^2*L28^2*($L$53/L28-1))</f>
        <v>199.99997999999999</v>
      </c>
    </row>
    <row r="29" spans="2:13">
      <c r="B29">
        <f t="shared" si="0"/>
        <v>104</v>
      </c>
      <c r="C29">
        <f t="shared" si="1"/>
        <v>119.90396156924925</v>
      </c>
      <c r="L29">
        <f t="shared" si="2"/>
        <v>173.33331600000002</v>
      </c>
      <c r="M29">
        <f>SQRT(M^2*L29^2*($L$53/L29-1))</f>
        <v>199.83991596475516</v>
      </c>
    </row>
    <row r="30" spans="2:13">
      <c r="B30">
        <f t="shared" si="0"/>
        <v>108</v>
      </c>
      <c r="C30">
        <f t="shared" si="1"/>
        <v>119.61538362602028</v>
      </c>
      <c r="L30">
        <f t="shared" si="2"/>
        <v>179.99998200000002</v>
      </c>
      <c r="M30">
        <f>SQRT(M^2*L30^2*($L$53/L30-1))</f>
        <v>199.35895277413653</v>
      </c>
    </row>
    <row r="31" spans="2:13">
      <c r="B31">
        <f t="shared" si="0"/>
        <v>112</v>
      </c>
      <c r="C31">
        <f t="shared" si="1"/>
        <v>119.13286700151224</v>
      </c>
      <c r="L31">
        <f t="shared" si="2"/>
        <v>186.66664800000001</v>
      </c>
      <c r="M31">
        <f>SQRT(M^2*L31^2*($L$53/L31-1))</f>
        <v>198.55475848037588</v>
      </c>
    </row>
    <row r="32" spans="2:13">
      <c r="B32">
        <f t="shared" si="0"/>
        <v>116</v>
      </c>
      <c r="C32">
        <f t="shared" si="1"/>
        <v>118.45404172082942</v>
      </c>
      <c r="L32">
        <f t="shared" si="2"/>
        <v>193.333314</v>
      </c>
      <c r="M32">
        <f>SQRT(M^2*L32^2*($L$53/L32-1))</f>
        <v>197.4233831257088</v>
      </c>
    </row>
    <row r="33" spans="2:13">
      <c r="B33">
        <f t="shared" si="0"/>
        <v>120</v>
      </c>
      <c r="C33">
        <f t="shared" si="1"/>
        <v>117.57550765359255</v>
      </c>
      <c r="L33">
        <f t="shared" si="2"/>
        <v>199.99997999999999</v>
      </c>
      <c r="M33">
        <f>SQRT(M^2*L33^2*($L$53/L33-1))</f>
        <v>195.95915982673631</v>
      </c>
    </row>
    <row r="34" spans="2:13">
      <c r="B34">
        <f t="shared" si="0"/>
        <v>124</v>
      </c>
      <c r="C34">
        <f t="shared" si="1"/>
        <v>116.49274655531133</v>
      </c>
      <c r="L34">
        <f t="shared" si="2"/>
        <v>206.66664599999999</v>
      </c>
      <c r="M34">
        <f>SQRT(M^2*L34^2*($L$53/L34-1))</f>
        <v>194.15455817672779</v>
      </c>
    </row>
    <row r="35" spans="2:13">
      <c r="B35">
        <f t="shared" si="0"/>
        <v>128</v>
      </c>
      <c r="C35">
        <f t="shared" si="1"/>
        <v>115.2</v>
      </c>
      <c r="L35">
        <f t="shared" si="2"/>
        <v>213.33331199999998</v>
      </c>
      <c r="M35">
        <f>SQRT(M^2*L35^2*($L$53/L35-1))</f>
        <v>191.9999808</v>
      </c>
    </row>
    <row r="36" spans="2:13">
      <c r="B36">
        <f t="shared" ref="B36:B52" si="3">B35+($B$53-$B$3)/50</f>
        <v>132</v>
      </c>
      <c r="C36">
        <f t="shared" ref="C36:C53" si="4">SQRT(M^2*B36^2*(p0/B36-1))</f>
        <v>113.6901051103393</v>
      </c>
      <c r="L36">
        <f t="shared" si="2"/>
        <v>219.99997799999997</v>
      </c>
      <c r="M36">
        <f>SQRT(M^2*L36^2*($L$53/L36-1))</f>
        <v>189.48348956888131</v>
      </c>
    </row>
    <row r="37" spans="2:13">
      <c r="B37">
        <f t="shared" si="3"/>
        <v>136</v>
      </c>
      <c r="C37">
        <f t="shared" si="4"/>
        <v>111.95427638102977</v>
      </c>
      <c r="L37">
        <f t="shared" si="2"/>
        <v>226.66664399999996</v>
      </c>
      <c r="M37">
        <f>SQRT(M^2*L37^2*($L$53/L37-1))</f>
        <v>186.5904419760036</v>
      </c>
    </row>
    <row r="38" spans="2:13">
      <c r="B38">
        <f t="shared" si="3"/>
        <v>140</v>
      </c>
      <c r="C38">
        <f t="shared" si="4"/>
        <v>109.98181667894016</v>
      </c>
      <c r="L38">
        <f t="shared" si="2"/>
        <v>233.33330999999995</v>
      </c>
      <c r="M38">
        <f>SQRT(M^2*L38^2*($L$53/L38-1))</f>
        <v>183.30300946793082</v>
      </c>
    </row>
    <row r="39" spans="2:13">
      <c r="B39">
        <f t="shared" si="3"/>
        <v>144</v>
      </c>
      <c r="C39">
        <f t="shared" si="4"/>
        <v>107.7597327390895</v>
      </c>
      <c r="L39">
        <f t="shared" si="2"/>
        <v>239.99997599999995</v>
      </c>
      <c r="M39">
        <f>SQRT(M^2*L39^2*($L$53/L39-1))</f>
        <v>179.59953660519378</v>
      </c>
    </row>
    <row r="40" spans="2:13">
      <c r="B40">
        <f t="shared" si="3"/>
        <v>148</v>
      </c>
      <c r="C40">
        <f t="shared" si="4"/>
        <v>105.27221855741428</v>
      </c>
      <c r="L40">
        <f t="shared" si="2"/>
        <v>246.66664199999994</v>
      </c>
      <c r="M40">
        <f>SQRT(M^2*L40^2*($L$53/L40-1))</f>
        <v>175.45368005032077</v>
      </c>
    </row>
    <row r="41" spans="2:13">
      <c r="B41">
        <f t="shared" si="3"/>
        <v>152</v>
      </c>
      <c r="C41">
        <f t="shared" si="4"/>
        <v>102.4999512195006</v>
      </c>
      <c r="L41">
        <f t="shared" si="2"/>
        <v>253.33330799999993</v>
      </c>
      <c r="M41">
        <f>SQRT(M^2*L41^2*($L$53/L41-1))</f>
        <v>170.83323494917582</v>
      </c>
    </row>
    <row r="42" spans="2:13">
      <c r="B42">
        <f t="shared" si="3"/>
        <v>156</v>
      </c>
      <c r="C42">
        <f t="shared" si="4"/>
        <v>99.419112850598324</v>
      </c>
      <c r="L42">
        <f t="shared" si="2"/>
        <v>259.99997399999995</v>
      </c>
      <c r="M42">
        <f>SQRT(M^2*L42^2*($L$53/L42-1))</f>
        <v>165.69850484781176</v>
      </c>
    </row>
    <row r="43" spans="2:13">
      <c r="B43">
        <f t="shared" si="3"/>
        <v>160</v>
      </c>
      <c r="C43">
        <f t="shared" si="4"/>
        <v>96</v>
      </c>
      <c r="L43">
        <f t="shared" si="2"/>
        <v>266.66663999999997</v>
      </c>
      <c r="M43">
        <f>SQRT(M^2*L43^2*($L$53/L43-1))</f>
        <v>159.99998400000004</v>
      </c>
    </row>
    <row r="44" spans="2:13">
      <c r="B44">
        <f t="shared" si="3"/>
        <v>164</v>
      </c>
      <c r="C44">
        <f t="shared" si="4"/>
        <v>92.204989019033007</v>
      </c>
      <c r="L44">
        <f t="shared" si="2"/>
        <v>273.33330599999999</v>
      </c>
      <c r="M44">
        <f>SQRT(M^2*L44^2*($L$53/L44-1))</f>
        <v>153.67496633089019</v>
      </c>
    </row>
    <row r="45" spans="2:13">
      <c r="B45">
        <f t="shared" si="3"/>
        <v>168</v>
      </c>
      <c r="C45">
        <f t="shared" si="4"/>
        <v>87.985453343152116</v>
      </c>
      <c r="L45">
        <f t="shared" si="2"/>
        <v>279.99997200000001</v>
      </c>
      <c r="M45">
        <f>SQRT(M^2*L45^2*($L$53/L45-1))</f>
        <v>146.64240757434465</v>
      </c>
    </row>
    <row r="46" spans="2:13">
      <c r="B46">
        <f t="shared" si="3"/>
        <v>172</v>
      </c>
      <c r="C46">
        <f t="shared" si="4"/>
        <v>83.276887549907883</v>
      </c>
      <c r="L46">
        <f t="shared" si="2"/>
        <v>286.66663800000003</v>
      </c>
      <c r="M46">
        <f>SQRT(M^2*L46^2*($L$53/L46-1))</f>
        <v>138.79479870369846</v>
      </c>
    </row>
    <row r="47" spans="2:13">
      <c r="B47">
        <f t="shared" si="3"/>
        <v>176</v>
      </c>
      <c r="C47">
        <f t="shared" si="4"/>
        <v>77.990768684505241</v>
      </c>
      <c r="L47">
        <f t="shared" si="2"/>
        <v>293.33330400000006</v>
      </c>
      <c r="M47">
        <f>SQRT(M^2*L47^2*($L$53/L47-1))</f>
        <v>129.98460147571387</v>
      </c>
    </row>
    <row r="48" spans="2:13">
      <c r="B48">
        <f t="shared" si="3"/>
        <v>180</v>
      </c>
      <c r="C48">
        <f t="shared" si="4"/>
        <v>72.000000000000014</v>
      </c>
      <c r="L48">
        <f t="shared" si="2"/>
        <v>299.99997000000008</v>
      </c>
      <c r="M48">
        <f>SQRT(M^2*L48^2*($L$53/L48-1))</f>
        <v>119.99998799999995</v>
      </c>
    </row>
    <row r="49" spans="2:13">
      <c r="B49">
        <f t="shared" si="3"/>
        <v>184</v>
      </c>
      <c r="C49">
        <f t="shared" si="4"/>
        <v>65.110367838002546</v>
      </c>
      <c r="L49">
        <f t="shared" si="2"/>
        <v>306.6666360000001</v>
      </c>
      <c r="M49">
        <f>SQRT(M^2*L49^2*($L$53/L49-1))</f>
        <v>108.51726887827618</v>
      </c>
    </row>
    <row r="50" spans="2:13">
      <c r="B50">
        <f t="shared" si="3"/>
        <v>188</v>
      </c>
      <c r="C50">
        <f t="shared" si="4"/>
        <v>56.996842017781994</v>
      </c>
      <c r="L50">
        <f t="shared" si="2"/>
        <v>313.33330200000012</v>
      </c>
      <c r="M50">
        <f>SQRT(M^2*L50^2*($L$53/L50-1))</f>
        <v>94.994727196829359</v>
      </c>
    </row>
    <row r="51" spans="2:13">
      <c r="B51">
        <f t="shared" si="3"/>
        <v>192</v>
      </c>
      <c r="C51">
        <f t="shared" si="4"/>
        <v>47.030203061437057</v>
      </c>
      <c r="L51">
        <f t="shared" si="2"/>
        <v>319.99996800000014</v>
      </c>
      <c r="M51">
        <f>SQRT(M^2*L51^2*($L$53/L51-1))</f>
        <v>78.383663930694212</v>
      </c>
    </row>
    <row r="52" spans="2:13">
      <c r="B52">
        <f t="shared" si="3"/>
        <v>196</v>
      </c>
      <c r="C52">
        <f t="shared" si="4"/>
        <v>33.600000000000016</v>
      </c>
      <c r="L52">
        <f t="shared" si="2"/>
        <v>326.66663400000016</v>
      </c>
      <c r="M52">
        <f>SQRT(M^2*L52^2*($L$53/L52-1))</f>
        <v>55.999994399999444</v>
      </c>
    </row>
    <row r="53" spans="2:13">
      <c r="B53">
        <f>p0</f>
        <v>200</v>
      </c>
      <c r="C53">
        <f t="shared" si="4"/>
        <v>0</v>
      </c>
      <c r="L53">
        <v>333.33330000000001</v>
      </c>
      <c r="M53">
        <f>SQRT(M^2*L53^2*($L$53/L53-1))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F76"/>
  <sheetViews>
    <sheetView topLeftCell="A22" workbookViewId="0">
      <selection activeCell="E25" sqref="E25:E59"/>
    </sheetView>
  </sheetViews>
  <sheetFormatPr defaultRowHeight="15"/>
  <cols>
    <col min="1" max="1" width="3.42578125" style="12" customWidth="1"/>
    <col min="2" max="18" width="12" style="12" customWidth="1"/>
    <col min="19" max="16384" width="9.140625" style="12"/>
  </cols>
  <sheetData>
    <row r="1" spans="1:13" s="6" customFormat="1" ht="15.75">
      <c r="A1" s="10"/>
      <c r="B1" s="10" t="s">
        <v>11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s="6" customFormat="1" ht="15.7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5.75">
      <c r="A3" s="11"/>
      <c r="B3" s="10" t="s">
        <v>2</v>
      </c>
      <c r="C3" s="11"/>
      <c r="D3" s="11"/>
      <c r="E3" s="11"/>
      <c r="F3" s="10" t="s">
        <v>13</v>
      </c>
      <c r="G3" s="10"/>
      <c r="H3" s="11"/>
      <c r="I3" s="11"/>
      <c r="J3" s="11"/>
      <c r="K3" s="11"/>
      <c r="L3" s="11"/>
      <c r="M3" s="11"/>
    </row>
    <row r="4" spans="1:13" ht="15.75">
      <c r="B4" s="13" t="s">
        <v>4</v>
      </c>
      <c r="C4" s="14">
        <v>1.2</v>
      </c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15.75">
      <c r="B5" s="13" t="s">
        <v>3</v>
      </c>
      <c r="C5" s="14">
        <f>C6-(C9-C8)*LN(2)</f>
        <v>1.7475895193733553</v>
      </c>
      <c r="D5" s="11"/>
      <c r="E5" s="11"/>
      <c r="F5" s="10" t="s">
        <v>9</v>
      </c>
      <c r="G5" s="11"/>
      <c r="H5" s="11"/>
      <c r="I5" s="11"/>
      <c r="J5" s="11"/>
      <c r="K5" s="11"/>
      <c r="L5" s="11"/>
      <c r="M5" s="11"/>
    </row>
    <row r="6" spans="1:13" ht="18.75">
      <c r="B6" s="13" t="s">
        <v>8</v>
      </c>
      <c r="C6" s="14">
        <v>1.788</v>
      </c>
      <c r="D6" s="11"/>
      <c r="E6" s="11"/>
      <c r="F6" s="15" t="s">
        <v>35</v>
      </c>
      <c r="G6" s="14">
        <v>100</v>
      </c>
      <c r="H6" s="11" t="s">
        <v>10</v>
      </c>
      <c r="I6" s="11"/>
      <c r="J6" s="11"/>
      <c r="K6" s="11"/>
      <c r="L6" s="11"/>
      <c r="M6" s="11"/>
    </row>
    <row r="7" spans="1:13" ht="18.75">
      <c r="B7" s="13"/>
      <c r="C7" s="14"/>
      <c r="D7" s="11"/>
      <c r="E7" s="11"/>
      <c r="F7" s="15" t="s">
        <v>36</v>
      </c>
      <c r="G7" s="14">
        <v>0</v>
      </c>
      <c r="H7" s="11" t="s">
        <v>10</v>
      </c>
      <c r="I7" s="11"/>
      <c r="J7" s="11"/>
      <c r="K7" s="11"/>
      <c r="L7" s="11"/>
      <c r="M7" s="11"/>
    </row>
    <row r="8" spans="1:13" ht="18.75">
      <c r="B8" s="13" t="s">
        <v>5</v>
      </c>
      <c r="C8" s="14">
        <v>7.7000000000000002E-3</v>
      </c>
      <c r="D8" s="11"/>
      <c r="E8" s="11"/>
      <c r="F8" s="15" t="s">
        <v>37</v>
      </c>
      <c r="G8" s="11">
        <f>N-l*LN(p0)-k*LN(pinit/p0)</f>
        <v>1.4436482870981413</v>
      </c>
      <c r="H8" s="11"/>
      <c r="I8" s="11"/>
      <c r="J8" s="11"/>
      <c r="K8" s="11"/>
      <c r="L8" s="11"/>
      <c r="M8" s="11"/>
    </row>
    <row r="9" spans="1:13" ht="15.75">
      <c r="B9" s="13" t="s">
        <v>6</v>
      </c>
      <c r="C9" s="14">
        <v>6.6000000000000003E-2</v>
      </c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ht="18.75">
      <c r="B10" s="6" t="s">
        <v>3</v>
      </c>
      <c r="C10" s="14">
        <v>20000</v>
      </c>
      <c r="D10" s="11" t="s">
        <v>10</v>
      </c>
      <c r="E10" s="11"/>
      <c r="F10" s="15" t="s">
        <v>38</v>
      </c>
      <c r="G10" s="11">
        <f>G6-1/3*G7</f>
        <v>100</v>
      </c>
      <c r="H10" s="11" t="s">
        <v>10</v>
      </c>
      <c r="I10" s="11"/>
      <c r="J10" s="11"/>
      <c r="K10" s="11"/>
      <c r="L10" s="11"/>
      <c r="M10" s="11"/>
    </row>
    <row r="11" spans="1:13" ht="15.75">
      <c r="B11" s="13" t="s">
        <v>7</v>
      </c>
      <c r="C11" s="14">
        <v>0.3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 ht="18.75">
      <c r="B12" s="6" t="s">
        <v>39</v>
      </c>
      <c r="C12" s="14">
        <v>200</v>
      </c>
      <c r="D12" s="11" t="s">
        <v>10</v>
      </c>
      <c r="E12" s="11"/>
      <c r="F12" s="10" t="s">
        <v>14</v>
      </c>
      <c r="G12" s="11"/>
      <c r="H12" s="11"/>
      <c r="I12" s="11"/>
      <c r="J12" s="11"/>
      <c r="K12" s="11"/>
      <c r="L12" s="11"/>
      <c r="M12" s="11"/>
    </row>
    <row r="13" spans="1:13" ht="18.75">
      <c r="B13" s="6"/>
      <c r="C13" s="11"/>
      <c r="D13" s="11"/>
      <c r="E13" s="11"/>
      <c r="F13" s="15" t="s">
        <v>40</v>
      </c>
      <c r="G13" s="15" t="s">
        <v>41</v>
      </c>
      <c r="H13" s="15" t="s">
        <v>42</v>
      </c>
      <c r="I13" s="11"/>
      <c r="J13" s="11"/>
      <c r="K13" s="11"/>
      <c r="L13" s="11"/>
      <c r="M13" s="11"/>
    </row>
    <row r="14" spans="1:13" ht="18.75">
      <c r="B14" s="6" t="s">
        <v>43</v>
      </c>
      <c r="C14" s="11">
        <f>M/SQRT(3)</f>
        <v>0.69282032302755092</v>
      </c>
      <c r="D14" s="11"/>
      <c r="E14" s="11"/>
      <c r="F14" s="11">
        <f>(M^2*p0+18*ph+M*SQRT(M^2*p0^2+36*(p0-ph)*ph))/(2*(9+M^2))</f>
        <v>137.13906763541036</v>
      </c>
      <c r="G14" s="11">
        <f>3*(F14-ph)</f>
        <v>111.41720290623107</v>
      </c>
      <c r="H14" s="11">
        <f>N-l*LN(p0)-k*LN(py/p0)</f>
        <v>1.441216432155612</v>
      </c>
      <c r="I14" s="11"/>
      <c r="J14" s="11"/>
      <c r="K14" s="11"/>
      <c r="L14" s="11"/>
      <c r="M14" s="11"/>
    </row>
    <row r="15" spans="1:13" ht="15.75">
      <c r="B15" s="6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13" ht="15.75">
      <c r="B16" s="6"/>
      <c r="C16" s="11"/>
      <c r="D16" s="11"/>
      <c r="E16" s="11"/>
      <c r="F16" s="10" t="s">
        <v>15</v>
      </c>
      <c r="G16" s="11"/>
      <c r="H16" s="11"/>
      <c r="I16" s="11"/>
      <c r="J16" s="11"/>
      <c r="K16" s="11"/>
      <c r="L16" s="11"/>
      <c r="M16" s="11"/>
    </row>
    <row r="17" spans="1:32" ht="18.75">
      <c r="B17" s="6"/>
      <c r="C17" s="11"/>
      <c r="D17" s="11"/>
      <c r="E17" s="11"/>
      <c r="F17" s="15" t="s">
        <v>44</v>
      </c>
      <c r="G17" s="15" t="s">
        <v>45</v>
      </c>
      <c r="H17" s="11"/>
      <c r="I17" s="11"/>
      <c r="J17" s="11"/>
      <c r="K17" s="11"/>
      <c r="L17" s="11"/>
      <c r="M17" s="11"/>
    </row>
    <row r="18" spans="1:32" ht="15.75">
      <c r="B18" s="6"/>
      <c r="C18" s="11"/>
      <c r="D18" s="11"/>
      <c r="E18" s="11"/>
      <c r="F18" s="11">
        <f>3*ph/(3-C4)</f>
        <v>166.66666666666666</v>
      </c>
      <c r="G18" s="11">
        <f>C4*F18</f>
        <v>199.99999999999997</v>
      </c>
      <c r="H18" s="11"/>
      <c r="I18" s="11"/>
      <c r="J18" s="11"/>
      <c r="K18" s="11"/>
      <c r="L18" s="11"/>
      <c r="M18" s="11"/>
    </row>
    <row r="19" spans="1:32" ht="15.75">
      <c r="B19" s="6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32" ht="15.75">
      <c r="B20" s="6"/>
      <c r="C20" s="11"/>
      <c r="D20" s="11"/>
      <c r="E20" s="11"/>
      <c r="F20" s="10" t="s">
        <v>17</v>
      </c>
      <c r="G20" s="10"/>
      <c r="H20" s="11"/>
      <c r="I20" s="11"/>
      <c r="J20" s="11"/>
      <c r="K20" s="11"/>
      <c r="L20" s="11"/>
      <c r="M20" s="11"/>
    </row>
    <row r="21" spans="1:32" ht="15.75">
      <c r="B21" s="6"/>
      <c r="C21" s="11"/>
      <c r="D21" s="11"/>
      <c r="E21" s="11"/>
      <c r="F21" s="10" t="s">
        <v>18</v>
      </c>
      <c r="G21" s="10" t="s">
        <v>19</v>
      </c>
      <c r="H21" s="11"/>
      <c r="I21" s="11"/>
      <c r="J21" s="11"/>
      <c r="K21" s="10"/>
      <c r="L21" s="10"/>
      <c r="M21" s="10"/>
      <c r="AE21" s="16"/>
      <c r="AF21" s="16"/>
    </row>
    <row r="22" spans="1:32" ht="15.75">
      <c r="B22" s="6"/>
      <c r="C22" s="11"/>
      <c r="D22" s="11"/>
      <c r="E22" s="11"/>
      <c r="F22" s="17">
        <f>k/vy*LN(1+(qy-qinit)/3/pinit)</f>
        <v>1.6873627640311142E-3</v>
      </c>
      <c r="G22" s="17">
        <f>(qy-qinit)/3/G</f>
        <v>1.8569533817705177E-3</v>
      </c>
      <c r="H22" s="11"/>
      <c r="I22" s="11"/>
      <c r="J22" s="11"/>
      <c r="K22" s="11"/>
      <c r="L22" s="11"/>
      <c r="M22" s="11"/>
    </row>
    <row r="23" spans="1:32" ht="15.75">
      <c r="C23" s="11"/>
      <c r="D23" s="11"/>
      <c r="E23" s="11"/>
      <c r="F23" s="11"/>
      <c r="G23" s="11"/>
      <c r="H23" s="11"/>
      <c r="I23" s="23" t="s">
        <v>24</v>
      </c>
      <c r="J23" s="24"/>
      <c r="K23" s="24"/>
      <c r="L23" s="24"/>
      <c r="M23" s="25"/>
      <c r="N23" s="23" t="s">
        <v>27</v>
      </c>
      <c r="O23" s="24"/>
      <c r="P23" s="24"/>
      <c r="Q23" s="24"/>
      <c r="R23" s="26"/>
    </row>
    <row r="24" spans="1:32" s="16" customFormat="1" ht="31.5">
      <c r="A24" s="18"/>
      <c r="B24" s="19" t="s">
        <v>46</v>
      </c>
      <c r="C24" s="19" t="s">
        <v>47</v>
      </c>
      <c r="D24" s="18" t="s">
        <v>0</v>
      </c>
      <c r="E24" s="18" t="s">
        <v>1</v>
      </c>
      <c r="F24" s="18" t="s">
        <v>48</v>
      </c>
      <c r="G24" s="18" t="s">
        <v>16</v>
      </c>
      <c r="H24" s="7" t="s">
        <v>29</v>
      </c>
      <c r="I24" s="8" t="s">
        <v>25</v>
      </c>
      <c r="J24" s="8" t="s">
        <v>26</v>
      </c>
      <c r="K24" s="8" t="s">
        <v>30</v>
      </c>
      <c r="L24" s="8" t="s">
        <v>31</v>
      </c>
      <c r="M24" s="8" t="s">
        <v>25</v>
      </c>
      <c r="N24" s="8" t="s">
        <v>26</v>
      </c>
      <c r="O24" s="8" t="s">
        <v>28</v>
      </c>
      <c r="P24" s="8" t="s">
        <v>32</v>
      </c>
      <c r="Q24" s="8" t="s">
        <v>33</v>
      </c>
      <c r="R24" s="9" t="s">
        <v>34</v>
      </c>
    </row>
    <row r="25" spans="1:32" s="11" customFormat="1" ht="15.75">
      <c r="A25" s="20">
        <v>1</v>
      </c>
      <c r="B25" s="20">
        <f t="shared" ref="B25:B60" si="0">D25+2*E25/3</f>
        <v>100</v>
      </c>
      <c r="C25" s="20">
        <f t="shared" ref="C25:C60" si="1">D25-E25/3</f>
        <v>100</v>
      </c>
      <c r="D25" s="20">
        <f>pinit</f>
        <v>100</v>
      </c>
      <c r="E25" s="28">
        <f>qinit</f>
        <v>0</v>
      </c>
      <c r="F25" s="20">
        <f t="shared" ref="F25:F60" si="2">D25*(E25^2/M^2/D25^2+1)</f>
        <v>100</v>
      </c>
      <c r="G25" s="20">
        <f>N-l*LN(p0/1)-k*LN(F25/p0)</f>
        <v>1.4436482870981413</v>
      </c>
      <c r="H25" s="20">
        <f t="shared" ref="H25:H60" si="3">E25/D25</f>
        <v>0</v>
      </c>
      <c r="I25" s="20"/>
      <c r="J25" s="20"/>
      <c r="K25" s="20">
        <v>0</v>
      </c>
      <c r="L25" s="20">
        <f>IF($F25&gt;p0,(#REF!-#REF!),0)</f>
        <v>0</v>
      </c>
      <c r="M25" s="20"/>
      <c r="N25" s="20"/>
      <c r="O25" s="20"/>
      <c r="P25" s="20">
        <v>0</v>
      </c>
      <c r="Q25" s="20">
        <f>0</f>
        <v>0</v>
      </c>
      <c r="R25" s="20">
        <f>L25/3+Q25</f>
        <v>0</v>
      </c>
    </row>
    <row r="26" spans="1:32" s="11" customFormat="1" ht="15.75">
      <c r="A26" s="20">
        <v>2</v>
      </c>
      <c r="B26" s="20">
        <f t="shared" si="0"/>
        <v>127.85430072655777</v>
      </c>
      <c r="C26" s="20">
        <f t="shared" si="1"/>
        <v>100</v>
      </c>
      <c r="D26" s="20">
        <f>D25+($D$29-$D$25)/4</f>
        <v>109.28476690885259</v>
      </c>
      <c r="E26" s="28">
        <f t="shared" ref="E26:E60" si="4">3*(D26-ph)</f>
        <v>27.854300726557767</v>
      </c>
      <c r="F26" s="20">
        <f t="shared" si="2"/>
        <v>114.21494262032799</v>
      </c>
      <c r="G26" s="20">
        <f>N-l*LN(p0/1)-k*LN(F26/p0)</f>
        <v>1.442624865092869</v>
      </c>
      <c r="H26" s="20">
        <f t="shared" si="3"/>
        <v>0.25487816385049578</v>
      </c>
      <c r="I26" s="20"/>
      <c r="J26" s="20"/>
      <c r="K26" s="20">
        <f>k/G25*LN(D26/D25)</f>
        <v>4.7356312242387473E-4</v>
      </c>
      <c r="L26" s="20">
        <f>L25+K26</f>
        <v>4.7356312242387473E-4</v>
      </c>
      <c r="M26" s="20"/>
      <c r="N26" s="20"/>
      <c r="O26" s="20"/>
      <c r="P26" s="20">
        <f>+(E26-E25)/3/G</f>
        <v>4.6423834544262943E-4</v>
      </c>
      <c r="Q26" s="20">
        <f>Q25+P26</f>
        <v>4.6423834544262943E-4</v>
      </c>
      <c r="R26" s="20">
        <f t="shared" ref="R26:R59" si="5">L26/3+Q26</f>
        <v>6.2209271958392097E-4</v>
      </c>
    </row>
    <row r="27" spans="1:32" s="11" customFormat="1" ht="15.75">
      <c r="A27" s="20">
        <v>3</v>
      </c>
      <c r="B27" s="20">
        <f t="shared" si="0"/>
        <v>155.70860145311553</v>
      </c>
      <c r="C27" s="20">
        <f t="shared" si="1"/>
        <v>100</v>
      </c>
      <c r="D27" s="20">
        <f>D26+($D$29-$D$25)/4</f>
        <v>118.56953381770518</v>
      </c>
      <c r="E27" s="28">
        <f t="shared" si="4"/>
        <v>55.708601453115534</v>
      </c>
      <c r="F27" s="20">
        <f t="shared" si="2"/>
        <v>136.7459771619674</v>
      </c>
      <c r="G27" s="20">
        <f>N-l*LN(p0/1)-k*LN(F27/p0)</f>
        <v>1.4412385348500185</v>
      </c>
      <c r="H27" s="20">
        <f t="shared" si="3"/>
        <v>0.46983908647869671</v>
      </c>
      <c r="I27" s="20"/>
      <c r="J27" s="20"/>
      <c r="K27" s="20">
        <f>k/G26*LN(D27/D26)</f>
        <v>4.3523281422151733E-4</v>
      </c>
      <c r="L27" s="20">
        <f t="shared" ref="L27:L59" si="6">L26+K27</f>
        <v>9.0879593664539211E-4</v>
      </c>
      <c r="M27" s="20"/>
      <c r="N27" s="20"/>
      <c r="O27" s="20"/>
      <c r="P27" s="20">
        <f>+(E27-E26)/3/G</f>
        <v>4.6423834544262943E-4</v>
      </c>
      <c r="Q27" s="20">
        <f t="shared" ref="Q27:Q59" si="7">Q26+P27</f>
        <v>9.2847669088525885E-4</v>
      </c>
      <c r="R27" s="20">
        <f t="shared" si="5"/>
        <v>1.2314086697670563E-3</v>
      </c>
    </row>
    <row r="28" spans="1:32" s="11" customFormat="1" ht="15.75">
      <c r="A28" s="20">
        <v>4</v>
      </c>
      <c r="B28" s="20">
        <f t="shared" si="0"/>
        <v>183.5629021796733</v>
      </c>
      <c r="C28" s="20">
        <f t="shared" si="1"/>
        <v>100</v>
      </c>
      <c r="D28" s="20">
        <f>D27+($D$29-$D$25)/4</f>
        <v>127.85430072655777</v>
      </c>
      <c r="E28" s="28">
        <f t="shared" si="4"/>
        <v>83.562902179673301</v>
      </c>
      <c r="F28" s="20">
        <f t="shared" si="2"/>
        <v>165.78136226049349</v>
      </c>
      <c r="G28" s="20">
        <f>N-l*LN(p0/1)-k*LN(F28/p0)</f>
        <v>1.439755939874604</v>
      </c>
      <c r="H28" s="20">
        <f t="shared" si="3"/>
        <v>0.65357912643384153</v>
      </c>
      <c r="I28" s="20"/>
      <c r="J28" s="20"/>
      <c r="K28" s="20">
        <f>k/G27*LN(D28/D27)</f>
        <v>4.0279010141211697E-4</v>
      </c>
      <c r="L28" s="20">
        <f t="shared" si="6"/>
        <v>1.311586038057509E-3</v>
      </c>
      <c r="M28" s="20"/>
      <c r="N28" s="20"/>
      <c r="O28" s="20"/>
      <c r="P28" s="20">
        <f>+(E28-E27)/3/G</f>
        <v>4.6423834544262943E-4</v>
      </c>
      <c r="Q28" s="20">
        <f t="shared" si="7"/>
        <v>1.3927150363278883E-3</v>
      </c>
      <c r="R28" s="20">
        <f t="shared" si="5"/>
        <v>1.829910382347058E-3</v>
      </c>
    </row>
    <row r="29" spans="1:32" s="11" customFormat="1" ht="15.75">
      <c r="A29" s="20">
        <v>5</v>
      </c>
      <c r="B29" s="20">
        <f t="shared" si="0"/>
        <v>211.41720290623107</v>
      </c>
      <c r="C29" s="20">
        <f t="shared" si="1"/>
        <v>100</v>
      </c>
      <c r="D29" s="20">
        <f>py</f>
        <v>137.13906763541036</v>
      </c>
      <c r="E29" s="28">
        <f t="shared" si="4"/>
        <v>111.41720290623107</v>
      </c>
      <c r="F29" s="20">
        <f t="shared" si="2"/>
        <v>199.99999999999994</v>
      </c>
      <c r="G29" s="20">
        <f t="shared" ref="G29:G60" si="8">N-l*LN(F29/1)</f>
        <v>1.4383110538078296</v>
      </c>
      <c r="H29" s="20">
        <f t="shared" si="3"/>
        <v>0.81243955371228072</v>
      </c>
      <c r="I29" s="20"/>
      <c r="J29" s="20"/>
      <c r="K29" s="20">
        <f>k/G28*LN(D29/D28)</f>
        <v>3.7492608403094955E-4</v>
      </c>
      <c r="L29" s="20">
        <f t="shared" si="6"/>
        <v>1.6865121220884585E-3</v>
      </c>
      <c r="M29" s="20"/>
      <c r="N29" s="20"/>
      <c r="O29" s="20"/>
      <c r="P29" s="20">
        <f>+(E29-E28)/3/G</f>
        <v>4.6423834544262943E-4</v>
      </c>
      <c r="Q29" s="20">
        <f t="shared" si="7"/>
        <v>1.8569533817705177E-3</v>
      </c>
      <c r="R29" s="20">
        <f t="shared" si="5"/>
        <v>2.4191240891333374E-3</v>
      </c>
    </row>
    <row r="30" spans="1:32" s="11" customFormat="1" ht="15.75">
      <c r="A30" s="20">
        <v>6</v>
      </c>
      <c r="B30" s="20">
        <f t="shared" si="0"/>
        <v>214.27471248990099</v>
      </c>
      <c r="C30" s="20">
        <f t="shared" si="1"/>
        <v>100</v>
      </c>
      <c r="D30" s="20">
        <f t="shared" ref="D30:D40" si="9">D29+($D$60-$D$29)/31</f>
        <v>138.091570829967</v>
      </c>
      <c r="E30" s="28">
        <f t="shared" si="4"/>
        <v>114.27471248990099</v>
      </c>
      <c r="F30" s="20">
        <f t="shared" si="2"/>
        <v>203.76211463894515</v>
      </c>
      <c r="G30" s="20">
        <f t="shared" si="8"/>
        <v>1.4370810882255329</v>
      </c>
      <c r="H30" s="20">
        <f t="shared" si="3"/>
        <v>0.82752851461591492</v>
      </c>
      <c r="I30" s="20">
        <f t="shared" ref="I30:I59" si="10">((3-H29)/(3-H30))^(l)</f>
        <v>1.0004569245884913</v>
      </c>
      <c r="J30" s="20">
        <f t="shared" ref="J30:J59" si="11">( (M^2+H30^2)/(M^2+H29^2))^(-k+l)</f>
        <v>1.0006831783210601</v>
      </c>
      <c r="K30" s="20">
        <f>+LN(I30*J30)/G28</f>
        <v>7.9163784614956251E-4</v>
      </c>
      <c r="L30" s="20">
        <f t="shared" si="6"/>
        <v>2.4781499682380208E-3</v>
      </c>
      <c r="M30" s="20">
        <f t="shared" ref="M30:M59" si="12">( (M-H30)/(M-H29) )^ ( (l-k)*3/M/(M-3))</f>
        <v>1.003220690881476</v>
      </c>
      <c r="N30" s="20">
        <f t="shared" ref="N30:N59" si="13">( (M+H30)/(M+H29) )^ ( (l-k)*3/M/(M+3))</f>
        <v>1.0002592560975696</v>
      </c>
      <c r="O30" s="20">
        <f t="shared" ref="O30:O59" si="14">( (3-H30)/(3-H29) ) ^ ( 2*(l-k)*3/(3^2-M^2))</f>
        <v>0.99967979370816229</v>
      </c>
      <c r="P30" s="20">
        <f t="shared" ref="P30:P59" si="15">+LN(M30*N30*O30)/G29-(ATAN(H30/M)-ATAN(H29/M))*2*(l-k)/M/G29+(E30-E29)/3/G</f>
        <v>1.6617332336421411E-3</v>
      </c>
      <c r="Q30" s="20">
        <f t="shared" si="7"/>
        <v>3.5186866154126588E-3</v>
      </c>
      <c r="R30" s="20">
        <f t="shared" si="5"/>
        <v>4.3447366048253323E-3</v>
      </c>
    </row>
    <row r="31" spans="1:32" s="11" customFormat="1" ht="15.75">
      <c r="A31" s="20">
        <v>7</v>
      </c>
      <c r="B31" s="20">
        <f t="shared" si="0"/>
        <v>217.13222207357092</v>
      </c>
      <c r="C31" s="20">
        <f t="shared" si="1"/>
        <v>100</v>
      </c>
      <c r="D31" s="20">
        <f t="shared" si="9"/>
        <v>139.04407402452364</v>
      </c>
      <c r="E31" s="28">
        <f t="shared" si="4"/>
        <v>117.13222207357092</v>
      </c>
      <c r="F31" s="20">
        <f t="shared" si="2"/>
        <v>207.56729800616969</v>
      </c>
      <c r="G31" s="20">
        <f t="shared" si="8"/>
        <v>1.4358599294213219</v>
      </c>
      <c r="H31" s="20">
        <f t="shared" si="3"/>
        <v>0.84241074562380802</v>
      </c>
      <c r="I31" s="20">
        <f t="shared" si="10"/>
        <v>1.0004537829911428</v>
      </c>
      <c r="J31" s="20">
        <f t="shared" si="11"/>
        <v>1.0006781694078917</v>
      </c>
      <c r="K31" s="20">
        <f t="shared" ref="K31:K59" si="16">+LN(I31*J31)/G29</f>
        <v>7.8676974268858499E-4</v>
      </c>
      <c r="L31" s="20">
        <f t="shared" si="6"/>
        <v>3.2649197109266056E-3</v>
      </c>
      <c r="M31" s="20">
        <f t="shared" si="12"/>
        <v>1.0033071387574268</v>
      </c>
      <c r="N31" s="20">
        <f t="shared" si="13"/>
        <v>1.0002538203441251</v>
      </c>
      <c r="O31" s="20">
        <f t="shared" si="14"/>
        <v>0.99968199444582118</v>
      </c>
      <c r="P31" s="20">
        <f t="shared" si="15"/>
        <v>1.7353983940795606E-3</v>
      </c>
      <c r="Q31" s="20">
        <f t="shared" si="7"/>
        <v>5.2540850094922199E-3</v>
      </c>
      <c r="R31" s="20">
        <f t="shared" si="5"/>
        <v>6.3423915798010884E-3</v>
      </c>
    </row>
    <row r="32" spans="1:32" s="11" customFormat="1" ht="15.75">
      <c r="A32" s="20">
        <v>8</v>
      </c>
      <c r="B32" s="20">
        <f t="shared" si="0"/>
        <v>219.98973165724084</v>
      </c>
      <c r="C32" s="20">
        <f t="shared" si="1"/>
        <v>100</v>
      </c>
      <c r="D32" s="20">
        <f t="shared" si="9"/>
        <v>139.99657721908028</v>
      </c>
      <c r="E32" s="28">
        <f t="shared" si="4"/>
        <v>119.98973165724084</v>
      </c>
      <c r="F32" s="20">
        <f t="shared" si="2"/>
        <v>211.41467101372552</v>
      </c>
      <c r="G32" s="20">
        <f t="shared" si="8"/>
        <v>1.4346477829578119</v>
      </c>
      <c r="H32" s="20">
        <f t="shared" si="3"/>
        <v>0.85709046635811115</v>
      </c>
      <c r="I32" s="20">
        <f t="shared" si="10"/>
        <v>1.0004506842992387</v>
      </c>
      <c r="J32" s="20">
        <f t="shared" si="11"/>
        <v>1.0006729409177544</v>
      </c>
      <c r="K32" s="20">
        <f t="shared" si="16"/>
        <v>7.8165204129467057E-4</v>
      </c>
      <c r="L32" s="20">
        <f t="shared" si="6"/>
        <v>4.0465717522212763E-3</v>
      </c>
      <c r="M32" s="20">
        <f t="shared" si="12"/>
        <v>1.0033999873426418</v>
      </c>
      <c r="N32" s="20">
        <f t="shared" si="13"/>
        <v>1.0002485603593401</v>
      </c>
      <c r="O32" s="20">
        <f t="shared" si="14"/>
        <v>0.99968416513906677</v>
      </c>
      <c r="P32" s="20">
        <f t="shared" si="15"/>
        <v>1.8132505977702792E-3</v>
      </c>
      <c r="Q32" s="20">
        <f t="shared" si="7"/>
        <v>7.0673356072624991E-3</v>
      </c>
      <c r="R32" s="20">
        <f t="shared" si="5"/>
        <v>8.4161928580029251E-3</v>
      </c>
    </row>
    <row r="33" spans="1:18" s="11" customFormat="1" ht="15.75">
      <c r="A33" s="20">
        <v>9</v>
      </c>
      <c r="B33" s="20">
        <f t="shared" si="0"/>
        <v>222.84724124091076</v>
      </c>
      <c r="C33" s="20">
        <f t="shared" si="1"/>
        <v>100</v>
      </c>
      <c r="D33" s="20">
        <f t="shared" si="9"/>
        <v>140.94908041363692</v>
      </c>
      <c r="E33" s="28">
        <f t="shared" si="4"/>
        <v>122.84724124091076</v>
      </c>
      <c r="F33" s="20">
        <f t="shared" si="2"/>
        <v>215.30337833640419</v>
      </c>
      <c r="G33" s="20">
        <f t="shared" si="8"/>
        <v>1.4334448256940331</v>
      </c>
      <c r="H33" s="20">
        <f t="shared" si="3"/>
        <v>0.87157178237982469</v>
      </c>
      <c r="I33" s="20">
        <f t="shared" si="10"/>
        <v>1.000447627639784</v>
      </c>
      <c r="J33" s="20">
        <f t="shared" si="11"/>
        <v>1.0006675189968115</v>
      </c>
      <c r="K33" s="20">
        <f t="shared" si="16"/>
        <v>7.7641541955242419E-4</v>
      </c>
      <c r="L33" s="20">
        <f t="shared" si="6"/>
        <v>4.8229871717737002E-3</v>
      </c>
      <c r="M33" s="20">
        <f t="shared" si="12"/>
        <v>1.0034999293879836</v>
      </c>
      <c r="N33" s="20">
        <f t="shared" si="13"/>
        <v>1.0002434683921575</v>
      </c>
      <c r="O33" s="20">
        <f t="shared" si="14"/>
        <v>0.9996863063989786</v>
      </c>
      <c r="P33" s="20">
        <f t="shared" si="15"/>
        <v>1.8957893720479009E-3</v>
      </c>
      <c r="Q33" s="20">
        <f t="shared" si="7"/>
        <v>8.9631249793103995E-3</v>
      </c>
      <c r="R33" s="20">
        <f t="shared" si="5"/>
        <v>1.0570787369901634E-2</v>
      </c>
    </row>
    <row r="34" spans="1:18" s="11" customFormat="1" ht="15.75">
      <c r="A34" s="20">
        <v>10</v>
      </c>
      <c r="B34" s="20">
        <f t="shared" si="0"/>
        <v>225.70475082458069</v>
      </c>
      <c r="C34" s="20">
        <f t="shared" si="1"/>
        <v>100</v>
      </c>
      <c r="D34" s="20">
        <f t="shared" si="9"/>
        <v>141.90158360819356</v>
      </c>
      <c r="E34" s="28">
        <f t="shared" si="4"/>
        <v>125.70475082458069</v>
      </c>
      <c r="F34" s="20">
        <f t="shared" si="2"/>
        <v>219.23258761420951</v>
      </c>
      <c r="G34" s="20">
        <f t="shared" si="8"/>
        <v>1.4322512081302738</v>
      </c>
      <c r="H34" s="20">
        <f t="shared" si="3"/>
        <v>0.88585868901693032</v>
      </c>
      <c r="I34" s="20">
        <f t="shared" si="10"/>
        <v>1.0004446121633084</v>
      </c>
      <c r="J34" s="20">
        <f t="shared" si="11"/>
        <v>1.0006619276973627</v>
      </c>
      <c r="K34" s="20">
        <f t="shared" si="16"/>
        <v>7.7107572018664326E-4</v>
      </c>
      <c r="L34" s="20">
        <f t="shared" si="6"/>
        <v>5.5940628919603436E-3</v>
      </c>
      <c r="M34" s="20">
        <f t="shared" si="12"/>
        <v>1.0036077626189548</v>
      </c>
      <c r="N34" s="20">
        <f t="shared" si="13"/>
        <v>1.0002385371261575</v>
      </c>
      <c r="O34" s="20">
        <f t="shared" si="14"/>
        <v>0.99968841882017578</v>
      </c>
      <c r="P34" s="20">
        <f t="shared" si="15"/>
        <v>1.9835883976255264E-3</v>
      </c>
      <c r="Q34" s="20">
        <f t="shared" si="7"/>
        <v>1.0946713376935925E-2</v>
      </c>
      <c r="R34" s="20">
        <f t="shared" si="5"/>
        <v>1.2811401007589374E-2</v>
      </c>
    </row>
    <row r="35" spans="1:18" s="11" customFormat="1" ht="15.75">
      <c r="A35" s="20">
        <v>11</v>
      </c>
      <c r="B35" s="20">
        <f t="shared" si="0"/>
        <v>228.56226040825061</v>
      </c>
      <c r="C35" s="20">
        <f t="shared" si="1"/>
        <v>100</v>
      </c>
      <c r="D35" s="20">
        <f t="shared" si="9"/>
        <v>142.8540868027502</v>
      </c>
      <c r="E35" s="28">
        <f t="shared" si="4"/>
        <v>128.56226040825061</v>
      </c>
      <c r="F35" s="20">
        <f t="shared" si="2"/>
        <v>223.20148868673562</v>
      </c>
      <c r="G35" s="20">
        <f t="shared" si="8"/>
        <v>1.4310670565849288</v>
      </c>
      <c r="H35" s="20">
        <f t="shared" si="3"/>
        <v>0.89995507503937611</v>
      </c>
      <c r="I35" s="20">
        <f t="shared" si="10"/>
        <v>1.0004416370430782</v>
      </c>
      <c r="J35" s="20">
        <f t="shared" si="11"/>
        <v>1.0006561891270456</v>
      </c>
      <c r="K35" s="20">
        <f t="shared" si="16"/>
        <v>7.6564752236404573E-4</v>
      </c>
      <c r="L35" s="20">
        <f t="shared" si="6"/>
        <v>6.3597104143243892E-3</v>
      </c>
      <c r="M35" s="20">
        <f t="shared" si="12"/>
        <v>1.0037244103594214</v>
      </c>
      <c r="N35" s="20">
        <f t="shared" si="13"/>
        <v>1.0002337596499578</v>
      </c>
      <c r="O35" s="20">
        <f t="shared" si="14"/>
        <v>0.99969050298136763</v>
      </c>
      <c r="P35" s="20">
        <f t="shared" si="15"/>
        <v>2.0773100078969892E-3</v>
      </c>
      <c r="Q35" s="20">
        <f t="shared" si="7"/>
        <v>1.3024023384832915E-2</v>
      </c>
      <c r="R35" s="20">
        <f t="shared" si="5"/>
        <v>1.5143926856274378E-2</v>
      </c>
    </row>
    <row r="36" spans="1:18" s="11" customFormat="1" ht="15.75">
      <c r="A36" s="20">
        <v>12</v>
      </c>
      <c r="B36" s="20">
        <f t="shared" si="0"/>
        <v>231.41976999192053</v>
      </c>
      <c r="C36" s="20">
        <f t="shared" si="1"/>
        <v>100</v>
      </c>
      <c r="D36" s="20">
        <f t="shared" si="9"/>
        <v>143.80658999730684</v>
      </c>
      <c r="E36" s="28">
        <f t="shared" si="4"/>
        <v>131.41976999192053</v>
      </c>
      <c r="F36" s="20">
        <f t="shared" si="2"/>
        <v>227.20929285797209</v>
      </c>
      <c r="G36" s="20">
        <f t="shared" si="8"/>
        <v>1.4298924752135058</v>
      </c>
      <c r="H36" s="20">
        <f t="shared" si="3"/>
        <v>0.91386472618801207</v>
      </c>
      <c r="I36" s="20">
        <f t="shared" si="10"/>
        <v>1.0004387014743417</v>
      </c>
      <c r="J36" s="20">
        <f t="shared" si="11"/>
        <v>1.0006503235890387</v>
      </c>
      <c r="K36" s="20">
        <f t="shared" si="16"/>
        <v>7.601442310480645E-4</v>
      </c>
      <c r="L36" s="20">
        <f t="shared" si="6"/>
        <v>7.1198546453724535E-3</v>
      </c>
      <c r="M36" s="20">
        <f t="shared" si="12"/>
        <v>1.0038509472190436</v>
      </c>
      <c r="N36" s="20">
        <f t="shared" si="13"/>
        <v>1.0002291294299812</v>
      </c>
      <c r="O36" s="20">
        <f t="shared" si="14"/>
        <v>0.99969255944588253</v>
      </c>
      <c r="P36" s="20">
        <f t="shared" si="15"/>
        <v>2.1777232602081809E-3</v>
      </c>
      <c r="Q36" s="20">
        <f t="shared" si="7"/>
        <v>1.5201746645041096E-2</v>
      </c>
      <c r="R36" s="20">
        <f t="shared" si="5"/>
        <v>1.7575031526831913E-2</v>
      </c>
    </row>
    <row r="37" spans="1:18" s="11" customFormat="1" ht="15.75">
      <c r="A37" s="20">
        <v>13</v>
      </c>
      <c r="B37" s="20">
        <f t="shared" si="0"/>
        <v>234.27727957559046</v>
      </c>
      <c r="C37" s="20">
        <f t="shared" si="1"/>
        <v>100</v>
      </c>
      <c r="D37" s="20">
        <f t="shared" si="9"/>
        <v>144.75909319186349</v>
      </c>
      <c r="E37" s="28">
        <f t="shared" si="4"/>
        <v>134.27727957559046</v>
      </c>
      <c r="F37" s="20">
        <f t="shared" si="2"/>
        <v>231.25523219013388</v>
      </c>
      <c r="G37" s="20">
        <f t="shared" si="8"/>
        <v>1.4287275478796395</v>
      </c>
      <c r="H37" s="20">
        <f t="shared" si="3"/>
        <v>0.92759132856420667</v>
      </c>
      <c r="I37" s="20">
        <f t="shared" si="10"/>
        <v>1.0004358046736028</v>
      </c>
      <c r="J37" s="20">
        <f t="shared" si="11"/>
        <v>1.0006443497135373</v>
      </c>
      <c r="K37" s="20">
        <f t="shared" si="16"/>
        <v>7.5457816092615218E-4</v>
      </c>
      <c r="L37" s="20">
        <f t="shared" si="6"/>
        <v>7.8744328062986049E-3</v>
      </c>
      <c r="M37" s="20">
        <f t="shared" si="12"/>
        <v>1.0039886313569208</v>
      </c>
      <c r="N37" s="20">
        <f t="shared" si="13"/>
        <v>1.0002246402853787</v>
      </c>
      <c r="O37" s="20">
        <f t="shared" si="14"/>
        <v>0.99969458876217487</v>
      </c>
      <c r="P37" s="20">
        <f t="shared" si="15"/>
        <v>2.2857266413349483E-3</v>
      </c>
      <c r="Q37" s="20">
        <f t="shared" si="7"/>
        <v>1.7487473286376044E-2</v>
      </c>
      <c r="R37" s="20">
        <f t="shared" si="5"/>
        <v>2.0112284221808913E-2</v>
      </c>
    </row>
    <row r="38" spans="1:18" s="11" customFormat="1" ht="15.75">
      <c r="A38" s="20">
        <v>14</v>
      </c>
      <c r="B38" s="20">
        <f t="shared" si="0"/>
        <v>237.13478915926038</v>
      </c>
      <c r="C38" s="20">
        <f t="shared" si="1"/>
        <v>100</v>
      </c>
      <c r="D38" s="20">
        <f t="shared" si="9"/>
        <v>145.71159638642013</v>
      </c>
      <c r="E38" s="28">
        <f t="shared" si="4"/>
        <v>137.13478915926038</v>
      </c>
      <c r="F38" s="20">
        <f t="shared" si="2"/>
        <v>235.33855882518822</v>
      </c>
      <c r="G38" s="20">
        <f t="shared" si="8"/>
        <v>1.4275723398875972</v>
      </c>
      <c r="H38" s="20">
        <f t="shared" si="3"/>
        <v>0.94113847188651711</v>
      </c>
      <c r="I38" s="20">
        <f t="shared" si="10"/>
        <v>1.000432945877924</v>
      </c>
      <c r="J38" s="20">
        <f t="shared" si="11"/>
        <v>1.0006382845808237</v>
      </c>
      <c r="K38" s="20">
        <f t="shared" si="16"/>
        <v>7.4896061509750235E-4</v>
      </c>
      <c r="L38" s="20">
        <f t="shared" si="6"/>
        <v>8.6233934213961073E-3</v>
      </c>
      <c r="M38" s="20">
        <f t="shared" si="12"/>
        <v>1.0041389453733998</v>
      </c>
      <c r="N38" s="20">
        <f t="shared" si="13"/>
        <v>1.000220286364907</v>
      </c>
      <c r="O38" s="20">
        <f t="shared" si="14"/>
        <v>0.99969659146431367</v>
      </c>
      <c r="P38" s="20">
        <f t="shared" si="15"/>
        <v>2.4023768479416677E-3</v>
      </c>
      <c r="Q38" s="20">
        <f t="shared" si="7"/>
        <v>1.988985013431771E-2</v>
      </c>
      <c r="R38" s="20">
        <f t="shared" si="5"/>
        <v>2.2764314608116412E-2</v>
      </c>
    </row>
    <row r="39" spans="1:18" s="11" customFormat="1" ht="15.75">
      <c r="A39" s="20">
        <v>15</v>
      </c>
      <c r="B39" s="20">
        <f t="shared" si="0"/>
        <v>239.9922987429303</v>
      </c>
      <c r="C39" s="20">
        <f t="shared" si="1"/>
        <v>100</v>
      </c>
      <c r="D39" s="20">
        <f t="shared" si="9"/>
        <v>146.66409958097677</v>
      </c>
      <c r="E39" s="28">
        <f t="shared" si="4"/>
        <v>139.9922987429303</v>
      </c>
      <c r="F39" s="20">
        <f t="shared" si="2"/>
        <v>239.45854433281963</v>
      </c>
      <c r="G39" s="20">
        <f t="shared" si="8"/>
        <v>1.4264268995853653</v>
      </c>
      <c r="H39" s="20">
        <f t="shared" si="3"/>
        <v>0.95450965262045739</v>
      </c>
      <c r="I39" s="20">
        <f t="shared" si="10"/>
        <v>1.0004301243442559</v>
      </c>
      <c r="J39" s="20">
        <f t="shared" si="11"/>
        <v>1.000632143836278</v>
      </c>
      <c r="K39" s="20">
        <f t="shared" si="16"/>
        <v>7.4330195872472984E-4</v>
      </c>
      <c r="L39" s="20">
        <f t="shared" si="6"/>
        <v>9.3666953801208371E-3</v>
      </c>
      <c r="M39" s="20">
        <f t="shared" si="12"/>
        <v>1.0043036486479731</v>
      </c>
      <c r="N39" s="20">
        <f t="shared" si="13"/>
        <v>1.0002160621255887</v>
      </c>
      <c r="O39" s="20">
        <f t="shared" si="14"/>
        <v>0.99969856807245017</v>
      </c>
      <c r="P39" s="20">
        <f t="shared" si="15"/>
        <v>2.5289256199839487E-3</v>
      </c>
      <c r="Q39" s="20">
        <f t="shared" si="7"/>
        <v>2.2418775754301658E-2</v>
      </c>
      <c r="R39" s="20">
        <f t="shared" si="5"/>
        <v>2.5541007547675271E-2</v>
      </c>
    </row>
    <row r="40" spans="1:18" s="11" customFormat="1" ht="15.75">
      <c r="A40" s="20">
        <v>16</v>
      </c>
      <c r="B40" s="20">
        <f t="shared" si="0"/>
        <v>242.84980832660023</v>
      </c>
      <c r="C40" s="20">
        <f t="shared" si="1"/>
        <v>100</v>
      </c>
      <c r="D40" s="20">
        <f t="shared" si="9"/>
        <v>147.61660277553341</v>
      </c>
      <c r="E40" s="28">
        <f t="shared" si="4"/>
        <v>142.84980832660023</v>
      </c>
      <c r="F40" s="20">
        <f t="shared" si="2"/>
        <v>243.61447908363857</v>
      </c>
      <c r="G40" s="20">
        <f t="shared" si="8"/>
        <v>1.4252912598469871</v>
      </c>
      <c r="H40" s="20">
        <f t="shared" si="3"/>
        <v>0.96770827698709749</v>
      </c>
      <c r="I40" s="20">
        <f t="shared" si="10"/>
        <v>1.0004273393487948</v>
      </c>
      <c r="J40" s="20">
        <f t="shared" si="11"/>
        <v>1.0006259417977068</v>
      </c>
      <c r="K40" s="20">
        <f t="shared" si="16"/>
        <v>7.3761168787662512E-4</v>
      </c>
      <c r="L40" s="20">
        <f t="shared" si="6"/>
        <v>1.0104307067997462E-2</v>
      </c>
      <c r="M40" s="20">
        <f t="shared" si="12"/>
        <v>1.0044848450447219</v>
      </c>
      <c r="N40" s="20">
        <f t="shared" si="13"/>
        <v>1.0002119623129966</v>
      </c>
      <c r="O40" s="20">
        <f t="shared" si="14"/>
        <v>0.99970051909326896</v>
      </c>
      <c r="P40" s="20">
        <f t="shared" si="15"/>
        <v>2.6668673784162804E-3</v>
      </c>
      <c r="Q40" s="20">
        <f t="shared" si="7"/>
        <v>2.5085643132717939E-2</v>
      </c>
      <c r="R40" s="20">
        <f t="shared" si="5"/>
        <v>2.8453745488717094E-2</v>
      </c>
    </row>
    <row r="41" spans="1:18" s="11" customFormat="1" ht="15.75">
      <c r="A41" s="20">
        <v>17</v>
      </c>
      <c r="B41" s="20">
        <f t="shared" si="0"/>
        <v>245.70731791027015</v>
      </c>
      <c r="C41" s="20">
        <f t="shared" si="1"/>
        <v>100</v>
      </c>
      <c r="D41" s="20">
        <f t="shared" ref="D41:D59" si="17">D40+($D$60-$D$29)/31</f>
        <v>148.56910597009005</v>
      </c>
      <c r="E41" s="28">
        <f t="shared" si="4"/>
        <v>145.70731791027015</v>
      </c>
      <c r="F41" s="20">
        <f t="shared" si="2"/>
        <v>247.80567164650088</v>
      </c>
      <c r="G41" s="20">
        <f t="shared" si="8"/>
        <v>1.4241654394423875</v>
      </c>
      <c r="H41" s="20">
        <f t="shared" si="3"/>
        <v>0.98073766385592953</v>
      </c>
      <c r="I41" s="20">
        <f t="shared" si="10"/>
        <v>1.0004245901863622</v>
      </c>
      <c r="J41" s="20">
        <f t="shared" si="11"/>
        <v>1.0006196915553685</v>
      </c>
      <c r="K41" s="20">
        <f t="shared" si="16"/>
        <v>7.3189849378386431E-4</v>
      </c>
      <c r="L41" s="20">
        <f t="shared" si="6"/>
        <v>1.0836205561781326E-2</v>
      </c>
      <c r="M41" s="20">
        <f t="shared" si="12"/>
        <v>1.0046850715215265</v>
      </c>
      <c r="N41" s="20">
        <f t="shared" si="13"/>
        <v>1.000207981943021</v>
      </c>
      <c r="O41" s="20">
        <f t="shared" si="14"/>
        <v>0.99970244502042083</v>
      </c>
      <c r="P41" s="20">
        <f t="shared" si="15"/>
        <v>2.8180015494859803E-3</v>
      </c>
      <c r="Q41" s="20">
        <f t="shared" si="7"/>
        <v>2.790364468220392E-2</v>
      </c>
      <c r="R41" s="20">
        <f t="shared" si="5"/>
        <v>3.1515713202797696E-2</v>
      </c>
    </row>
    <row r="42" spans="1:18" s="11" customFormat="1" ht="15.75">
      <c r="A42" s="20">
        <v>18</v>
      </c>
      <c r="B42" s="20">
        <f t="shared" si="0"/>
        <v>248.56482749394007</v>
      </c>
      <c r="C42" s="20">
        <f t="shared" si="1"/>
        <v>100</v>
      </c>
      <c r="D42" s="20">
        <f t="shared" si="17"/>
        <v>149.52160916464669</v>
      </c>
      <c r="E42" s="28">
        <f t="shared" si="4"/>
        <v>148.56482749394007</v>
      </c>
      <c r="F42" s="20">
        <f t="shared" si="2"/>
        <v>252.03144820886283</v>
      </c>
      <c r="G42" s="20">
        <f t="shared" si="8"/>
        <v>1.4230494443024797</v>
      </c>
      <c r="H42" s="20">
        <f t="shared" si="3"/>
        <v>0.99360104752716338</v>
      </c>
      <c r="I42" s="20">
        <f t="shared" si="10"/>
        <v>1.00042187616981</v>
      </c>
      <c r="J42" s="20">
        <f t="shared" si="11"/>
        <v>1.0006134050650866</v>
      </c>
      <c r="K42" s="20">
        <f t="shared" si="16"/>
        <v>7.261703227514002E-4</v>
      </c>
      <c r="L42" s="20">
        <f t="shared" si="6"/>
        <v>1.1562375884532726E-2</v>
      </c>
      <c r="M42" s="20">
        <f t="shared" si="12"/>
        <v>1.0049074155829016</v>
      </c>
      <c r="N42" s="20">
        <f t="shared" si="13"/>
        <v>1.0002041162849897</v>
      </c>
      <c r="O42" s="20">
        <f t="shared" si="14"/>
        <v>0.9997043463349391</v>
      </c>
      <c r="P42" s="20">
        <f t="shared" si="15"/>
        <v>2.9845151400705078E-3</v>
      </c>
      <c r="Q42" s="20">
        <f t="shared" si="7"/>
        <v>3.0888159822274427E-2</v>
      </c>
      <c r="R42" s="20">
        <f t="shared" si="5"/>
        <v>3.4742285117118667E-2</v>
      </c>
    </row>
    <row r="43" spans="1:18" s="11" customFormat="1" ht="15.75">
      <c r="A43" s="20">
        <v>19</v>
      </c>
      <c r="B43" s="20">
        <f t="shared" si="0"/>
        <v>251.42233707761</v>
      </c>
      <c r="C43" s="20">
        <f t="shared" si="1"/>
        <v>100</v>
      </c>
      <c r="D43" s="20">
        <f t="shared" si="17"/>
        <v>150.47411235920333</v>
      </c>
      <c r="E43" s="28">
        <f t="shared" si="4"/>
        <v>151.42233707761</v>
      </c>
      <c r="F43" s="20">
        <f t="shared" si="2"/>
        <v>256.29115201915118</v>
      </c>
      <c r="G43" s="20">
        <f t="shared" si="8"/>
        <v>1.4219432686869116</v>
      </c>
      <c r="H43" s="20">
        <f t="shared" si="3"/>
        <v>1.0063015804083504</v>
      </c>
      <c r="I43" s="20">
        <f t="shared" si="10"/>
        <v>1.0004191966294478</v>
      </c>
      <c r="J43" s="20">
        <f t="shared" si="11"/>
        <v>1.000607093234839</v>
      </c>
      <c r="K43" s="20">
        <f t="shared" si="16"/>
        <v>7.2043443195770175E-4</v>
      </c>
      <c r="L43" s="20">
        <f t="shared" si="6"/>
        <v>1.2282810316490428E-2</v>
      </c>
      <c r="M43" s="20">
        <f t="shared" si="12"/>
        <v>1.0051556731616538</v>
      </c>
      <c r="N43" s="20">
        <f t="shared" si="13"/>
        <v>1.0002003608460295</v>
      </c>
      <c r="O43" s="20">
        <f t="shared" si="14"/>
        <v>0.99970622350563998</v>
      </c>
      <c r="P43" s="20">
        <f t="shared" si="15"/>
        <v>3.1690936776764809E-3</v>
      </c>
      <c r="Q43" s="20">
        <f t="shared" si="7"/>
        <v>3.405725349995091E-2</v>
      </c>
      <c r="R43" s="20">
        <f t="shared" si="5"/>
        <v>3.8151523605447719E-2</v>
      </c>
    </row>
    <row r="44" spans="1:18" s="11" customFormat="1" ht="15.75">
      <c r="A44" s="20">
        <v>20</v>
      </c>
      <c r="B44" s="20">
        <f t="shared" si="0"/>
        <v>254.27984666127992</v>
      </c>
      <c r="C44" s="20">
        <f t="shared" si="1"/>
        <v>100</v>
      </c>
      <c r="D44" s="20">
        <f t="shared" si="17"/>
        <v>151.42661555375997</v>
      </c>
      <c r="E44" s="28">
        <f t="shared" si="4"/>
        <v>154.27984666127992</v>
      </c>
      <c r="F44" s="20">
        <f t="shared" si="2"/>
        <v>260.58414285017909</v>
      </c>
      <c r="G44" s="20">
        <f t="shared" si="8"/>
        <v>1.4208468962613805</v>
      </c>
      <c r="H44" s="20">
        <f t="shared" si="3"/>
        <v>1.0188423355899874</v>
      </c>
      <c r="I44" s="20">
        <f t="shared" si="10"/>
        <v>1.0004165509124927</v>
      </c>
      <c r="J44" s="20">
        <f t="shared" si="11"/>
        <v>1.0006007660052043</v>
      </c>
      <c r="K44" s="20">
        <f t="shared" si="16"/>
        <v>7.1469744137829983E-4</v>
      </c>
      <c r="L44" s="20">
        <f t="shared" si="6"/>
        <v>1.2997507757868728E-2</v>
      </c>
      <c r="M44" s="20">
        <f t="shared" si="12"/>
        <v>1.0054345641579621</v>
      </c>
      <c r="N44" s="20">
        <f t="shared" si="13"/>
        <v>1.0001967113565597</v>
      </c>
      <c r="O44" s="20">
        <f t="shared" si="14"/>
        <v>0.9997080769895087</v>
      </c>
      <c r="P44" s="20">
        <f t="shared" si="15"/>
        <v>3.3750725716725281E-3</v>
      </c>
      <c r="Q44" s="20">
        <f t="shared" si="7"/>
        <v>3.7432326071623438E-2</v>
      </c>
      <c r="R44" s="20">
        <f t="shared" si="5"/>
        <v>4.1764828657579682E-2</v>
      </c>
    </row>
    <row r="45" spans="1:18" s="11" customFormat="1" ht="15.75">
      <c r="A45" s="20">
        <v>21</v>
      </c>
      <c r="B45" s="20">
        <f t="shared" si="0"/>
        <v>257.13735624494984</v>
      </c>
      <c r="C45" s="20">
        <f t="shared" si="1"/>
        <v>100</v>
      </c>
      <c r="D45" s="20">
        <f t="shared" si="17"/>
        <v>152.37911874831661</v>
      </c>
      <c r="E45" s="28">
        <f t="shared" si="4"/>
        <v>157.13735624494984</v>
      </c>
      <c r="F45" s="20">
        <f t="shared" si="2"/>
        <v>264.90979648268643</v>
      </c>
      <c r="G45" s="20">
        <f t="shared" si="8"/>
        <v>1.4197603010910187</v>
      </c>
      <c r="H45" s="20">
        <f t="shared" si="3"/>
        <v>1.0312263093245235</v>
      </c>
      <c r="I45" s="20">
        <f t="shared" si="10"/>
        <v>1.0004139383825379</v>
      </c>
      <c r="J45" s="20">
        <f t="shared" si="11"/>
        <v>1.0005944324240392</v>
      </c>
      <c r="K45" s="20">
        <f t="shared" si="16"/>
        <v>7.0896538205785355E-4</v>
      </c>
      <c r="L45" s="20">
        <f t="shared" si="6"/>
        <v>1.3706473139926581E-2</v>
      </c>
      <c r="M45" s="20">
        <f t="shared" si="12"/>
        <v>1.0057500318022117</v>
      </c>
      <c r="N45" s="20">
        <f t="shared" si="13"/>
        <v>1.0001931637568273</v>
      </c>
      <c r="O45" s="20">
        <f t="shared" si="14"/>
        <v>0.99970990723206932</v>
      </c>
      <c r="P45" s="20">
        <f t="shared" si="15"/>
        <v>3.6066471910203061E-3</v>
      </c>
      <c r="Q45" s="20">
        <f t="shared" si="7"/>
        <v>4.1038973262643746E-2</v>
      </c>
      <c r="R45" s="20">
        <f t="shared" si="5"/>
        <v>4.5607797642619276E-2</v>
      </c>
    </row>
    <row r="46" spans="1:18" s="11" customFormat="1" ht="15.75">
      <c r="A46" s="20">
        <v>22</v>
      </c>
      <c r="B46" s="20">
        <f t="shared" si="0"/>
        <v>259.99486582861977</v>
      </c>
      <c r="C46" s="20">
        <f t="shared" si="1"/>
        <v>100</v>
      </c>
      <c r="D46" s="20">
        <f t="shared" si="17"/>
        <v>153.33162194287326</v>
      </c>
      <c r="E46" s="28">
        <f t="shared" si="4"/>
        <v>159.99486582861977</v>
      </c>
      <c r="F46" s="20">
        <f t="shared" si="2"/>
        <v>269.26750420812959</v>
      </c>
      <c r="G46" s="20">
        <f t="shared" si="8"/>
        <v>1.4186834485559447</v>
      </c>
      <c r="H46" s="20">
        <f t="shared" si="3"/>
        <v>1.0434564234129673</v>
      </c>
      <c r="I46" s="20">
        <f t="shared" si="10"/>
        <v>1.0004113584190431</v>
      </c>
      <c r="J46" s="20">
        <f t="shared" si="11"/>
        <v>1.0005881007157489</v>
      </c>
      <c r="K46" s="20">
        <f t="shared" si="16"/>
        <v>7.0324374095984056E-4</v>
      </c>
      <c r="L46" s="20">
        <f t="shared" si="6"/>
        <v>1.4409716880886422E-2</v>
      </c>
      <c r="M46" s="20">
        <f t="shared" si="12"/>
        <v>1.0061096665256821</v>
      </c>
      <c r="N46" s="20">
        <f t="shared" si="13"/>
        <v>1.0001897141843958</v>
      </c>
      <c r="O46" s="20">
        <f t="shared" si="14"/>
        <v>0.99971171466774278</v>
      </c>
      <c r="P46" s="20">
        <f t="shared" si="15"/>
        <v>3.8691700766579733E-3</v>
      </c>
      <c r="Q46" s="20">
        <f t="shared" si="7"/>
        <v>4.4908143339301723E-2</v>
      </c>
      <c r="R46" s="20">
        <f t="shared" si="5"/>
        <v>4.97113822995972E-2</v>
      </c>
    </row>
    <row r="47" spans="1:18" s="11" customFormat="1" ht="15.75">
      <c r="A47" s="20">
        <v>23</v>
      </c>
      <c r="B47" s="20">
        <f t="shared" si="0"/>
        <v>262.85237541228969</v>
      </c>
      <c r="C47" s="20">
        <f t="shared" si="1"/>
        <v>100</v>
      </c>
      <c r="D47" s="20">
        <f t="shared" si="17"/>
        <v>154.2841251374299</v>
      </c>
      <c r="E47" s="28">
        <f t="shared" si="4"/>
        <v>162.85237541228969</v>
      </c>
      <c r="F47" s="20">
        <f t="shared" si="2"/>
        <v>273.65667234988985</v>
      </c>
      <c r="G47" s="20">
        <f t="shared" si="8"/>
        <v>1.4176162961946868</v>
      </c>
      <c r="H47" s="20">
        <f t="shared" si="3"/>
        <v>1.0555355275030891</v>
      </c>
      <c r="I47" s="20">
        <f t="shared" si="10"/>
        <v>1.0004088104168429</v>
      </c>
      <c r="J47" s="20">
        <f t="shared" si="11"/>
        <v>1.0005817783454993</v>
      </c>
      <c r="K47" s="20">
        <f t="shared" si="16"/>
        <v>6.9753750260315281E-4</v>
      </c>
      <c r="L47" s="20">
        <f t="shared" si="6"/>
        <v>1.5107254383489576E-2</v>
      </c>
      <c r="M47" s="20">
        <f t="shared" si="12"/>
        <v>1.0065233192823051</v>
      </c>
      <c r="N47" s="20">
        <f t="shared" si="13"/>
        <v>1.0001863589625115</v>
      </c>
      <c r="O47" s="20">
        <f t="shared" si="14"/>
        <v>0.99971349972019019</v>
      </c>
      <c r="P47" s="20">
        <f t="shared" si="15"/>
        <v>4.1695806018821691E-3</v>
      </c>
      <c r="Q47" s="20">
        <f t="shared" si="7"/>
        <v>4.9077723941183891E-2</v>
      </c>
      <c r="R47" s="20">
        <f t="shared" si="5"/>
        <v>5.411347540234708E-2</v>
      </c>
    </row>
    <row r="48" spans="1:18" s="11" customFormat="1" ht="15.75">
      <c r="A48" s="20">
        <v>24</v>
      </c>
      <c r="B48" s="20">
        <f t="shared" si="0"/>
        <v>265.70988499595961</v>
      </c>
      <c r="C48" s="20">
        <f t="shared" si="1"/>
        <v>100</v>
      </c>
      <c r="D48" s="20">
        <f t="shared" si="17"/>
        <v>155.23662833198654</v>
      </c>
      <c r="E48" s="28">
        <f t="shared" si="4"/>
        <v>165.70988499595961</v>
      </c>
      <c r="F48" s="20">
        <f t="shared" si="2"/>
        <v>278.07672180210722</v>
      </c>
      <c r="G48" s="20">
        <f t="shared" si="8"/>
        <v>1.4165587944807996</v>
      </c>
      <c r="H48" s="20">
        <f t="shared" si="3"/>
        <v>1.0674664013030168</v>
      </c>
      <c r="I48" s="20">
        <f t="shared" si="10"/>
        <v>1.0004062937856739</v>
      </c>
      <c r="J48" s="20">
        <f t="shared" si="11"/>
        <v>1.0005754720787039</v>
      </c>
      <c r="K48" s="20">
        <f t="shared" si="16"/>
        <v>6.9185118769670123E-4</v>
      </c>
      <c r="L48" s="20">
        <f t="shared" si="6"/>
        <v>1.5799105571186276E-2</v>
      </c>
      <c r="M48" s="20">
        <f t="shared" si="12"/>
        <v>1.0070040111168626</v>
      </c>
      <c r="N48" s="20">
        <f t="shared" si="13"/>
        <v>1.0001830945892758</v>
      </c>
      <c r="O48" s="20">
        <f t="shared" si="14"/>
        <v>0.99971526280264367</v>
      </c>
      <c r="P48" s="20">
        <f t="shared" si="15"/>
        <v>4.5170415028178597E-3</v>
      </c>
      <c r="Q48" s="20">
        <f t="shared" si="7"/>
        <v>5.3594765444001755E-2</v>
      </c>
      <c r="R48" s="20">
        <f t="shared" si="5"/>
        <v>5.8861133967730517E-2</v>
      </c>
    </row>
    <row r="49" spans="1:19" s="11" customFormat="1" ht="15.75">
      <c r="A49" s="20">
        <v>25</v>
      </c>
      <c r="B49" s="20">
        <f t="shared" si="0"/>
        <v>268.56739457962954</v>
      </c>
      <c r="C49" s="20">
        <f t="shared" si="1"/>
        <v>100</v>
      </c>
      <c r="D49" s="20">
        <f t="shared" si="17"/>
        <v>156.18913152654318</v>
      </c>
      <c r="E49" s="28">
        <f t="shared" si="4"/>
        <v>168.56739457962954</v>
      </c>
      <c r="F49" s="20">
        <f t="shared" si="2"/>
        <v>282.52708758538967</v>
      </c>
      <c r="G49" s="20">
        <f t="shared" si="8"/>
        <v>1.4155108875376443</v>
      </c>
      <c r="H49" s="20">
        <f t="shared" si="3"/>
        <v>1.0792517567138322</v>
      </c>
      <c r="I49" s="20">
        <f t="shared" si="10"/>
        <v>1.0004038079497182</v>
      </c>
      <c r="J49" s="20">
        <f t="shared" si="11"/>
        <v>1.0005691880361032</v>
      </c>
      <c r="K49" s="20">
        <f t="shared" si="16"/>
        <v>6.8618888896467586E-4</v>
      </c>
      <c r="L49" s="20">
        <f t="shared" si="6"/>
        <v>1.6485294460150953E-2</v>
      </c>
      <c r="M49" s="20">
        <f t="shared" si="12"/>
        <v>1.0075693206483609</v>
      </c>
      <c r="N49" s="20">
        <f t="shared" si="13"/>
        <v>1.0001799177275592</v>
      </c>
      <c r="O49" s="20">
        <f t="shared" si="14"/>
        <v>0.99971700431822597</v>
      </c>
      <c r="P49" s="20">
        <f t="shared" si="15"/>
        <v>4.9239086970833948E-3</v>
      </c>
      <c r="Q49" s="20">
        <f t="shared" si="7"/>
        <v>5.851867414108515E-2</v>
      </c>
      <c r="R49" s="20">
        <f t="shared" si="5"/>
        <v>6.4013772294468807E-2</v>
      </c>
    </row>
    <row r="50" spans="1:19" s="11" customFormat="1" ht="15.75">
      <c r="A50" s="20">
        <v>26</v>
      </c>
      <c r="B50" s="20">
        <f t="shared" si="0"/>
        <v>271.42490416329946</v>
      </c>
      <c r="C50" s="20">
        <f t="shared" si="1"/>
        <v>100</v>
      </c>
      <c r="D50" s="20">
        <f t="shared" si="17"/>
        <v>157.14163472109982</v>
      </c>
      <c r="E50" s="28">
        <f t="shared" si="4"/>
        <v>171.42490416329946</v>
      </c>
      <c r="F50" s="20">
        <f t="shared" si="2"/>
        <v>287.00721841867966</v>
      </c>
      <c r="G50" s="20">
        <f t="shared" si="8"/>
        <v>1.4144725137959566</v>
      </c>
      <c r="H50" s="20">
        <f t="shared" si="3"/>
        <v>1.0908942398846115</v>
      </c>
      <c r="I50" s="20">
        <f t="shared" si="10"/>
        <v>1.0004013523471649</v>
      </c>
      <c r="J50" s="20">
        <f t="shared" si="11"/>
        <v>1.0005629317447386</v>
      </c>
      <c r="K50" s="20">
        <f t="shared" si="16"/>
        <v>6.80554304356104E-4</v>
      </c>
      <c r="L50" s="20">
        <f t="shared" si="6"/>
        <v>1.7165848764507056E-2</v>
      </c>
      <c r="M50" s="20">
        <f t="shared" si="12"/>
        <v>1.0082435707850035</v>
      </c>
      <c r="N50" s="20">
        <f t="shared" si="13"/>
        <v>1.0001768251955994</v>
      </c>
      <c r="O50" s="20">
        <f t="shared" si="14"/>
        <v>0.99971872466025713</v>
      </c>
      <c r="P50" s="20">
        <f t="shared" si="15"/>
        <v>5.4072576174417119E-3</v>
      </c>
      <c r="Q50" s="20">
        <f t="shared" si="7"/>
        <v>6.3925931758526858E-2</v>
      </c>
      <c r="R50" s="20">
        <f t="shared" si="5"/>
        <v>6.9647881346695875E-2</v>
      </c>
    </row>
    <row r="51" spans="1:19" s="11" customFormat="1" ht="15.75">
      <c r="A51" s="20">
        <v>27</v>
      </c>
      <c r="B51" s="20">
        <f t="shared" si="0"/>
        <v>274.28241374696938</v>
      </c>
      <c r="C51" s="20">
        <f t="shared" si="1"/>
        <v>100</v>
      </c>
      <c r="D51" s="20">
        <f t="shared" si="17"/>
        <v>158.09413791565646</v>
      </c>
      <c r="E51" s="28">
        <f t="shared" si="4"/>
        <v>174.28241374696938</v>
      </c>
      <c r="F51" s="20">
        <f t="shared" si="2"/>
        <v>291.51657630659815</v>
      </c>
      <c r="G51" s="20">
        <f t="shared" si="8"/>
        <v>1.4134436065985094</v>
      </c>
      <c r="H51" s="20">
        <f t="shared" si="3"/>
        <v>1.1023964331931737</v>
      </c>
      <c r="I51" s="20">
        <f t="shared" si="10"/>
        <v>1.0003989264297857</v>
      </c>
      <c r="J51" s="20">
        <f t="shared" si="11"/>
        <v>1.0005567081851077</v>
      </c>
      <c r="K51" s="20">
        <f t="shared" si="16"/>
        <v>6.7495076781049098E-4</v>
      </c>
      <c r="L51" s="20">
        <f t="shared" si="6"/>
        <v>1.7840799532317545E-2</v>
      </c>
      <c r="M51" s="20">
        <f t="shared" si="12"/>
        <v>1.0090614093553005</v>
      </c>
      <c r="N51" s="20">
        <f t="shared" si="13"/>
        <v>1.0001738139582308</v>
      </c>
      <c r="O51" s="20">
        <f t="shared" si="14"/>
        <v>0.9997204242125507</v>
      </c>
      <c r="P51" s="20">
        <f t="shared" si="15"/>
        <v>5.9913784093891297E-3</v>
      </c>
      <c r="Q51" s="20">
        <f t="shared" si="7"/>
        <v>6.9917310167915983E-2</v>
      </c>
      <c r="R51" s="20">
        <f t="shared" si="5"/>
        <v>7.5864243345355159E-2</v>
      </c>
    </row>
    <row r="52" spans="1:19" s="11" customFormat="1" ht="15.75">
      <c r="A52" s="20">
        <v>28</v>
      </c>
      <c r="B52" s="20">
        <f t="shared" si="0"/>
        <v>277.13992333063931</v>
      </c>
      <c r="C52" s="20">
        <f t="shared" si="1"/>
        <v>100</v>
      </c>
      <c r="D52" s="20">
        <f t="shared" si="17"/>
        <v>159.0466411102131</v>
      </c>
      <c r="E52" s="28">
        <f t="shared" si="4"/>
        <v>177.13992333063931</v>
      </c>
      <c r="F52" s="20">
        <f t="shared" si="2"/>
        <v>296.05463614161624</v>
      </c>
      <c r="G52" s="20">
        <f t="shared" si="8"/>
        <v>1.4124240947558673</v>
      </c>
      <c r="H52" s="20">
        <f t="shared" si="3"/>
        <v>1.1137608571556583</v>
      </c>
      <c r="I52" s="20">
        <f t="shared" si="10"/>
        <v>1.0003965296625279</v>
      </c>
      <c r="J52" s="20">
        <f t="shared" si="11"/>
        <v>1.0005505218347666</v>
      </c>
      <c r="K52" s="20">
        <f t="shared" si="16"/>
        <v>6.6938127775392894E-4</v>
      </c>
      <c r="L52" s="20">
        <f t="shared" si="6"/>
        <v>1.8510180810071473E-2</v>
      </c>
      <c r="M52" s="20">
        <f t="shared" si="12"/>
        <v>1.0100739448145799</v>
      </c>
      <c r="N52" s="20">
        <f t="shared" si="13"/>
        <v>1.0001708811186933</v>
      </c>
      <c r="O52" s="20">
        <f t="shared" si="14"/>
        <v>0.9997221033496998</v>
      </c>
      <c r="P52" s="20">
        <f t="shared" si="15"/>
        <v>6.7120433000319732E-3</v>
      </c>
      <c r="Q52" s="20">
        <f t="shared" si="7"/>
        <v>7.6629353467947955E-2</v>
      </c>
      <c r="R52" s="20">
        <f t="shared" si="5"/>
        <v>8.2799413737971783E-2</v>
      </c>
    </row>
    <row r="53" spans="1:19" s="11" customFormat="1" ht="15.75">
      <c r="A53" s="20">
        <v>29</v>
      </c>
      <c r="B53" s="20">
        <f t="shared" si="0"/>
        <v>279.99743291430923</v>
      </c>
      <c r="C53" s="20">
        <f t="shared" si="1"/>
        <v>100</v>
      </c>
      <c r="D53" s="20">
        <f t="shared" si="17"/>
        <v>159.99914430476974</v>
      </c>
      <c r="E53" s="28">
        <f t="shared" si="4"/>
        <v>179.99743291430923</v>
      </c>
      <c r="F53" s="20">
        <f t="shared" si="2"/>
        <v>300.62088532043663</v>
      </c>
      <c r="G53" s="20">
        <f t="shared" si="8"/>
        <v>1.4114139030569504</v>
      </c>
      <c r="H53" s="20">
        <f t="shared" si="3"/>
        <v>1.1249899722678911</v>
      </c>
      <c r="I53" s="20">
        <f t="shared" si="10"/>
        <v>1.0003941615231209</v>
      </c>
      <c r="J53" s="20">
        <f t="shared" si="11"/>
        <v>1.0005443767086353</v>
      </c>
      <c r="K53" s="20">
        <f t="shared" si="16"/>
        <v>6.6384852347943306E-4</v>
      </c>
      <c r="L53" s="20">
        <f t="shared" si="6"/>
        <v>1.9174029333550904E-2</v>
      </c>
      <c r="M53" s="20">
        <f t="shared" si="12"/>
        <v>1.0113598547394953</v>
      </c>
      <c r="N53" s="20">
        <f t="shared" si="13"/>
        <v>1.0001680239109823</v>
      </c>
      <c r="O53" s="20">
        <f t="shared" si="14"/>
        <v>0.9997237624373515</v>
      </c>
      <c r="P53" s="20">
        <f t="shared" si="15"/>
        <v>7.6242141724644696E-3</v>
      </c>
      <c r="Q53" s="20">
        <f t="shared" si="7"/>
        <v>8.4253567640412419E-2</v>
      </c>
      <c r="R53" s="20">
        <f t="shared" si="5"/>
        <v>9.0644910751596058E-2</v>
      </c>
    </row>
    <row r="54" spans="1:19" s="11" customFormat="1" ht="15.75">
      <c r="A54" s="20">
        <v>30</v>
      </c>
      <c r="B54" s="20">
        <f t="shared" si="0"/>
        <v>282.85494249797915</v>
      </c>
      <c r="C54" s="20">
        <f t="shared" si="1"/>
        <v>100</v>
      </c>
      <c r="D54" s="20">
        <f t="shared" si="17"/>
        <v>160.95164749932638</v>
      </c>
      <c r="E54" s="28">
        <f t="shared" si="4"/>
        <v>182.85494249797915</v>
      </c>
      <c r="F54" s="20">
        <f t="shared" si="2"/>
        <v>305.21482337399738</v>
      </c>
      <c r="G54" s="20">
        <f t="shared" si="8"/>
        <v>1.4104129527378524</v>
      </c>
      <c r="H54" s="20">
        <f t="shared" si="3"/>
        <v>1.1360861807813707</v>
      </c>
      <c r="I54" s="20">
        <f t="shared" si="10"/>
        <v>1.000391821501696</v>
      </c>
      <c r="J54" s="20">
        <f t="shared" si="11"/>
        <v>1.0005382763962443</v>
      </c>
      <c r="K54" s="20">
        <f t="shared" si="16"/>
        <v>6.5835490956318301E-4</v>
      </c>
      <c r="L54" s="20">
        <f t="shared" si="6"/>
        <v>1.9832384243114086E-2</v>
      </c>
      <c r="M54" s="20">
        <f t="shared" si="12"/>
        <v>1.0130469137443738</v>
      </c>
      <c r="N54" s="20">
        <f t="shared" si="13"/>
        <v>1.000165239692693</v>
      </c>
      <c r="O54" s="20">
        <f t="shared" si="14"/>
        <v>0.99972540183247305</v>
      </c>
      <c r="P54" s="20">
        <f t="shared" si="15"/>
        <v>8.8169354617361265E-3</v>
      </c>
      <c r="Q54" s="20">
        <f t="shared" si="7"/>
        <v>9.3070503102148538E-2</v>
      </c>
      <c r="R54" s="20">
        <f t="shared" si="5"/>
        <v>9.9681297849853231E-2</v>
      </c>
    </row>
    <row r="55" spans="1:19" s="11" customFormat="1" ht="15.75">
      <c r="A55" s="20">
        <v>31</v>
      </c>
      <c r="B55" s="20">
        <f t="shared" si="0"/>
        <v>285.71245208164908</v>
      </c>
      <c r="C55" s="20">
        <f t="shared" si="1"/>
        <v>100</v>
      </c>
      <c r="D55" s="20">
        <f t="shared" si="17"/>
        <v>161.90415069388303</v>
      </c>
      <c r="E55" s="28">
        <f t="shared" si="4"/>
        <v>185.71245208164908</v>
      </c>
      <c r="F55" s="20">
        <f t="shared" si="2"/>
        <v>309.83596161053492</v>
      </c>
      <c r="G55" s="20">
        <f t="shared" si="8"/>
        <v>1.4094211619121113</v>
      </c>
      <c r="H55" s="20">
        <f t="shared" si="3"/>
        <v>1.1470518284165618</v>
      </c>
      <c r="I55" s="20">
        <f t="shared" si="10"/>
        <v>1.0003895091004213</v>
      </c>
      <c r="J55" s="20">
        <f t="shared" si="11"/>
        <v>1.0005322240961403</v>
      </c>
      <c r="K55" s="20">
        <f t="shared" si="16"/>
        <v>6.5290257845520606E-4</v>
      </c>
      <c r="L55" s="20">
        <f t="shared" si="6"/>
        <v>2.0485286821569294E-2</v>
      </c>
      <c r="M55" s="20">
        <f t="shared" si="12"/>
        <v>1.0153574911682528</v>
      </c>
      <c r="N55" s="20">
        <f t="shared" si="13"/>
        <v>1.0001625259383262</v>
      </c>
      <c r="O55" s="20">
        <f t="shared" si="14"/>
        <v>0.99972702188360751</v>
      </c>
      <c r="P55" s="20">
        <f t="shared" si="15"/>
        <v>1.0444690004172573E-2</v>
      </c>
      <c r="Q55" s="20">
        <f t="shared" si="7"/>
        <v>0.10351519310632111</v>
      </c>
      <c r="R55" s="20">
        <f t="shared" si="5"/>
        <v>0.11034362204684421</v>
      </c>
    </row>
    <row r="56" spans="1:19" s="11" customFormat="1" ht="15.75">
      <c r="A56" s="20">
        <v>32</v>
      </c>
      <c r="B56" s="20">
        <f t="shared" si="0"/>
        <v>288.569961665319</v>
      </c>
      <c r="C56" s="20">
        <f t="shared" si="1"/>
        <v>100</v>
      </c>
      <c r="D56" s="20">
        <f t="shared" si="17"/>
        <v>162.85665388843967</v>
      </c>
      <c r="E56" s="28">
        <f t="shared" si="4"/>
        <v>188.569961665319</v>
      </c>
      <c r="F56" s="20">
        <f t="shared" si="2"/>
        <v>314.48382277117344</v>
      </c>
      <c r="G56" s="20">
        <f t="shared" si="8"/>
        <v>1.4084384459653905</v>
      </c>
      <c r="H56" s="20">
        <f t="shared" si="3"/>
        <v>1.1578892060160679</v>
      </c>
      <c r="I56" s="20">
        <f t="shared" si="10"/>
        <v>1.0003872238331477</v>
      </c>
      <c r="J56" s="20">
        <f t="shared" si="11"/>
        <v>1.0005262226476643</v>
      </c>
      <c r="K56" s="20">
        <f t="shared" si="16"/>
        <v>6.4749343137734288E-4</v>
      </c>
      <c r="L56" s="20">
        <f t="shared" si="6"/>
        <v>2.1132780252946636E-2</v>
      </c>
      <c r="M56" s="20">
        <f t="shared" si="12"/>
        <v>1.0187164001146594</v>
      </c>
      <c r="N56" s="20">
        <f t="shared" si="13"/>
        <v>1.0001598802330194</v>
      </c>
      <c r="O56" s="20">
        <f t="shared" si="14"/>
        <v>0.99972862293112086</v>
      </c>
      <c r="P56" s="20">
        <f t="shared" si="15"/>
        <v>1.2801350203321361E-2</v>
      </c>
      <c r="Q56" s="20">
        <f t="shared" si="7"/>
        <v>0.11631654330964247</v>
      </c>
      <c r="R56" s="20">
        <f t="shared" si="5"/>
        <v>0.12336080339395802</v>
      </c>
    </row>
    <row r="57" spans="1:19" s="11" customFormat="1" ht="15.75">
      <c r="A57" s="20">
        <v>33</v>
      </c>
      <c r="B57" s="20">
        <f t="shared" si="0"/>
        <v>291.42747124898892</v>
      </c>
      <c r="C57" s="20">
        <f t="shared" si="1"/>
        <v>100</v>
      </c>
      <c r="D57" s="20">
        <f t="shared" si="17"/>
        <v>163.80915708299631</v>
      </c>
      <c r="E57" s="28">
        <f t="shared" si="4"/>
        <v>191.42747124898892</v>
      </c>
      <c r="F57" s="20">
        <f t="shared" si="2"/>
        <v>319.15794069753031</v>
      </c>
      <c r="G57" s="20">
        <f t="shared" si="8"/>
        <v>1.4074647179173165</v>
      </c>
      <c r="H57" s="20">
        <f t="shared" si="3"/>
        <v>1.1686005511401258</v>
      </c>
      <c r="I57" s="20">
        <f t="shared" si="10"/>
        <v>1.0003849652250694</v>
      </c>
      <c r="J57" s="20">
        <f t="shared" si="11"/>
        <v>1.0005202745602935</v>
      </c>
      <c r="K57" s="20">
        <f t="shared" si="16"/>
        <v>6.4212914764990355E-4</v>
      </c>
      <c r="L57" s="20">
        <f t="shared" si="6"/>
        <v>2.1774909400596541E-2</v>
      </c>
      <c r="M57" s="20">
        <f t="shared" si="12"/>
        <v>1.0240511342011496</v>
      </c>
      <c r="N57" s="20">
        <f t="shared" si="13"/>
        <v>1.0001573002666733</v>
      </c>
      <c r="O57" s="20">
        <f t="shared" si="14"/>
        <v>0.99973020530744039</v>
      </c>
      <c r="P57" s="20">
        <f t="shared" si="15"/>
        <v>1.6524575080570543E-2</v>
      </c>
      <c r="Q57" s="20">
        <f t="shared" si="7"/>
        <v>0.13284111839021301</v>
      </c>
      <c r="R57" s="20">
        <f t="shared" si="5"/>
        <v>0.14009942152374519</v>
      </c>
    </row>
    <row r="58" spans="1:19" s="11" customFormat="1" ht="15.75">
      <c r="A58" s="20">
        <v>34</v>
      </c>
      <c r="B58" s="20">
        <f t="shared" si="0"/>
        <v>294.28498083265885</v>
      </c>
      <c r="C58" s="20">
        <f t="shared" si="1"/>
        <v>100</v>
      </c>
      <c r="D58" s="20">
        <f t="shared" si="17"/>
        <v>164.76166027755295</v>
      </c>
      <c r="E58" s="28">
        <f t="shared" si="4"/>
        <v>194.28498083265885</v>
      </c>
      <c r="F58" s="20">
        <f t="shared" si="2"/>
        <v>323.85786001085108</v>
      </c>
      <c r="G58" s="20">
        <f t="shared" si="8"/>
        <v>1.4064998887530085</v>
      </c>
      <c r="H58" s="20">
        <f t="shared" si="3"/>
        <v>1.1791880496067575</v>
      </c>
      <c r="I58" s="20">
        <f t="shared" si="10"/>
        <v>1.0003827328123935</v>
      </c>
      <c r="J58" s="20">
        <f t="shared" si="11"/>
        <v>1.0005143820407265</v>
      </c>
      <c r="K58" s="20">
        <f t="shared" si="16"/>
        <v>6.3681120256018514E-4</v>
      </c>
      <c r="L58" s="20">
        <f t="shared" si="6"/>
        <v>2.2411720603156726E-2</v>
      </c>
      <c r="M58" s="20">
        <f t="shared" si="12"/>
        <v>1.0338615580916704</v>
      </c>
      <c r="N58" s="20">
        <f t="shared" si="13"/>
        <v>1.0001547838284446</v>
      </c>
      <c r="O58" s="20">
        <f t="shared" si="14"/>
        <v>0.99973176933728503</v>
      </c>
      <c r="P58" s="20">
        <f t="shared" si="15"/>
        <v>2.3315922913197732E-2</v>
      </c>
      <c r="Q58" s="20">
        <f t="shared" si="7"/>
        <v>0.15615704130341074</v>
      </c>
      <c r="R58" s="20">
        <f t="shared" si="5"/>
        <v>0.16362761483779631</v>
      </c>
    </row>
    <row r="59" spans="1:19" s="11" customFormat="1" ht="15.75">
      <c r="A59" s="20">
        <v>35</v>
      </c>
      <c r="B59" s="20">
        <f t="shared" si="0"/>
        <v>297.14249041632877</v>
      </c>
      <c r="C59" s="20">
        <f t="shared" si="1"/>
        <v>100</v>
      </c>
      <c r="D59" s="20">
        <f t="shared" si="17"/>
        <v>165.71416347210959</v>
      </c>
      <c r="E59" s="28">
        <f t="shared" si="4"/>
        <v>197.14249041632877</v>
      </c>
      <c r="F59" s="20">
        <f t="shared" si="2"/>
        <v>328.58313580220931</v>
      </c>
      <c r="G59" s="20">
        <f t="shared" si="8"/>
        <v>1.4055438677266501</v>
      </c>
      <c r="H59" s="20">
        <f t="shared" si="3"/>
        <v>1.189653836978809</v>
      </c>
      <c r="I59" s="20">
        <f t="shared" si="10"/>
        <v>1.0003805261420242</v>
      </c>
      <c r="J59" s="20">
        <f t="shared" si="11"/>
        <v>1.0005085470178845</v>
      </c>
      <c r="K59" s="20">
        <f t="shared" si="16"/>
        <v>6.3154088388227237E-4</v>
      </c>
      <c r="L59" s="20">
        <f t="shared" si="6"/>
        <v>2.3043261487038998E-2</v>
      </c>
      <c r="M59" s="20">
        <f t="shared" si="12"/>
        <v>1.0582244197805981</v>
      </c>
      <c r="N59" s="20">
        <f t="shared" si="13"/>
        <v>1.000152328801579</v>
      </c>
      <c r="O59" s="20">
        <f t="shared" si="14"/>
        <v>0.99973331533788701</v>
      </c>
      <c r="P59" s="20">
        <f t="shared" si="15"/>
        <v>3.9897445502695562E-2</v>
      </c>
      <c r="Q59" s="20">
        <f t="shared" si="7"/>
        <v>0.19605448680610629</v>
      </c>
      <c r="R59" s="20">
        <f t="shared" si="5"/>
        <v>0.20373557396845263</v>
      </c>
    </row>
    <row r="60" spans="1:19" s="11" customFormat="1" ht="15.75">
      <c r="A60" s="20">
        <v>36</v>
      </c>
      <c r="B60" s="20">
        <f t="shared" si="0"/>
        <v>300</v>
      </c>
      <c r="C60" s="20">
        <f t="shared" si="1"/>
        <v>100</v>
      </c>
      <c r="D60" s="20">
        <f>pcs</f>
        <v>166.66666666666666</v>
      </c>
      <c r="E60" s="20">
        <f t="shared" si="4"/>
        <v>199.99999999999997</v>
      </c>
      <c r="F60" s="20">
        <f t="shared" si="2"/>
        <v>333.33333333333331</v>
      </c>
      <c r="G60" s="20">
        <f t="shared" si="8"/>
        <v>1.4045965626392742</v>
      </c>
      <c r="H60" s="20">
        <f t="shared" si="3"/>
        <v>1.2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9" s="11" customFormat="1" ht="15.75"/>
    <row r="62" spans="1:19" ht="15.75">
      <c r="O62" s="21"/>
      <c r="P62" s="21"/>
      <c r="Q62" s="21"/>
      <c r="R62" s="21"/>
      <c r="S62" s="21"/>
    </row>
    <row r="63" spans="1:19" s="21" customFormat="1" ht="15.75"/>
    <row r="64" spans="1:19">
      <c r="C64" s="22"/>
      <c r="D64" s="22"/>
      <c r="E64" s="22"/>
    </row>
    <row r="65" spans="3:5">
      <c r="C65" s="22"/>
      <c r="D65" s="22"/>
      <c r="E65" s="22"/>
    </row>
    <row r="66" spans="3:5">
      <c r="C66" s="22"/>
      <c r="D66" s="22"/>
      <c r="E66" s="22"/>
    </row>
    <row r="67" spans="3:5">
      <c r="C67" s="22"/>
      <c r="D67" s="22"/>
      <c r="E67" s="22"/>
    </row>
    <row r="68" spans="3:5">
      <c r="C68" s="22"/>
      <c r="D68" s="22"/>
      <c r="E68" s="22"/>
    </row>
    <row r="69" spans="3:5">
      <c r="C69" s="22"/>
      <c r="D69" s="22"/>
      <c r="E69" s="22"/>
    </row>
    <row r="70" spans="3:5">
      <c r="C70" s="22"/>
      <c r="D70" s="22"/>
      <c r="E70" s="22"/>
    </row>
    <row r="71" spans="3:5">
      <c r="C71" s="22"/>
      <c r="D71" s="22"/>
      <c r="E71" s="22"/>
    </row>
    <row r="72" spans="3:5">
      <c r="C72" s="22"/>
      <c r="D72" s="22"/>
      <c r="E72" s="22"/>
    </row>
    <row r="73" spans="3:5">
      <c r="C73" s="22"/>
      <c r="D73" s="22"/>
      <c r="E73" s="22"/>
    </row>
    <row r="74" spans="3:5">
      <c r="C74" s="22"/>
      <c r="D74" s="22"/>
      <c r="E74" s="22"/>
    </row>
    <row r="75" spans="3:5">
      <c r="C75" s="22"/>
      <c r="D75" s="22"/>
      <c r="E75" s="22"/>
    </row>
    <row r="76" spans="3:5">
      <c r="C76" s="22"/>
      <c r="D76" s="22"/>
      <c r="E76" s="22"/>
    </row>
  </sheetData>
  <phoneticPr fontId="0" type="noConversion"/>
  <pageMargins left="0.17" right="0.18" top="0.22" bottom="0.2" header="0.19" footer="0.16"/>
  <pageSetup scale="7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H45" sqref="H45"/>
    </sheetView>
  </sheetViews>
  <sheetFormatPr defaultRowHeight="12.75"/>
  <cols>
    <col min="2" max="2" width="19.85546875" customWidth="1"/>
    <col min="3" max="3" width="22.85546875" customWidth="1"/>
    <col min="4" max="4" width="16.85546875" customWidth="1"/>
    <col min="8" max="8" width="19.85546875" customWidth="1"/>
    <col min="9" max="9" width="22.85546875" customWidth="1"/>
    <col min="10" max="10" width="16.85546875" customWidth="1"/>
  </cols>
  <sheetData>
    <row r="1" spans="1:10">
      <c r="A1" s="27" t="s">
        <v>51</v>
      </c>
      <c r="G1" s="27" t="s">
        <v>52</v>
      </c>
    </row>
    <row r="2" spans="1:10" ht="15">
      <c r="A2" s="2" t="s">
        <v>22</v>
      </c>
      <c r="B2" s="3" t="s">
        <v>23</v>
      </c>
      <c r="C2" s="3" t="s">
        <v>49</v>
      </c>
      <c r="D2" s="3" t="s">
        <v>50</v>
      </c>
      <c r="G2" s="3" t="s">
        <v>22</v>
      </c>
      <c r="H2" s="3" t="s">
        <v>23</v>
      </c>
      <c r="I2" s="3" t="s">
        <v>49</v>
      </c>
      <c r="J2" s="3" t="s">
        <v>50</v>
      </c>
    </row>
    <row r="3" spans="1:10" ht="15">
      <c r="A3" s="4">
        <v>1</v>
      </c>
      <c r="B3" s="5">
        <v>0</v>
      </c>
      <c r="C3" s="30">
        <v>3.1025000000000001E-20</v>
      </c>
      <c r="D3" s="32">
        <v>1.1336000000000001E-18</v>
      </c>
      <c r="G3" s="5">
        <v>1</v>
      </c>
      <c r="H3" s="37">
        <v>0</v>
      </c>
      <c r="I3" s="34">
        <v>3.4432E-20</v>
      </c>
      <c r="J3" s="36">
        <v>1.1155299999999999E-18</v>
      </c>
    </row>
    <row r="4" spans="1:10" ht="15">
      <c r="A4" s="4">
        <v>2</v>
      </c>
      <c r="B4" s="5">
        <v>27.852</v>
      </c>
      <c r="C4" s="29">
        <v>6.2140999999999997E-4</v>
      </c>
      <c r="D4" s="31">
        <v>4.7150799999999999E-4</v>
      </c>
      <c r="G4" s="5">
        <v>2</v>
      </c>
      <c r="H4" s="37">
        <v>27.54</v>
      </c>
      <c r="I4" s="33">
        <v>6.2208999999999995E-4</v>
      </c>
      <c r="J4" s="35">
        <v>4.8953799999999997E-4</v>
      </c>
    </row>
    <row r="5" spans="1:10" ht="15">
      <c r="A5" s="4">
        <v>3</v>
      </c>
      <c r="B5" s="5">
        <v>55.71</v>
      </c>
      <c r="C5" s="29">
        <v>1.2309E-3</v>
      </c>
      <c r="D5" s="31">
        <v>9.0720000000000004E-4</v>
      </c>
      <c r="G5" s="5">
        <v>3</v>
      </c>
      <c r="H5" s="37">
        <v>55.45</v>
      </c>
      <c r="I5" s="33">
        <v>1.2313999999999999E-3</v>
      </c>
      <c r="J5" s="35">
        <v>9.2153999999999999E-4</v>
      </c>
    </row>
    <row r="6" spans="1:10" ht="15">
      <c r="A6" s="4">
        <v>4</v>
      </c>
      <c r="B6" s="5">
        <v>83.56</v>
      </c>
      <c r="C6" s="29">
        <v>1.8295E-3</v>
      </c>
      <c r="D6" s="31">
        <v>1.31032E-3</v>
      </c>
      <c r="G6" s="5">
        <v>4</v>
      </c>
      <c r="H6" s="37">
        <v>83.34</v>
      </c>
      <c r="I6" s="33">
        <v>1.8299E-3</v>
      </c>
      <c r="J6" s="35">
        <v>1.32278E-3</v>
      </c>
    </row>
    <row r="7" spans="1:10" ht="15">
      <c r="A7" s="4">
        <v>5</v>
      </c>
      <c r="B7" s="5">
        <v>111.28</v>
      </c>
      <c r="C7" s="29">
        <v>2.4217000000000002E-3</v>
      </c>
      <c r="D7" s="31">
        <v>1.6867799999999999E-3</v>
      </c>
      <c r="G7" s="5">
        <v>5</v>
      </c>
      <c r="H7" s="37">
        <v>111.22</v>
      </c>
      <c r="I7" s="33">
        <v>2.4191E-3</v>
      </c>
      <c r="J7" s="35">
        <v>1.6963600000000001E-3</v>
      </c>
    </row>
    <row r="8" spans="1:10" ht="15">
      <c r="A8" s="4">
        <v>6</v>
      </c>
      <c r="B8" s="5">
        <v>111.36</v>
      </c>
      <c r="C8" s="29">
        <v>2.4819999999999998E-3</v>
      </c>
      <c r="D8" s="31">
        <v>1.7248400000000001E-3</v>
      </c>
      <c r="G8" s="5">
        <v>6</v>
      </c>
      <c r="H8" s="37">
        <v>113.85</v>
      </c>
      <c r="I8" s="33">
        <v>4.3447E-3</v>
      </c>
      <c r="J8" s="35">
        <v>2.5156800000000002E-3</v>
      </c>
    </row>
    <row r="9" spans="1:10" ht="15">
      <c r="A9" s="4">
        <v>7</v>
      </c>
      <c r="B9" s="5">
        <v>113.94</v>
      </c>
      <c r="C9" s="29">
        <v>4.2136999999999999E-3</v>
      </c>
      <c r="D9" s="31">
        <v>2.4483399999999998E-3</v>
      </c>
      <c r="G9" s="5">
        <v>7</v>
      </c>
      <c r="H9" s="37">
        <v>116.68</v>
      </c>
      <c r="I9" s="33">
        <v>6.3423999999999998E-3</v>
      </c>
      <c r="J9" s="35">
        <v>3.3134000000000002E-3</v>
      </c>
    </row>
    <row r="10" spans="1:10" ht="15">
      <c r="A10" s="4">
        <v>8</v>
      </c>
      <c r="B10" s="5">
        <v>116.77</v>
      </c>
      <c r="C10" s="29">
        <v>6.1615000000000003E-3</v>
      </c>
      <c r="D10" s="31">
        <v>3.2296999999999998E-3</v>
      </c>
      <c r="G10" s="5">
        <v>8</v>
      </c>
      <c r="H10" s="37">
        <v>119.53</v>
      </c>
      <c r="I10" s="33">
        <v>8.4162000000000004E-3</v>
      </c>
      <c r="J10" s="35">
        <v>4.1092000000000004E-3</v>
      </c>
    </row>
    <row r="11" spans="1:10" ht="15">
      <c r="A11" s="4">
        <v>9</v>
      </c>
      <c r="B11" s="5">
        <v>119.61</v>
      </c>
      <c r="C11" s="29">
        <v>8.1927000000000007E-3</v>
      </c>
      <c r="D11" s="31">
        <v>4.0106999999999999E-3</v>
      </c>
      <c r="G11" s="5">
        <v>9</v>
      </c>
      <c r="H11" s="37">
        <v>122.38</v>
      </c>
      <c r="I11" s="33">
        <v>1.0571000000000001E-2</v>
      </c>
      <c r="J11" s="35">
        <v>4.9036000000000001E-3</v>
      </c>
    </row>
    <row r="12" spans="1:10" ht="15">
      <c r="A12" s="4">
        <v>10</v>
      </c>
      <c r="B12" s="5">
        <v>122.46</v>
      </c>
      <c r="C12" s="29">
        <v>1.0302E-2</v>
      </c>
      <c r="D12" s="31">
        <v>4.7873999999999998E-3</v>
      </c>
      <c r="G12" s="5">
        <v>10</v>
      </c>
      <c r="H12" s="37">
        <v>125.54</v>
      </c>
      <c r="I12" s="33">
        <v>1.2810999999999999E-2</v>
      </c>
      <c r="J12" s="35">
        <v>5.6423999999999997E-3</v>
      </c>
    </row>
    <row r="13" spans="1:10" ht="15">
      <c r="A13" s="4">
        <v>11</v>
      </c>
      <c r="B13" s="5">
        <v>125.32</v>
      </c>
      <c r="C13" s="29">
        <v>1.2489E-2</v>
      </c>
      <c r="D13" s="31">
        <v>5.5579999999999996E-3</v>
      </c>
      <c r="G13" s="5">
        <v>11</v>
      </c>
      <c r="H13" s="37">
        <v>128.37</v>
      </c>
      <c r="I13" s="33">
        <v>1.5143999999999999E-2</v>
      </c>
      <c r="J13" s="35">
        <v>6.4092000000000003E-3</v>
      </c>
    </row>
    <row r="14" spans="1:10" ht="15">
      <c r="A14" s="4">
        <v>12</v>
      </c>
      <c r="B14" s="5">
        <v>128.16</v>
      </c>
      <c r="C14" s="29">
        <v>1.4755000000000001E-2</v>
      </c>
      <c r="D14" s="31">
        <v>6.3206E-3</v>
      </c>
      <c r="G14" s="5">
        <v>12</v>
      </c>
      <c r="H14" s="37">
        <v>131.30000000000001</v>
      </c>
      <c r="I14" s="33">
        <v>1.7575E-2</v>
      </c>
      <c r="J14" s="35">
        <v>7.1732000000000002E-3</v>
      </c>
    </row>
    <row r="15" spans="1:10" ht="15">
      <c r="A15" s="4">
        <v>13</v>
      </c>
      <c r="B15" s="5">
        <v>130.99</v>
      </c>
      <c r="C15" s="29">
        <v>1.7104999999999999E-2</v>
      </c>
      <c r="D15" s="31">
        <v>7.0764000000000001E-3</v>
      </c>
      <c r="G15" s="5">
        <v>13</v>
      </c>
      <c r="H15" s="37">
        <v>134.16</v>
      </c>
      <c r="I15" s="33">
        <v>2.0112000000000001E-2</v>
      </c>
      <c r="J15" s="35">
        <v>7.9413999999999995E-3</v>
      </c>
    </row>
    <row r="16" spans="1:10" ht="15">
      <c r="A16" s="4">
        <v>14</v>
      </c>
      <c r="B16" s="5">
        <v>133.81</v>
      </c>
      <c r="C16" s="29">
        <v>1.9542E-2</v>
      </c>
      <c r="D16" s="31">
        <v>7.8230000000000001E-3</v>
      </c>
      <c r="G16" s="5">
        <v>14</v>
      </c>
      <c r="H16" s="37">
        <v>137.06</v>
      </c>
      <c r="I16" s="33">
        <v>2.2764E-2</v>
      </c>
      <c r="J16" s="35">
        <v>8.7011999999999992E-3</v>
      </c>
    </row>
    <row r="17" spans="1:10" ht="15">
      <c r="A17" s="4">
        <v>15</v>
      </c>
      <c r="B17" s="5">
        <v>136.69999999999999</v>
      </c>
      <c r="C17" s="29">
        <v>2.2134999999999998E-2</v>
      </c>
      <c r="D17" s="31">
        <v>8.5793999999999992E-3</v>
      </c>
      <c r="G17" s="5">
        <v>15</v>
      </c>
      <c r="H17" s="37">
        <v>139.94</v>
      </c>
      <c r="I17" s="33">
        <v>2.5541000000000001E-2</v>
      </c>
      <c r="J17" s="35">
        <v>9.4616000000000006E-3</v>
      </c>
    </row>
    <row r="18" spans="1:10" ht="15">
      <c r="A18" s="4">
        <v>16</v>
      </c>
      <c r="B18" s="5">
        <v>139.53</v>
      </c>
      <c r="C18" s="29">
        <v>2.4799999999999999E-2</v>
      </c>
      <c r="D18" s="31">
        <v>9.3185999999999998E-3</v>
      </c>
      <c r="G18" s="5">
        <v>16</v>
      </c>
      <c r="H18" s="37">
        <v>142.83000000000001</v>
      </c>
      <c r="I18" s="33">
        <v>2.8454E-2</v>
      </c>
      <c r="J18" s="35">
        <v>1.02206E-2</v>
      </c>
    </row>
    <row r="19" spans="1:10" ht="15">
      <c r="A19" s="4">
        <v>17</v>
      </c>
      <c r="B19" s="5">
        <v>142.34</v>
      </c>
      <c r="C19" s="29">
        <v>2.7557000000000002E-2</v>
      </c>
      <c r="D19" s="31">
        <v>1.0044000000000001E-2</v>
      </c>
      <c r="G19" s="5">
        <v>17</v>
      </c>
      <c r="H19" s="37">
        <v>145.77000000000001</v>
      </c>
      <c r="I19" s="33">
        <v>3.1516000000000002E-2</v>
      </c>
      <c r="J19" s="35">
        <v>1.0968E-2</v>
      </c>
    </row>
    <row r="20" spans="1:10" ht="15">
      <c r="A20" s="4">
        <v>18</v>
      </c>
      <c r="B20" s="5">
        <v>145.19</v>
      </c>
      <c r="C20" s="29">
        <v>3.0485999999999999E-2</v>
      </c>
      <c r="D20" s="31">
        <v>1.0774799999999999E-2</v>
      </c>
      <c r="G20" s="5">
        <v>18</v>
      </c>
      <c r="H20" s="37">
        <v>148.68</v>
      </c>
      <c r="I20" s="33">
        <v>3.4742000000000002E-2</v>
      </c>
      <c r="J20" s="35">
        <v>1.172E-2</v>
      </c>
    </row>
    <row r="21" spans="1:10" ht="15">
      <c r="A21" s="4">
        <v>19</v>
      </c>
      <c r="B21" s="5">
        <v>148.05000000000001</v>
      </c>
      <c r="C21" s="29">
        <v>3.3569000000000002E-2</v>
      </c>
      <c r="D21" s="31">
        <v>1.1501000000000001E-2</v>
      </c>
      <c r="G21" s="5">
        <v>19</v>
      </c>
      <c r="H21" s="37">
        <v>151.61000000000001</v>
      </c>
      <c r="I21" s="33">
        <v>3.8150999999999997E-2</v>
      </c>
      <c r="J21" s="35">
        <v>1.2473E-2</v>
      </c>
    </row>
    <row r="22" spans="1:10" ht="15">
      <c r="A22" s="4">
        <v>20</v>
      </c>
      <c r="B22" s="5">
        <v>150.9</v>
      </c>
      <c r="C22" s="29">
        <v>3.6808E-2</v>
      </c>
      <c r="D22" s="31">
        <v>1.222E-2</v>
      </c>
      <c r="G22" s="5">
        <v>20</v>
      </c>
      <c r="H22" s="37">
        <v>154.69</v>
      </c>
      <c r="I22" s="33">
        <v>4.1764999999999997E-2</v>
      </c>
      <c r="J22" s="35">
        <v>1.3174999999999999E-2</v>
      </c>
    </row>
    <row r="23" spans="1:10" ht="15">
      <c r="A23" s="4">
        <v>21</v>
      </c>
      <c r="B23" s="5">
        <v>153.72999999999999</v>
      </c>
      <c r="C23" s="29">
        <v>4.0207E-2</v>
      </c>
      <c r="D23" s="31">
        <v>1.2929E-2</v>
      </c>
      <c r="G23" s="5">
        <v>21</v>
      </c>
      <c r="H23" s="37">
        <v>157.57</v>
      </c>
      <c r="I23" s="33">
        <v>4.5608000000000003E-2</v>
      </c>
      <c r="J23" s="35">
        <v>1.3896E-2</v>
      </c>
    </row>
    <row r="24" spans="1:10" ht="15">
      <c r="A24" s="4">
        <v>22</v>
      </c>
      <c r="B24" s="5">
        <v>156.6</v>
      </c>
      <c r="C24" s="29">
        <v>4.3841999999999999E-2</v>
      </c>
      <c r="D24" s="31">
        <v>1.3639999999999999E-2</v>
      </c>
      <c r="G24" s="5">
        <v>22</v>
      </c>
      <c r="H24" s="37">
        <v>160.46</v>
      </c>
      <c r="I24" s="33">
        <v>4.9710999999999998E-2</v>
      </c>
      <c r="J24" s="35">
        <v>1.4619E-2</v>
      </c>
    </row>
    <row r="25" spans="1:10" ht="15">
      <c r="A25" s="4">
        <v>23</v>
      </c>
      <c r="B25" s="5">
        <v>159.47999999999999</v>
      </c>
      <c r="C25" s="29">
        <v>4.7699999999999999E-2</v>
      </c>
      <c r="D25" s="31">
        <v>1.4344000000000001E-2</v>
      </c>
      <c r="G25" s="5">
        <v>23</v>
      </c>
      <c r="H25" s="37">
        <v>163.4</v>
      </c>
      <c r="I25" s="33">
        <v>5.4114000000000002E-2</v>
      </c>
      <c r="J25" s="35">
        <v>1.5350000000000001E-2</v>
      </c>
    </row>
    <row r="26" spans="1:10" ht="15">
      <c r="A26" s="4">
        <v>24</v>
      </c>
      <c r="B26" s="5">
        <v>162.32</v>
      </c>
      <c r="C26" s="29">
        <v>5.1788000000000001E-2</v>
      </c>
      <c r="D26" s="31">
        <v>1.504E-2</v>
      </c>
      <c r="G26" s="5">
        <v>24</v>
      </c>
      <c r="H26" s="37">
        <v>166.38</v>
      </c>
      <c r="I26" s="33">
        <v>5.8860999999999997E-2</v>
      </c>
      <c r="J26" s="35">
        <v>1.6084999999999999E-2</v>
      </c>
    </row>
    <row r="27" spans="1:10" ht="15">
      <c r="A27" s="4">
        <v>25</v>
      </c>
      <c r="B27" s="5">
        <v>165.14</v>
      </c>
      <c r="C27" s="29">
        <v>5.6126000000000002E-2</v>
      </c>
      <c r="D27" s="31">
        <v>1.5722E-2</v>
      </c>
      <c r="G27" s="5">
        <v>25</v>
      </c>
      <c r="H27" s="37">
        <v>169.44</v>
      </c>
      <c r="I27" s="33">
        <v>6.4014000000000001E-2</v>
      </c>
      <c r="J27" s="35">
        <v>1.6768000000000002E-2</v>
      </c>
    </row>
    <row r="28" spans="1:10" ht="15">
      <c r="A28" s="4">
        <v>26</v>
      </c>
      <c r="B28" s="5">
        <v>168.01</v>
      </c>
      <c r="C28" s="29">
        <v>6.0860999999999998E-2</v>
      </c>
      <c r="D28" s="31">
        <v>1.6409E-2</v>
      </c>
      <c r="G28" s="5">
        <v>26</v>
      </c>
      <c r="H28" s="37">
        <v>172.37</v>
      </c>
      <c r="I28" s="33">
        <v>6.9648000000000002E-2</v>
      </c>
      <c r="J28" s="35">
        <v>1.7479999999999999E-2</v>
      </c>
    </row>
    <row r="29" spans="1:10" ht="15">
      <c r="A29" s="4">
        <v>27</v>
      </c>
      <c r="B29" s="5">
        <v>170.87</v>
      </c>
      <c r="C29" s="29">
        <v>6.5976999999999994E-2</v>
      </c>
      <c r="D29" s="31">
        <v>1.7089E-2</v>
      </c>
      <c r="G29" s="5">
        <v>27</v>
      </c>
      <c r="H29" s="37">
        <v>175.37</v>
      </c>
      <c r="I29" s="33">
        <v>7.5864000000000001E-2</v>
      </c>
      <c r="J29" s="35">
        <v>1.8206E-2</v>
      </c>
    </row>
    <row r="30" spans="1:10" ht="15">
      <c r="A30" s="4">
        <v>28</v>
      </c>
      <c r="B30" s="5">
        <v>173.73</v>
      </c>
      <c r="C30" s="29">
        <v>7.1554000000000006E-2</v>
      </c>
      <c r="D30" s="31">
        <v>1.7763999999999999E-2</v>
      </c>
      <c r="G30" s="5">
        <v>28</v>
      </c>
      <c r="H30" s="37">
        <v>178.43</v>
      </c>
      <c r="I30" s="33">
        <v>8.2798999999999998E-2</v>
      </c>
      <c r="J30" s="35">
        <v>1.8889E-2</v>
      </c>
    </row>
    <row r="31" spans="1:10" ht="15">
      <c r="A31" s="4">
        <v>29</v>
      </c>
      <c r="B31" s="5">
        <v>176.58</v>
      </c>
      <c r="C31" s="29">
        <v>7.7674000000000007E-2</v>
      </c>
      <c r="D31" s="31">
        <v>1.8429999999999998E-2</v>
      </c>
      <c r="G31" s="5">
        <v>29</v>
      </c>
      <c r="H31" s="37">
        <v>181.44</v>
      </c>
      <c r="I31" s="33">
        <v>9.0645000000000003E-2</v>
      </c>
      <c r="J31" s="35">
        <v>1.9612999999999998E-2</v>
      </c>
    </row>
    <row r="32" spans="1:10" ht="15">
      <c r="A32" s="4">
        <v>30</v>
      </c>
      <c r="B32" s="5">
        <v>179.41</v>
      </c>
      <c r="C32" s="29">
        <v>8.4430000000000005E-2</v>
      </c>
      <c r="D32" s="31">
        <v>1.9088000000000001E-2</v>
      </c>
      <c r="G32" s="5">
        <v>30</v>
      </c>
      <c r="H32" s="37">
        <v>184.55</v>
      </c>
      <c r="I32" s="33">
        <v>9.9681000000000006E-2</v>
      </c>
      <c r="J32" s="35">
        <v>2.0313000000000001E-2</v>
      </c>
    </row>
    <row r="33" spans="1:10" ht="15">
      <c r="A33" s="4">
        <v>31</v>
      </c>
      <c r="B33" s="5">
        <v>182.27</v>
      </c>
      <c r="C33" s="29">
        <v>9.2118000000000005E-2</v>
      </c>
      <c r="D33" s="31">
        <v>1.9746E-2</v>
      </c>
      <c r="G33" s="5">
        <v>31</v>
      </c>
      <c r="H33" s="37">
        <v>187.65</v>
      </c>
      <c r="I33" s="33">
        <v>0.11033999999999999</v>
      </c>
      <c r="J33" s="35">
        <v>2.1011999999999999E-2</v>
      </c>
    </row>
    <row r="34" spans="1:10" ht="15">
      <c r="A34" s="4">
        <v>32</v>
      </c>
      <c r="B34" s="5">
        <v>185.13</v>
      </c>
      <c r="C34" s="29">
        <v>0.10088</v>
      </c>
      <c r="D34" s="31">
        <v>2.0397999999999999E-2</v>
      </c>
      <c r="G34" s="5">
        <v>32</v>
      </c>
      <c r="H34" s="37">
        <v>190.7</v>
      </c>
      <c r="I34" s="33">
        <v>0.12336</v>
      </c>
      <c r="J34" s="35">
        <v>2.1683999999999998E-2</v>
      </c>
    </row>
    <row r="35" spans="1:10" ht="15">
      <c r="A35" s="4">
        <v>33</v>
      </c>
      <c r="B35" s="5">
        <v>187.98</v>
      </c>
      <c r="C35" s="29">
        <v>0.11111</v>
      </c>
      <c r="D35" s="31">
        <v>2.104E-2</v>
      </c>
      <c r="G35" s="5">
        <v>33</v>
      </c>
      <c r="H35" s="37">
        <v>193.76</v>
      </c>
      <c r="I35" s="33">
        <v>0.1401</v>
      </c>
      <c r="J35" s="35">
        <v>2.2377999999999999E-2</v>
      </c>
    </row>
    <row r="36" spans="1:10" ht="15">
      <c r="A36" s="4">
        <v>34</v>
      </c>
      <c r="B36" s="5">
        <v>190.83</v>
      </c>
      <c r="C36" s="29">
        <v>0.12349</v>
      </c>
      <c r="D36" s="31">
        <v>2.1680000000000001E-2</v>
      </c>
      <c r="G36" s="5">
        <v>34</v>
      </c>
      <c r="H36" s="37">
        <v>196.87</v>
      </c>
      <c r="I36" s="33">
        <v>0.16363</v>
      </c>
      <c r="J36" s="35">
        <v>2.3066E-2</v>
      </c>
    </row>
    <row r="37" spans="1:10" ht="15">
      <c r="A37" s="4">
        <v>35</v>
      </c>
      <c r="B37" s="5">
        <v>193.68</v>
      </c>
      <c r="C37" s="29">
        <v>0.13908000000000001</v>
      </c>
      <c r="D37" s="31">
        <v>2.2318000000000001E-2</v>
      </c>
      <c r="G37" s="5">
        <v>35</v>
      </c>
      <c r="H37" s="37">
        <v>200.21</v>
      </c>
      <c r="I37" s="33">
        <v>0.20374</v>
      </c>
      <c r="J37" s="35">
        <v>2.3806000000000001E-2</v>
      </c>
    </row>
    <row r="38" spans="1:10" ht="15">
      <c r="A38" s="4">
        <v>36</v>
      </c>
      <c r="B38" s="5">
        <v>196.54</v>
      </c>
      <c r="C38" s="29">
        <v>0.16039</v>
      </c>
      <c r="D38" s="31">
        <v>2.2943999999999999E-2</v>
      </c>
      <c r="G38" s="5"/>
      <c r="H38" s="5"/>
      <c r="I38" s="31"/>
      <c r="J38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4" baseType="lpstr">
      <vt:lpstr>Sheet2</vt:lpstr>
      <vt:lpstr>Analytical Solution</vt:lpstr>
      <vt:lpstr>Phase2</vt:lpstr>
      <vt:lpstr>Stress Path</vt:lpstr>
      <vt:lpstr>q-epsa</vt:lpstr>
      <vt:lpstr>ev-ea</vt:lpstr>
      <vt:lpstr>v-ea</vt:lpstr>
      <vt:lpstr>G</vt:lpstr>
      <vt:lpstr>Gamma</vt:lpstr>
      <vt:lpstr>k</vt:lpstr>
      <vt:lpstr>l</vt:lpstr>
      <vt:lpstr>M</vt:lpstr>
      <vt:lpstr>MJ</vt:lpstr>
      <vt:lpstr>N</vt:lpstr>
      <vt:lpstr>nu</vt:lpstr>
      <vt:lpstr>p0</vt:lpstr>
      <vt:lpstr>pcs</vt:lpstr>
      <vt:lpstr>ph</vt:lpstr>
      <vt:lpstr>pinit</vt:lpstr>
      <vt:lpstr>py</vt:lpstr>
      <vt:lpstr>qcs</vt:lpstr>
      <vt:lpstr>qinit</vt:lpstr>
      <vt:lpstr>qy</vt:lpstr>
      <vt:lpstr>vy</vt:lpstr>
    </vt:vector>
  </TitlesOfParts>
  <Company>Rocscience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Reginald Hammah</dc:creator>
  <cp:lastModifiedBy>Alireza Azami</cp:lastModifiedBy>
  <cp:lastPrinted>2005-12-15T19:34:43Z</cp:lastPrinted>
  <dcterms:created xsi:type="dcterms:W3CDTF">2004-11-19T21:26:55Z</dcterms:created>
  <dcterms:modified xsi:type="dcterms:W3CDTF">2011-09-02T19:11:24Z</dcterms:modified>
</cp:coreProperties>
</file>