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60" windowWidth="9195" windowHeight="6525" activeTab="5"/>
  </bookViews>
  <sheets>
    <sheet name="Sheet2" sheetId="6" r:id="rId1"/>
    <sheet name="Analytical Solution" sheetId="1" r:id="rId2"/>
    <sheet name="Stress Path" sheetId="9" r:id="rId3"/>
    <sheet name="Phase2" sheetId="8" r:id="rId4"/>
    <sheet name="q-epsa" sheetId="4" r:id="rId5"/>
    <sheet name="ev-ea" sheetId="5" r:id="rId6"/>
    <sheet name="v-ea" sheetId="7" r:id="rId7"/>
  </sheets>
  <definedNames>
    <definedName name="G">'Analytical Solution'!$C$10</definedName>
    <definedName name="Gamma">'Analytical Solution'!$C$5</definedName>
    <definedName name="k">'Analytical Solution'!$C$8</definedName>
    <definedName name="l">'Analytical Solution'!$C$9</definedName>
    <definedName name="M">'Analytical Solution'!$C$4</definedName>
    <definedName name="MJ">'Analytical Solution'!$C$14</definedName>
    <definedName name="N">'Analytical Solution'!$C$6</definedName>
    <definedName name="nu">'Analytical Solution'!$C$11</definedName>
    <definedName name="p0">'Analytical Solution'!$C$12</definedName>
    <definedName name="pcs">'Analytical Solution'!$F$18</definedName>
    <definedName name="ph">'Analytical Solution'!$G$10</definedName>
    <definedName name="pinit">'Analytical Solution'!$G$6</definedName>
    <definedName name="py">'Analytical Solution'!$F$14</definedName>
    <definedName name="qcs">'Analytical Solution'!$G$18</definedName>
    <definedName name="qinit">'Analytical Solution'!$G$7</definedName>
    <definedName name="qy">'Analytical Solution'!$G$14</definedName>
    <definedName name="vy">'Analytical Solution'!$H$14</definedName>
  </definedNames>
  <calcPr calcId="125725"/>
</workbook>
</file>

<file path=xl/calcChain.xml><?xml version="1.0" encoding="utf-8"?>
<calcChain xmlns="http://schemas.openxmlformats.org/spreadsheetml/2006/main">
  <c r="O21" i="1"/>
  <c r="E25"/>
  <c r="G10"/>
  <c r="F18" s="1"/>
  <c r="C14"/>
  <c r="F25"/>
  <c r="B53" i="6"/>
  <c r="C53" s="1"/>
  <c r="G8" i="1"/>
  <c r="C5"/>
  <c r="F14"/>
  <c r="H14" s="1"/>
  <c r="G18" l="1"/>
  <c r="E60"/>
  <c r="F4" i="6"/>
  <c r="G4" s="1"/>
  <c r="E29" i="1"/>
  <c r="G14"/>
  <c r="G22" s="1"/>
  <c r="B4" i="6"/>
  <c r="E26" i="1"/>
  <c r="C25"/>
  <c r="B25"/>
  <c r="D25" s="1"/>
  <c r="G25"/>
  <c r="I25"/>
  <c r="F29"/>
  <c r="I29" s="1"/>
  <c r="E30" l="1"/>
  <c r="F30" s="1"/>
  <c r="I30" s="1"/>
  <c r="J30" s="1"/>
  <c r="F60"/>
  <c r="G60" s="1"/>
  <c r="H60" s="1"/>
  <c r="F22"/>
  <c r="B5" i="6"/>
  <c r="C4"/>
  <c r="C29" i="1"/>
  <c r="M25"/>
  <c r="H25"/>
  <c r="L26" s="1"/>
  <c r="B29"/>
  <c r="D29" s="1"/>
  <c r="F26"/>
  <c r="I26" s="1"/>
  <c r="E27"/>
  <c r="G29"/>
  <c r="E31" l="1"/>
  <c r="K30"/>
  <c r="Q26"/>
  <c r="R26" s="1"/>
  <c r="S25"/>
  <c r="M26"/>
  <c r="C60"/>
  <c r="B60"/>
  <c r="D60" s="1"/>
  <c r="I60"/>
  <c r="C26"/>
  <c r="C5" i="6"/>
  <c r="B6"/>
  <c r="B26" i="1"/>
  <c r="D26" s="1"/>
  <c r="G26"/>
  <c r="H29"/>
  <c r="N30"/>
  <c r="O30"/>
  <c r="P30"/>
  <c r="B30"/>
  <c r="D30" s="1"/>
  <c r="G30"/>
  <c r="H30" s="1"/>
  <c r="F27"/>
  <c r="I27" s="1"/>
  <c r="E28"/>
  <c r="F31"/>
  <c r="I31" s="1"/>
  <c r="J31" s="1"/>
  <c r="E32"/>
  <c r="C30"/>
  <c r="S26" l="1"/>
  <c r="Q30"/>
  <c r="K31"/>
  <c r="L31" s="1"/>
  <c r="H26"/>
  <c r="L27" s="1"/>
  <c r="M27" s="1"/>
  <c r="C31"/>
  <c r="G31"/>
  <c r="H31" s="1"/>
  <c r="C27"/>
  <c r="C6" i="6"/>
  <c r="B7"/>
  <c r="B27" i="1"/>
  <c r="D27" s="1"/>
  <c r="E33"/>
  <c r="F32"/>
  <c r="I32" s="1"/>
  <c r="J32" s="1"/>
  <c r="N31"/>
  <c r="O31"/>
  <c r="P31"/>
  <c r="F28"/>
  <c r="I28" s="1"/>
  <c r="B31"/>
  <c r="D31" s="1"/>
  <c r="G27"/>
  <c r="Q31" l="1"/>
  <c r="Q27"/>
  <c r="R27" s="1"/>
  <c r="S27" s="1"/>
  <c r="K32"/>
  <c r="L32" s="1"/>
  <c r="G28"/>
  <c r="H28" s="1"/>
  <c r="Q29" s="1"/>
  <c r="C7" i="6"/>
  <c r="B8"/>
  <c r="B28" i="1"/>
  <c r="D28" s="1"/>
  <c r="B32"/>
  <c r="D32" s="1"/>
  <c r="C32"/>
  <c r="H27"/>
  <c r="L28" s="1"/>
  <c r="M28" s="1"/>
  <c r="P32"/>
  <c r="N32"/>
  <c r="O32"/>
  <c r="G32"/>
  <c r="H32" s="1"/>
  <c r="F33"/>
  <c r="I33" s="1"/>
  <c r="E34"/>
  <c r="C28"/>
  <c r="K33" l="1"/>
  <c r="J33"/>
  <c r="L29"/>
  <c r="M29" s="1"/>
  <c r="L30"/>
  <c r="Q32"/>
  <c r="Q28"/>
  <c r="R28" s="1"/>
  <c r="C33"/>
  <c r="G33"/>
  <c r="H33" s="1"/>
  <c r="B33"/>
  <c r="D33" s="1"/>
  <c r="B9" i="6"/>
  <c r="C8"/>
  <c r="O33" i="1"/>
  <c r="P33"/>
  <c r="N33"/>
  <c r="E35"/>
  <c r="F34"/>
  <c r="I34" s="1"/>
  <c r="J34" s="1"/>
  <c r="R29" l="1"/>
  <c r="R30" s="1"/>
  <c r="R31" s="1"/>
  <c r="R32" s="1"/>
  <c r="S28"/>
  <c r="M30"/>
  <c r="Q33"/>
  <c r="L33"/>
  <c r="K34"/>
  <c r="L34" s="1"/>
  <c r="G34"/>
  <c r="H34" s="1"/>
  <c r="C34"/>
  <c r="B34"/>
  <c r="D34" s="1"/>
  <c r="C9" i="6"/>
  <c r="B10"/>
  <c r="P34" i="1"/>
  <c r="O34"/>
  <c r="N34"/>
  <c r="F35"/>
  <c r="I35" s="1"/>
  <c r="J35" s="1"/>
  <c r="E36"/>
  <c r="R33" l="1"/>
  <c r="S29"/>
  <c r="Q34"/>
  <c r="K35"/>
  <c r="L35" s="1"/>
  <c r="M31"/>
  <c r="S30"/>
  <c r="G35"/>
  <c r="H35" s="1"/>
  <c r="C10" i="6"/>
  <c r="B11"/>
  <c r="B35" i="1"/>
  <c r="D35" s="1"/>
  <c r="C35"/>
  <c r="E37"/>
  <c r="F36"/>
  <c r="I36" s="1"/>
  <c r="J36" s="1"/>
  <c r="N35"/>
  <c r="P35"/>
  <c r="O35"/>
  <c r="R34" l="1"/>
  <c r="K36"/>
  <c r="L36" s="1"/>
  <c r="M32"/>
  <c r="S31"/>
  <c r="Q35"/>
  <c r="C36"/>
  <c r="C11" i="6"/>
  <c r="B12"/>
  <c r="F37" i="1"/>
  <c r="I37" s="1"/>
  <c r="E38"/>
  <c r="P36"/>
  <c r="O36"/>
  <c r="N36"/>
  <c r="G36"/>
  <c r="H36" s="1"/>
  <c r="B36"/>
  <c r="D36" s="1"/>
  <c r="M33" l="1"/>
  <c r="S32"/>
  <c r="K37"/>
  <c r="Q36"/>
  <c r="R35"/>
  <c r="J37"/>
  <c r="L37" s="1"/>
  <c r="B37"/>
  <c r="D37" s="1"/>
  <c r="C12" i="6"/>
  <c r="B13"/>
  <c r="G37" i="1"/>
  <c r="H37" s="1"/>
  <c r="O37"/>
  <c r="P37"/>
  <c r="N37"/>
  <c r="F38"/>
  <c r="I38" s="1"/>
  <c r="E39"/>
  <c r="C37"/>
  <c r="Q37" l="1"/>
  <c r="M34"/>
  <c r="S33"/>
  <c r="K38"/>
  <c r="R36"/>
  <c r="J38"/>
  <c r="C13" i="6"/>
  <c r="B14"/>
  <c r="P38" i="1"/>
  <c r="N38"/>
  <c r="O38"/>
  <c r="G38"/>
  <c r="H38" s="1"/>
  <c r="F39"/>
  <c r="I39" s="1"/>
  <c r="E40"/>
  <c r="B38"/>
  <c r="D38" s="1"/>
  <c r="C38"/>
  <c r="L38" l="1"/>
  <c r="R37"/>
  <c r="Q38"/>
  <c r="M35"/>
  <c r="S34"/>
  <c r="R38"/>
  <c r="K39"/>
  <c r="J39"/>
  <c r="G39"/>
  <c r="H39" s="1"/>
  <c r="B39"/>
  <c r="D39" s="1"/>
  <c r="B15" i="6"/>
  <c r="C14"/>
  <c r="C39" i="1"/>
  <c r="F40"/>
  <c r="I40" s="1"/>
  <c r="E41"/>
  <c r="C40"/>
  <c r="N39"/>
  <c r="P39"/>
  <c r="O39"/>
  <c r="Q39" l="1"/>
  <c r="M36"/>
  <c r="S35"/>
  <c r="L39"/>
  <c r="K40"/>
  <c r="J40"/>
  <c r="B16" i="6"/>
  <c r="C15"/>
  <c r="B40" i="1"/>
  <c r="D40" s="1"/>
  <c r="G40"/>
  <c r="H40" s="1"/>
  <c r="N40"/>
  <c r="O40"/>
  <c r="P40"/>
  <c r="F41"/>
  <c r="I41" s="1"/>
  <c r="E42"/>
  <c r="R39" l="1"/>
  <c r="M37"/>
  <c r="S36"/>
  <c r="K41"/>
  <c r="R40"/>
  <c r="Q40"/>
  <c r="L40"/>
  <c r="J41"/>
  <c r="L41" s="1"/>
  <c r="B17" i="6"/>
  <c r="C16"/>
  <c r="G41" i="1"/>
  <c r="H41" s="1"/>
  <c r="C41"/>
  <c r="E43"/>
  <c r="F42"/>
  <c r="I42" s="1"/>
  <c r="J42" s="1"/>
  <c r="B41"/>
  <c r="D41" s="1"/>
  <c r="O41"/>
  <c r="N41"/>
  <c r="P41"/>
  <c r="M38" l="1"/>
  <c r="S37"/>
  <c r="K42"/>
  <c r="L42" s="1"/>
  <c r="Q41"/>
  <c r="R41" s="1"/>
  <c r="G42"/>
  <c r="H42" s="1"/>
  <c r="C17" i="6"/>
  <c r="B18"/>
  <c r="E44" i="1"/>
  <c r="F43"/>
  <c r="I43" s="1"/>
  <c r="J43" s="1"/>
  <c r="P42"/>
  <c r="O42"/>
  <c r="N42"/>
  <c r="B42"/>
  <c r="D42" s="1"/>
  <c r="C42"/>
  <c r="M39" l="1"/>
  <c r="S38"/>
  <c r="K43"/>
  <c r="L43" s="1"/>
  <c r="Q42"/>
  <c r="B43"/>
  <c r="D43" s="1"/>
  <c r="C43"/>
  <c r="G43"/>
  <c r="H43" s="1"/>
  <c r="C18" i="6"/>
  <c r="B19"/>
  <c r="E45" i="1"/>
  <c r="F44"/>
  <c r="I44" s="1"/>
  <c r="P43"/>
  <c r="O43"/>
  <c r="N43"/>
  <c r="Q43" l="1"/>
  <c r="M40"/>
  <c r="S39"/>
  <c r="R42"/>
  <c r="K44"/>
  <c r="J44"/>
  <c r="C19" i="6"/>
  <c r="B20"/>
  <c r="P44" i="1"/>
  <c r="N44"/>
  <c r="O44"/>
  <c r="E46"/>
  <c r="F45"/>
  <c r="I45" s="1"/>
  <c r="B44"/>
  <c r="D44" s="1"/>
  <c r="C44"/>
  <c r="G44"/>
  <c r="H44" s="1"/>
  <c r="R43" l="1"/>
  <c r="M41"/>
  <c r="S40"/>
  <c r="K45"/>
  <c r="Q44"/>
  <c r="R44" s="1"/>
  <c r="L44"/>
  <c r="J45"/>
  <c r="C45"/>
  <c r="B45"/>
  <c r="D45" s="1"/>
  <c r="B21" i="6"/>
  <c r="C20"/>
  <c r="E47" i="1"/>
  <c r="F46"/>
  <c r="I46" s="1"/>
  <c r="J46" s="1"/>
  <c r="O45"/>
  <c r="P45"/>
  <c r="N45"/>
  <c r="G45"/>
  <c r="H45" s="1"/>
  <c r="L45" l="1"/>
  <c r="M42"/>
  <c r="S41"/>
  <c r="Q45"/>
  <c r="R45" s="1"/>
  <c r="K46"/>
  <c r="L46" s="1"/>
  <c r="B46"/>
  <c r="D46" s="1"/>
  <c r="C46"/>
  <c r="B22" i="6"/>
  <c r="C21"/>
  <c r="N46" i="1"/>
  <c r="O46"/>
  <c r="P46"/>
  <c r="E48"/>
  <c r="F47"/>
  <c r="I47" s="1"/>
  <c r="J47" s="1"/>
  <c r="G46"/>
  <c r="H46" s="1"/>
  <c r="Q46" l="1"/>
  <c r="R46" s="1"/>
  <c r="L47"/>
  <c r="K47"/>
  <c r="M43"/>
  <c r="S42"/>
  <c r="B23" i="6"/>
  <c r="C22"/>
  <c r="O47" i="1"/>
  <c r="P47"/>
  <c r="N47"/>
  <c r="E49"/>
  <c r="F48"/>
  <c r="I48" s="1"/>
  <c r="C47"/>
  <c r="B47"/>
  <c r="D47" s="1"/>
  <c r="G47"/>
  <c r="H47" s="1"/>
  <c r="K48" l="1"/>
  <c r="M44"/>
  <c r="S43"/>
  <c r="Q47"/>
  <c r="J48"/>
  <c r="B48"/>
  <c r="D48" s="1"/>
  <c r="C23" i="6"/>
  <c r="B24"/>
  <c r="P48" i="1"/>
  <c r="N48"/>
  <c r="O48"/>
  <c r="F49"/>
  <c r="I49" s="1"/>
  <c r="J49" s="1"/>
  <c r="E50"/>
  <c r="C48"/>
  <c r="G48"/>
  <c r="H48" s="1"/>
  <c r="Q48" l="1"/>
  <c r="L48"/>
  <c r="R47"/>
  <c r="M45"/>
  <c r="S44"/>
  <c r="K49"/>
  <c r="L49" s="1"/>
  <c r="C49"/>
  <c r="B25" i="6"/>
  <c r="C24"/>
  <c r="B49" i="1"/>
  <c r="D49" s="1"/>
  <c r="O49"/>
  <c r="P49"/>
  <c r="N49"/>
  <c r="Q49" s="1"/>
  <c r="F50"/>
  <c r="I50" s="1"/>
  <c r="E51"/>
  <c r="G49"/>
  <c r="H49" s="1"/>
  <c r="R48" l="1"/>
  <c r="R49" s="1"/>
  <c r="K50"/>
  <c r="J50"/>
  <c r="M46"/>
  <c r="S45"/>
  <c r="B50"/>
  <c r="D50" s="1"/>
  <c r="B26" i="6"/>
  <c r="C25"/>
  <c r="C50" i="1"/>
  <c r="G50"/>
  <c r="H50" s="1"/>
  <c r="F51"/>
  <c r="I51" s="1"/>
  <c r="J51" s="1"/>
  <c r="E52"/>
  <c r="O50"/>
  <c r="P50"/>
  <c r="N50"/>
  <c r="M47" l="1"/>
  <c r="S46"/>
  <c r="K51"/>
  <c r="L51" s="1"/>
  <c r="Q50"/>
  <c r="R50" s="1"/>
  <c r="L50"/>
  <c r="B27" i="6"/>
  <c r="C26"/>
  <c r="G51" i="1"/>
  <c r="H51" s="1"/>
  <c r="B51"/>
  <c r="D51" s="1"/>
  <c r="C51"/>
  <c r="O51"/>
  <c r="N51"/>
  <c r="P51"/>
  <c r="F52"/>
  <c r="I52" s="1"/>
  <c r="E53"/>
  <c r="Q51" l="1"/>
  <c r="M48"/>
  <c r="S47"/>
  <c r="K52"/>
  <c r="J52"/>
  <c r="C27" i="6"/>
  <c r="B28"/>
  <c r="N52" i="1"/>
  <c r="O52"/>
  <c r="P52"/>
  <c r="E54"/>
  <c r="F53"/>
  <c r="I53" s="1"/>
  <c r="J53" s="1"/>
  <c r="C52"/>
  <c r="B52"/>
  <c r="D52" s="1"/>
  <c r="G52"/>
  <c r="H52" s="1"/>
  <c r="Q52" l="1"/>
  <c r="R52" s="1"/>
  <c r="R51"/>
  <c r="M49"/>
  <c r="S48"/>
  <c r="L52"/>
  <c r="K53"/>
  <c r="L53" s="1"/>
  <c r="B29" i="6"/>
  <c r="C28"/>
  <c r="C53" i="1"/>
  <c r="F54"/>
  <c r="I54" s="1"/>
  <c r="E55"/>
  <c r="P53"/>
  <c r="N53"/>
  <c r="O53"/>
  <c r="B53"/>
  <c r="D53" s="1"/>
  <c r="G53"/>
  <c r="H53" s="1"/>
  <c r="K54" l="1"/>
  <c r="J54"/>
  <c r="M50"/>
  <c r="S49"/>
  <c r="Q53"/>
  <c r="R53" s="1"/>
  <c r="C29" i="6"/>
  <c r="B30"/>
  <c r="B54" i="1"/>
  <c r="D54" s="1"/>
  <c r="C54"/>
  <c r="F55"/>
  <c r="I55" s="1"/>
  <c r="J55" s="1"/>
  <c r="E56"/>
  <c r="O54"/>
  <c r="P54"/>
  <c r="N54"/>
  <c r="G54"/>
  <c r="H54" s="1"/>
  <c r="L54" l="1"/>
  <c r="M51"/>
  <c r="S50"/>
  <c r="K55"/>
  <c r="L55" s="1"/>
  <c r="Q54"/>
  <c r="C55"/>
  <c r="G55"/>
  <c r="H55" s="1"/>
  <c r="B55"/>
  <c r="D55" s="1"/>
  <c r="B31" i="6"/>
  <c r="C30"/>
  <c r="E57" i="1"/>
  <c r="F56"/>
  <c r="I56" s="1"/>
  <c r="N55"/>
  <c r="P55"/>
  <c r="O55"/>
  <c r="Q55" l="1"/>
  <c r="K56"/>
  <c r="R54"/>
  <c r="M52"/>
  <c r="S51"/>
  <c r="J56"/>
  <c r="L56" s="1"/>
  <c r="C31" i="6"/>
  <c r="B32"/>
  <c r="B56" i="1"/>
  <c r="D56" s="1"/>
  <c r="P56"/>
  <c r="N56"/>
  <c r="O56"/>
  <c r="E58"/>
  <c r="F57"/>
  <c r="I57" s="1"/>
  <c r="G56"/>
  <c r="H56" s="1"/>
  <c r="C56"/>
  <c r="R55" l="1"/>
  <c r="K57"/>
  <c r="J57"/>
  <c r="M53"/>
  <c r="S52"/>
  <c r="Q56"/>
  <c r="B33" i="6"/>
  <c r="C32"/>
  <c r="C57" i="1"/>
  <c r="B57"/>
  <c r="D57" s="1"/>
  <c r="F58"/>
  <c r="I58" s="1"/>
  <c r="J58" s="1"/>
  <c r="E59"/>
  <c r="O57"/>
  <c r="N57"/>
  <c r="Q57" s="1"/>
  <c r="P57"/>
  <c r="G57"/>
  <c r="H57" s="1"/>
  <c r="K58" l="1"/>
  <c r="L58" s="1"/>
  <c r="R56"/>
  <c r="R57" s="1"/>
  <c r="L57"/>
  <c r="M54"/>
  <c r="S53"/>
  <c r="C58"/>
  <c r="B34" i="6"/>
  <c r="C33"/>
  <c r="G58" i="1"/>
  <c r="H58" s="1"/>
  <c r="B58"/>
  <c r="D58" s="1"/>
  <c r="F59"/>
  <c r="I59" s="1"/>
  <c r="J59" s="1"/>
  <c r="O58"/>
  <c r="P58"/>
  <c r="N58"/>
  <c r="Q58" l="1"/>
  <c r="R58" s="1"/>
  <c r="M55"/>
  <c r="S54"/>
  <c r="K59"/>
  <c r="L59" s="1"/>
  <c r="C34" i="6"/>
  <c r="B35"/>
  <c r="P59" i="1"/>
  <c r="O59"/>
  <c r="N59"/>
  <c r="B59"/>
  <c r="D59" s="1"/>
  <c r="G59"/>
  <c r="H59" s="1"/>
  <c r="C59"/>
  <c r="Q59" l="1"/>
  <c r="M56"/>
  <c r="S55"/>
  <c r="C35" i="6"/>
  <c r="B36"/>
  <c r="R59" i="1" l="1"/>
  <c r="M57"/>
  <c r="S56"/>
  <c r="C36" i="6"/>
  <c r="B37"/>
  <c r="M58" i="1" l="1"/>
  <c r="S57"/>
  <c r="B38" i="6"/>
  <c r="C37"/>
  <c r="M59" i="1" l="1"/>
  <c r="S58"/>
  <c r="B39" i="6"/>
  <c r="C38"/>
  <c r="S59" i="1" l="1"/>
  <c r="C39" i="6"/>
  <c r="B40"/>
  <c r="C40" l="1"/>
  <c r="B41"/>
  <c r="B42" l="1"/>
  <c r="C41"/>
  <c r="C42" l="1"/>
  <c r="B43"/>
  <c r="C43" l="1"/>
  <c r="B44"/>
  <c r="C44" l="1"/>
  <c r="B45"/>
  <c r="C45" l="1"/>
  <c r="B46"/>
  <c r="C46" l="1"/>
  <c r="B47"/>
  <c r="B48" l="1"/>
  <c r="C47"/>
  <c r="C48" l="1"/>
  <c r="B49"/>
  <c r="B50" l="1"/>
  <c r="C49"/>
  <c r="C50" l="1"/>
  <c r="B51"/>
  <c r="B52" l="1"/>
  <c r="C52" s="1"/>
  <c r="C51"/>
</calcChain>
</file>

<file path=xl/sharedStrings.xml><?xml version="1.0" encoding="utf-8"?>
<sst xmlns="http://schemas.openxmlformats.org/spreadsheetml/2006/main" count="72" uniqueCount="55">
  <si>
    <t>p</t>
  </si>
  <si>
    <t>q</t>
  </si>
  <si>
    <t>Modified Cam Clay Parameters</t>
  </si>
  <si>
    <t>G</t>
  </si>
  <si>
    <t>M</t>
  </si>
  <si>
    <t>k</t>
  </si>
  <si>
    <t>l</t>
  </si>
  <si>
    <t>n</t>
  </si>
  <si>
    <t>N</t>
  </si>
  <si>
    <t>Initial state</t>
  </si>
  <si>
    <t>kPa</t>
  </si>
  <si>
    <t>Drained Triaxial Test</t>
  </si>
  <si>
    <t>CSL</t>
  </si>
  <si>
    <t>Modelling Parameters</t>
  </si>
  <si>
    <t xml:space="preserve">Intersection of Load Path with Initial Yield Envelope </t>
  </si>
  <si>
    <t>Intersection of Load Path with Critical State Line</t>
  </si>
  <si>
    <t>v</t>
  </si>
  <si>
    <t>Strains at Elastic Limit</t>
  </si>
  <si>
    <t>Vol.</t>
  </si>
  <si>
    <t>Dev.</t>
  </si>
  <si>
    <t>Initial Yield Envelope</t>
  </si>
  <si>
    <t>Loading Path</t>
  </si>
  <si>
    <t>Stage Number</t>
  </si>
  <si>
    <t>Deviatoric Stress [kPa]</t>
  </si>
  <si>
    <t>Calculation of Volumetric Strain</t>
  </si>
  <si>
    <t>first term</t>
  </si>
  <si>
    <t>second term</t>
  </si>
  <si>
    <t>Calculation of Deviatoric Strain</t>
  </si>
  <si>
    <t>third term</t>
  </si>
  <si>
    <t>Axial Strain</t>
  </si>
  <si>
    <t>ɳ</t>
  </si>
  <si>
    <r>
      <rPr>
        <b/>
        <sz val="12"/>
        <rFont val="Calibri"/>
        <family val="2"/>
      </rPr>
      <t>Δε</t>
    </r>
    <r>
      <rPr>
        <b/>
        <i/>
        <vertAlign val="subscript"/>
        <sz val="12"/>
        <rFont val="Garamond"/>
        <family val="1"/>
      </rPr>
      <t>v</t>
    </r>
  </si>
  <si>
    <r>
      <rPr>
        <b/>
        <sz val="12"/>
        <rFont val="Calibri"/>
        <family val="2"/>
      </rPr>
      <t>ε</t>
    </r>
    <r>
      <rPr>
        <b/>
        <i/>
        <vertAlign val="subscript"/>
        <sz val="12"/>
        <rFont val="Garamond"/>
        <family val="1"/>
      </rPr>
      <t>v</t>
    </r>
  </si>
  <si>
    <r>
      <rPr>
        <b/>
        <sz val="12"/>
        <rFont val="Calibri"/>
        <family val="2"/>
      </rPr>
      <t>Δε</t>
    </r>
    <r>
      <rPr>
        <b/>
        <i/>
        <vertAlign val="subscript"/>
        <sz val="12"/>
        <rFont val="Garamond"/>
        <family val="1"/>
      </rPr>
      <t>q</t>
    </r>
  </si>
  <si>
    <r>
      <rPr>
        <b/>
        <sz val="12"/>
        <rFont val="Calibri"/>
        <family val="2"/>
      </rPr>
      <t>ε</t>
    </r>
    <r>
      <rPr>
        <b/>
        <i/>
        <vertAlign val="subscript"/>
        <sz val="12"/>
        <rFont val="Garamond"/>
        <family val="1"/>
      </rPr>
      <t>q</t>
    </r>
  </si>
  <si>
    <r>
      <rPr>
        <b/>
        <sz val="12"/>
        <rFont val="Calibri"/>
        <family val="2"/>
      </rPr>
      <t>ε</t>
    </r>
    <r>
      <rPr>
        <b/>
        <i/>
        <vertAlign val="subscript"/>
        <sz val="12"/>
        <rFont val="Garamond"/>
        <family val="1"/>
      </rPr>
      <t>a</t>
    </r>
  </si>
  <si>
    <r>
      <t>p</t>
    </r>
    <r>
      <rPr>
        <i/>
        <vertAlign val="subscript"/>
        <sz val="12"/>
        <rFont val="Garamond"/>
        <family val="1"/>
      </rPr>
      <t>init</t>
    </r>
  </si>
  <si>
    <r>
      <t>q</t>
    </r>
    <r>
      <rPr>
        <b/>
        <i/>
        <vertAlign val="subscript"/>
        <sz val="12"/>
        <rFont val="Garamond"/>
        <family val="1"/>
      </rPr>
      <t>init</t>
    </r>
  </si>
  <si>
    <r>
      <t>v</t>
    </r>
    <r>
      <rPr>
        <i/>
        <vertAlign val="subscript"/>
        <sz val="12"/>
        <rFont val="Garamond"/>
        <family val="1"/>
      </rPr>
      <t>init</t>
    </r>
  </si>
  <si>
    <r>
      <t>p</t>
    </r>
    <r>
      <rPr>
        <b/>
        <i/>
        <vertAlign val="subscript"/>
        <sz val="12"/>
        <rFont val="Garamond"/>
        <family val="1"/>
      </rPr>
      <t>h</t>
    </r>
  </si>
  <si>
    <r>
      <t>p</t>
    </r>
    <r>
      <rPr>
        <b/>
        <vertAlign val="subscript"/>
        <sz val="12"/>
        <rFont val="Arial"/>
        <family val="2"/>
      </rPr>
      <t>0</t>
    </r>
  </si>
  <si>
    <r>
      <t>p</t>
    </r>
    <r>
      <rPr>
        <i/>
        <vertAlign val="subscript"/>
        <sz val="12"/>
        <rFont val="Garamond"/>
        <family val="1"/>
      </rPr>
      <t>yield</t>
    </r>
  </si>
  <si>
    <r>
      <t>q</t>
    </r>
    <r>
      <rPr>
        <i/>
        <vertAlign val="subscript"/>
        <sz val="12"/>
        <rFont val="Garamond"/>
        <family val="1"/>
      </rPr>
      <t>yield</t>
    </r>
  </si>
  <si>
    <r>
      <t>v</t>
    </r>
    <r>
      <rPr>
        <b/>
        <i/>
        <vertAlign val="subscript"/>
        <sz val="12"/>
        <rFont val="Garamond"/>
        <family val="1"/>
      </rPr>
      <t>yield</t>
    </r>
  </si>
  <si>
    <r>
      <t>M</t>
    </r>
    <r>
      <rPr>
        <b/>
        <vertAlign val="subscript"/>
        <sz val="12"/>
        <rFont val="Arial"/>
        <family val="2"/>
      </rPr>
      <t>J</t>
    </r>
  </si>
  <si>
    <r>
      <t>p</t>
    </r>
    <r>
      <rPr>
        <i/>
        <vertAlign val="subscript"/>
        <sz val="12"/>
        <rFont val="Garamond"/>
        <family val="1"/>
      </rPr>
      <t>CSL</t>
    </r>
  </si>
  <si>
    <r>
      <t>q</t>
    </r>
    <r>
      <rPr>
        <i/>
        <vertAlign val="subscript"/>
        <sz val="12"/>
        <rFont val="Garamond"/>
        <family val="1"/>
      </rPr>
      <t>CSL</t>
    </r>
  </si>
  <si>
    <r>
      <t>s</t>
    </r>
    <r>
      <rPr>
        <b/>
        <i/>
        <vertAlign val="subscript"/>
        <sz val="12"/>
        <rFont val="Garamond"/>
        <family val="1"/>
      </rPr>
      <t>a</t>
    </r>
  </si>
  <si>
    <r>
      <t>s</t>
    </r>
    <r>
      <rPr>
        <b/>
        <i/>
        <vertAlign val="subscript"/>
        <sz val="12"/>
        <rFont val="Garamond"/>
        <family val="1"/>
      </rPr>
      <t>r</t>
    </r>
  </si>
  <si>
    <r>
      <t>s</t>
    </r>
    <r>
      <rPr>
        <b/>
        <i/>
        <vertAlign val="subscript"/>
        <sz val="12"/>
        <rFont val="Garamond"/>
        <family val="1"/>
      </rPr>
      <t>a</t>
    </r>
    <r>
      <rPr>
        <b/>
        <i/>
        <sz val="12"/>
        <rFont val="Garamond"/>
        <family val="1"/>
      </rPr>
      <t xml:space="preserve"> Load Factor</t>
    </r>
  </si>
  <si>
    <r>
      <t>p</t>
    </r>
    <r>
      <rPr>
        <b/>
        <i/>
        <vertAlign val="subscript"/>
        <sz val="12"/>
        <rFont val="Garamond"/>
        <family val="1"/>
      </rPr>
      <t>0</t>
    </r>
  </si>
  <si>
    <t>α</t>
  </si>
  <si>
    <t xml:space="preserve">Volumetric Strain </t>
  </si>
  <si>
    <t>Phase2-Load Control</t>
  </si>
  <si>
    <t>Phase2-Displacement Control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</si>
</sst>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i/>
      <sz val="12"/>
      <name val="Garamond"/>
      <family val="1"/>
    </font>
    <font>
      <b/>
      <i/>
      <vertAlign val="subscript"/>
      <sz val="12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sz val="12"/>
      <name val="Arial"/>
      <family val="2"/>
    </font>
    <font>
      <b/>
      <sz val="12"/>
      <name val="Symbol"/>
      <family val="1"/>
      <charset val="2"/>
    </font>
    <font>
      <i/>
      <vertAlign val="subscript"/>
      <sz val="12"/>
      <name val="Garamond"/>
      <family val="1"/>
    </font>
    <font>
      <b/>
      <vertAlign val="subscript"/>
      <sz val="12"/>
      <name val="Arial"/>
      <family val="2"/>
    </font>
    <font>
      <b/>
      <i/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1" applyFont="1"/>
    <xf numFmtId="0" fontId="6" fillId="0" borderId="0" xfId="1" applyFont="1"/>
    <xf numFmtId="0" fontId="5" fillId="0" borderId="0" xfId="1"/>
    <xf numFmtId="11" fontId="5" fillId="0" borderId="0" xfId="1" applyNumberFormat="1"/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Protection="1">
      <protection locked="0"/>
    </xf>
    <xf numFmtId="0" fontId="13" fillId="2" borderId="0" xfId="0" applyFont="1" applyFill="1"/>
    <xf numFmtId="0" fontId="11" fillId="2" borderId="0" xfId="0" applyFont="1" applyFill="1" applyProtection="1">
      <protection locked="0"/>
    </xf>
    <xf numFmtId="0" fontId="8" fillId="0" borderId="0" xfId="0" applyFont="1"/>
    <xf numFmtId="0" fontId="3" fillId="2" borderId="0" xfId="0" applyFont="1" applyFill="1"/>
    <xf numFmtId="0" fontId="8" fillId="0" borderId="0" xfId="0" applyFont="1" applyAlignment="1">
      <alignment vertical="center" wrapText="1"/>
    </xf>
    <xf numFmtId="0" fontId="11" fillId="0" borderId="0" xfId="0" applyFont="1" applyBorder="1"/>
    <xf numFmtId="0" fontId="16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1" fillId="0" borderId="1" xfId="0" applyFont="1" applyFill="1" applyBorder="1"/>
    <xf numFmtId="0" fontId="11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vertical="center" wrapText="1"/>
    </xf>
    <xf numFmtId="11" fontId="12" fillId="0" borderId="0" xfId="0" applyNumberFormat="1" applyFont="1" applyFill="1"/>
    <xf numFmtId="0" fontId="4" fillId="0" borderId="0" xfId="0" applyFont="1"/>
    <xf numFmtId="0" fontId="12" fillId="0" borderId="2" xfId="0" applyFont="1" applyBorder="1"/>
    <xf numFmtId="0" fontId="12" fillId="0" borderId="3" xfId="0" applyFont="1" applyBorder="1"/>
    <xf numFmtId="0" fontId="12" fillId="0" borderId="4" xfId="0" applyFont="1" applyBorder="1"/>
    <xf numFmtId="0" fontId="11" fillId="0" borderId="4" xfId="0" applyFont="1" applyBorder="1"/>
    <xf numFmtId="2" fontId="11" fillId="0" borderId="1" xfId="0" applyNumberFormat="1" applyFont="1" applyFill="1" applyBorder="1"/>
    <xf numFmtId="0" fontId="10" fillId="0" borderId="0" xfId="0" applyFont="1" applyFill="1" applyAlignment="1">
      <alignment vertical="center" wrapText="1"/>
    </xf>
    <xf numFmtId="0" fontId="1" fillId="0" borderId="0" xfId="2"/>
    <xf numFmtId="11" fontId="1" fillId="0" borderId="0" xfId="2" applyNumberFormat="1"/>
    <xf numFmtId="0" fontId="1" fillId="0" borderId="0" xfId="2"/>
    <xf numFmtId="11" fontId="1" fillId="0" borderId="0" xfId="2" applyNumberFormat="1"/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73285198555956"/>
          <c:y val="7.621962566040881E-2"/>
          <c:w val="0.83754512635379152"/>
          <c:h val="0.73170840633992529"/>
        </c:manualLayout>
      </c:layout>
      <c:scatterChart>
        <c:scatterStyle val="smoothMarker"/>
        <c:ser>
          <c:idx val="0"/>
          <c:order val="0"/>
          <c:tx>
            <c:v>Yield Envelope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Sheet2!$B$3:$B$53</c:f>
              <c:numCache>
                <c:formatCode>General</c:formatCode>
                <c:ptCount val="5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</c:numCache>
            </c:numRef>
          </c:xVal>
          <c:yVal>
            <c:numRef>
              <c:f>Sheet2!$C$3:$C$53</c:f>
              <c:numCache>
                <c:formatCode>General</c:formatCode>
                <c:ptCount val="51"/>
                <c:pt idx="0">
                  <c:v>0</c:v>
                </c:pt>
                <c:pt idx="1">
                  <c:v>33.6</c:v>
                </c:pt>
                <c:pt idx="2">
                  <c:v>47.030203061437021</c:v>
                </c:pt>
                <c:pt idx="3">
                  <c:v>56.996842017782001</c:v>
                </c:pt>
                <c:pt idx="4">
                  <c:v>65.110367838002574</c:v>
                </c:pt>
                <c:pt idx="5">
                  <c:v>72</c:v>
                </c:pt>
                <c:pt idx="6">
                  <c:v>77.990768684505227</c:v>
                </c:pt>
                <c:pt idx="7">
                  <c:v>83.276887549907869</c:v>
                </c:pt>
                <c:pt idx="8">
                  <c:v>87.98545334315213</c:v>
                </c:pt>
                <c:pt idx="9">
                  <c:v>92.204989019033022</c:v>
                </c:pt>
                <c:pt idx="10">
                  <c:v>96</c:v>
                </c:pt>
                <c:pt idx="11">
                  <c:v>99.419112850598296</c:v>
                </c:pt>
                <c:pt idx="12">
                  <c:v>102.49995121950059</c:v>
                </c:pt>
                <c:pt idx="13">
                  <c:v>105.27221855741428</c:v>
                </c:pt>
                <c:pt idx="14">
                  <c:v>107.75973273908951</c:v>
                </c:pt>
                <c:pt idx="15">
                  <c:v>109.98181667894016</c:v>
                </c:pt>
                <c:pt idx="16">
                  <c:v>111.95427638102977</c:v>
                </c:pt>
                <c:pt idx="17">
                  <c:v>113.6901051103393</c:v>
                </c:pt>
                <c:pt idx="18">
                  <c:v>115.2</c:v>
                </c:pt>
                <c:pt idx="19">
                  <c:v>116.49274655531134</c:v>
                </c:pt>
                <c:pt idx="20">
                  <c:v>117.57550765359255</c:v>
                </c:pt>
                <c:pt idx="21">
                  <c:v>118.45404172082942</c:v>
                </c:pt>
                <c:pt idx="22">
                  <c:v>119.13286700151222</c:v>
                </c:pt>
                <c:pt idx="23">
                  <c:v>119.61538362602028</c:v>
                </c:pt>
                <c:pt idx="24">
                  <c:v>119.90396156924925</c:v>
                </c:pt>
                <c:pt idx="25">
                  <c:v>120</c:v>
                </c:pt>
                <c:pt idx="26">
                  <c:v>119.90396156924925</c:v>
                </c:pt>
                <c:pt idx="27">
                  <c:v>119.61538362602028</c:v>
                </c:pt>
                <c:pt idx="28">
                  <c:v>119.13286700151224</c:v>
                </c:pt>
                <c:pt idx="29">
                  <c:v>118.45404172082942</c:v>
                </c:pt>
                <c:pt idx="30">
                  <c:v>117.57550765359255</c:v>
                </c:pt>
                <c:pt idx="31">
                  <c:v>116.49274655531133</c:v>
                </c:pt>
                <c:pt idx="32">
                  <c:v>115.2</c:v>
                </c:pt>
                <c:pt idx="33">
                  <c:v>113.6901051103393</c:v>
                </c:pt>
                <c:pt idx="34">
                  <c:v>111.95427638102977</c:v>
                </c:pt>
                <c:pt idx="35">
                  <c:v>109.98181667894016</c:v>
                </c:pt>
                <c:pt idx="36">
                  <c:v>107.7597327390895</c:v>
                </c:pt>
                <c:pt idx="37">
                  <c:v>105.27221855741428</c:v>
                </c:pt>
                <c:pt idx="38">
                  <c:v>102.4999512195006</c:v>
                </c:pt>
                <c:pt idx="39">
                  <c:v>99.419112850598324</c:v>
                </c:pt>
                <c:pt idx="40">
                  <c:v>96</c:v>
                </c:pt>
                <c:pt idx="41">
                  <c:v>92.204989019033007</c:v>
                </c:pt>
                <c:pt idx="42">
                  <c:v>87.985453343152116</c:v>
                </c:pt>
                <c:pt idx="43">
                  <c:v>83.276887549907883</c:v>
                </c:pt>
                <c:pt idx="44">
                  <c:v>77.990768684505241</c:v>
                </c:pt>
                <c:pt idx="45">
                  <c:v>72.000000000000014</c:v>
                </c:pt>
                <c:pt idx="46">
                  <c:v>65.110367838002546</c:v>
                </c:pt>
                <c:pt idx="47">
                  <c:v>56.996842017781994</c:v>
                </c:pt>
                <c:pt idx="48">
                  <c:v>47.030203061437057</c:v>
                </c:pt>
                <c:pt idx="49">
                  <c:v>33.600000000000016</c:v>
                </c:pt>
                <c:pt idx="5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CSL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Sheet2!$F$3:$F$4</c:f>
              <c:numCache>
                <c:formatCode>General</c:formatCode>
                <c:ptCount val="2"/>
                <c:pt idx="0">
                  <c:v>0</c:v>
                </c:pt>
                <c:pt idx="1">
                  <c:v>220</c:v>
                </c:pt>
              </c:numCache>
            </c:numRef>
          </c:xVal>
          <c:yVal>
            <c:numRef>
              <c:f>Sheet2!$G$3:$G$4</c:f>
              <c:numCache>
                <c:formatCode>General</c:formatCode>
                <c:ptCount val="2"/>
                <c:pt idx="0">
                  <c:v>0</c:v>
                </c:pt>
                <c:pt idx="1">
                  <c:v>264</c:v>
                </c:pt>
              </c:numCache>
            </c:numRef>
          </c:yVal>
          <c:smooth val="1"/>
        </c:ser>
        <c:ser>
          <c:idx val="2"/>
          <c:order val="2"/>
          <c:tx>
            <c:v>Load Path</c:v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'Analytical Solution'!$E$25:$E$60</c:f>
              <c:numCache>
                <c:formatCode>General</c:formatCode>
                <c:ptCount val="36"/>
                <c:pt idx="0">
                  <c:v>100</c:v>
                </c:pt>
                <c:pt idx="1">
                  <c:v>109.28476690885259</c:v>
                </c:pt>
                <c:pt idx="2">
                  <c:v>118.56953381770518</c:v>
                </c:pt>
                <c:pt idx="3">
                  <c:v>127.85430072655777</c:v>
                </c:pt>
                <c:pt idx="4">
                  <c:v>137.13906763541036</c:v>
                </c:pt>
                <c:pt idx="5">
                  <c:v>138.091570829967</c:v>
                </c:pt>
                <c:pt idx="6">
                  <c:v>139.04407402452364</c:v>
                </c:pt>
                <c:pt idx="7">
                  <c:v>139.99657721908028</c:v>
                </c:pt>
                <c:pt idx="8">
                  <c:v>140.94908041363692</c:v>
                </c:pt>
                <c:pt idx="9">
                  <c:v>141.90158360819356</c:v>
                </c:pt>
                <c:pt idx="10">
                  <c:v>142.8540868027502</c:v>
                </c:pt>
                <c:pt idx="11">
                  <c:v>143.80658999730684</c:v>
                </c:pt>
                <c:pt idx="12">
                  <c:v>144.75909319186349</c:v>
                </c:pt>
                <c:pt idx="13">
                  <c:v>145.71159638642013</c:v>
                </c:pt>
                <c:pt idx="14">
                  <c:v>146.66409958097677</c:v>
                </c:pt>
                <c:pt idx="15">
                  <c:v>147.61660277553341</c:v>
                </c:pt>
                <c:pt idx="16">
                  <c:v>148.56910597009005</c:v>
                </c:pt>
                <c:pt idx="17">
                  <c:v>149.52160916464669</c:v>
                </c:pt>
                <c:pt idx="18">
                  <c:v>150.47411235920333</c:v>
                </c:pt>
                <c:pt idx="19">
                  <c:v>151.42661555375997</c:v>
                </c:pt>
                <c:pt idx="20">
                  <c:v>152.37911874831661</c:v>
                </c:pt>
                <c:pt idx="21">
                  <c:v>153.33162194287326</c:v>
                </c:pt>
                <c:pt idx="22">
                  <c:v>154.2841251374299</c:v>
                </c:pt>
                <c:pt idx="23">
                  <c:v>155.23662833198654</c:v>
                </c:pt>
                <c:pt idx="24">
                  <c:v>156.18913152654318</c:v>
                </c:pt>
                <c:pt idx="25">
                  <c:v>157.14163472109982</c:v>
                </c:pt>
                <c:pt idx="26">
                  <c:v>158.09413791565646</c:v>
                </c:pt>
                <c:pt idx="27">
                  <c:v>159.0466411102131</c:v>
                </c:pt>
                <c:pt idx="28">
                  <c:v>159.99914430476974</c:v>
                </c:pt>
                <c:pt idx="29">
                  <c:v>160.95164749932638</c:v>
                </c:pt>
                <c:pt idx="30">
                  <c:v>161.90415069388303</c:v>
                </c:pt>
                <c:pt idx="31">
                  <c:v>162.85665388843967</c:v>
                </c:pt>
                <c:pt idx="32">
                  <c:v>163.80915708299631</c:v>
                </c:pt>
                <c:pt idx="33">
                  <c:v>164.76166027755295</c:v>
                </c:pt>
                <c:pt idx="34">
                  <c:v>165.71416347210959</c:v>
                </c:pt>
                <c:pt idx="35">
                  <c:v>166.66666666666666</c:v>
                </c:pt>
              </c:numCache>
            </c:numRef>
          </c:xVal>
          <c:yVal>
            <c:numRef>
              <c:f>'Analytical Solution'!$F$25:$F$60</c:f>
              <c:numCache>
                <c:formatCode>0.00</c:formatCode>
                <c:ptCount val="36"/>
                <c:pt idx="0">
                  <c:v>0</c:v>
                </c:pt>
                <c:pt idx="1">
                  <c:v>27.854300726557767</c:v>
                </c:pt>
                <c:pt idx="2">
                  <c:v>55.708601453115534</c:v>
                </c:pt>
                <c:pt idx="3">
                  <c:v>83.562902179673301</c:v>
                </c:pt>
                <c:pt idx="4">
                  <c:v>111.41720290623107</c:v>
                </c:pt>
                <c:pt idx="5">
                  <c:v>114.27471248990099</c:v>
                </c:pt>
                <c:pt idx="6">
                  <c:v>117.13222207357092</c:v>
                </c:pt>
                <c:pt idx="7">
                  <c:v>119.98973165724084</c:v>
                </c:pt>
                <c:pt idx="8">
                  <c:v>122.84724124091076</c:v>
                </c:pt>
                <c:pt idx="9">
                  <c:v>125.70475082458069</c:v>
                </c:pt>
                <c:pt idx="10">
                  <c:v>128.56226040825061</c:v>
                </c:pt>
                <c:pt idx="11">
                  <c:v>131.41976999192053</c:v>
                </c:pt>
                <c:pt idx="12">
                  <c:v>134.27727957559046</c:v>
                </c:pt>
                <c:pt idx="13">
                  <c:v>137.13478915926038</c:v>
                </c:pt>
                <c:pt idx="14">
                  <c:v>139.9922987429303</c:v>
                </c:pt>
                <c:pt idx="15">
                  <c:v>142.84980832660023</c:v>
                </c:pt>
                <c:pt idx="16">
                  <c:v>145.70731791027015</c:v>
                </c:pt>
                <c:pt idx="17">
                  <c:v>148.56482749394007</c:v>
                </c:pt>
                <c:pt idx="18">
                  <c:v>151.42233707761</c:v>
                </c:pt>
                <c:pt idx="19">
                  <c:v>154.27984666127992</c:v>
                </c:pt>
                <c:pt idx="20">
                  <c:v>157.13735624494984</c:v>
                </c:pt>
                <c:pt idx="21">
                  <c:v>159.99486582861977</c:v>
                </c:pt>
                <c:pt idx="22">
                  <c:v>162.85237541228969</c:v>
                </c:pt>
                <c:pt idx="23">
                  <c:v>165.70988499595961</c:v>
                </c:pt>
                <c:pt idx="24">
                  <c:v>168.56739457962954</c:v>
                </c:pt>
                <c:pt idx="25">
                  <c:v>171.42490416329946</c:v>
                </c:pt>
                <c:pt idx="26">
                  <c:v>174.28241374696938</c:v>
                </c:pt>
                <c:pt idx="27">
                  <c:v>177.13992333063931</c:v>
                </c:pt>
                <c:pt idx="28">
                  <c:v>179.99743291430923</c:v>
                </c:pt>
                <c:pt idx="29">
                  <c:v>182.85494249797915</c:v>
                </c:pt>
                <c:pt idx="30">
                  <c:v>185.71245208164908</c:v>
                </c:pt>
                <c:pt idx="31">
                  <c:v>188.569961665319</c:v>
                </c:pt>
                <c:pt idx="32">
                  <c:v>191.42747124898892</c:v>
                </c:pt>
                <c:pt idx="33">
                  <c:v>194.28498083265885</c:v>
                </c:pt>
                <c:pt idx="34">
                  <c:v>197.14249041632877</c:v>
                </c:pt>
                <c:pt idx="35" formatCode="General">
                  <c:v>199.99999999999997</c:v>
                </c:pt>
              </c:numCache>
            </c:numRef>
          </c:yVal>
        </c:ser>
        <c:axId val="97413760"/>
        <c:axId val="101480320"/>
      </c:scatterChart>
      <c:valAx>
        <c:axId val="97413760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</a:t>
                </a:r>
              </a:p>
            </c:rich>
          </c:tx>
          <c:layout>
            <c:manualLayout>
              <c:xMode val="edge"/>
              <c:yMode val="edge"/>
              <c:x val="0.52707581227436906"/>
              <c:y val="0.8902451827667882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80320"/>
        <c:crosses val="autoZero"/>
        <c:crossBetween val="midCat"/>
      </c:valAx>
      <c:valAx>
        <c:axId val="1014803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</a:t>
                </a:r>
              </a:p>
            </c:rich>
          </c:tx>
          <c:layout>
            <c:manualLayout>
              <c:xMode val="edge"/>
              <c:yMode val="edge"/>
              <c:x val="2.8880866425992802E-2"/>
              <c:y val="0.4268299084565648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4137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 sz="800" b="1"/>
              <a:t>Drained Triaxial Test - Over Consolidated Clay - Constant Poison's Ratio</a:t>
            </a:r>
          </a:p>
        </c:rich>
      </c:tx>
      <c:layout>
        <c:manualLayout>
          <c:xMode val="edge"/>
          <c:yMode val="edge"/>
          <c:x val="0.20471333980033865"/>
          <c:y val="2.1750951604132679E-3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395856455789859"/>
          <c:y val="0.12234910277324638"/>
          <c:w val="0.86940436551979283"/>
          <c:h val="0.7683523654159865"/>
        </c:manualLayout>
      </c:layout>
      <c:scatterChart>
        <c:scatterStyle val="smoothMarker"/>
        <c:ser>
          <c:idx val="0"/>
          <c:order val="0"/>
          <c:tx>
            <c:v>Analytical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'Analytical Solution'!$S$25:$S$59</c:f>
              <c:numCache>
                <c:formatCode>General</c:formatCode>
                <c:ptCount val="35"/>
                <c:pt idx="0">
                  <c:v>0</c:v>
                </c:pt>
                <c:pt idx="1">
                  <c:v>1.183907806059687E-3</c:v>
                </c:pt>
                <c:pt idx="2">
                  <c:v>2.2719898416134793E-3</c:v>
                </c:pt>
                <c:pt idx="3">
                  <c:v>3.2789650951437731E-3</c:v>
                </c:pt>
                <c:pt idx="4">
                  <c:v>4.2162803052211463E-3</c:v>
                </c:pt>
                <c:pt idx="5">
                  <c:v>6.1745521047611657E-3</c:v>
                </c:pt>
                <c:pt idx="6">
                  <c:v>8.2043827322465044E-3</c:v>
                </c:pt>
                <c:pt idx="7">
                  <c:v>1.030988226477334E-2</c:v>
                </c:pt>
                <c:pt idx="8">
                  <c:v>1.2495703725698547E-2</c:v>
                </c:pt>
                <c:pt idx="9">
                  <c:v>1.4767078965011822E-2</c:v>
                </c:pt>
                <c:pt idx="10">
                  <c:v>1.712990689581903E-2</c:v>
                </c:pt>
                <c:pt idx="11">
                  <c:v>1.9590859831612614E-2</c:v>
                </c:pt>
                <c:pt idx="12">
                  <c:v>2.2157512556741296E-2</c:v>
                </c:pt>
                <c:pt idx="13">
                  <c:v>2.483850020333141E-2</c:v>
                </c:pt>
                <c:pt idx="14">
                  <c:v>2.7643712985942166E-2</c:v>
                </c:pt>
                <c:pt idx="15">
                  <c:v>3.0584538596667925E-2</c:v>
                </c:pt>
                <c:pt idx="16">
                  <c:v>3.3674166945761405E-2</c:v>
                </c:pt>
                <c:pt idx="17">
                  <c:v>3.6927977497384121E-2</c:v>
                </c:pt>
                <c:pt idx="18">
                  <c:v>4.0364037563786655E-2</c:v>
                </c:pt>
                <c:pt idx="19">
                  <c:v>4.4003751977871194E-2</c:v>
                </c:pt>
                <c:pt idx="20">
                  <c:v>4.7872722859428174E-2</c:v>
                </c:pt>
                <c:pt idx="21">
                  <c:v>5.2001906608567128E-2</c:v>
                </c:pt>
                <c:pt idx="22">
                  <c:v>5.642920057327723E-2</c:v>
                </c:pt>
                <c:pt idx="23">
                  <c:v>6.1201666260215462E-2</c:v>
                </c:pt>
                <c:pt idx="24">
                  <c:v>6.6378722375984522E-2</c:v>
                </c:pt>
                <c:pt idx="25">
                  <c:v>7.2036864213025451E-2</c:v>
                </c:pt>
                <c:pt idx="26">
                  <c:v>7.8276878243252107E-2</c:v>
                </c:pt>
                <c:pt idx="27">
                  <c:v>8.5235324089965245E-2</c:v>
                </c:pt>
                <c:pt idx="28">
                  <c:v>9.3103724082848102E-2</c:v>
                </c:pt>
                <c:pt idx="29">
                  <c:v>0.10216264571698326</c:v>
                </c:pt>
                <c:pt idx="30">
                  <c:v>0.11284713996864068</c:v>
                </c:pt>
                <c:pt idx="31">
                  <c:v>0.12588613078390143</c:v>
                </c:pt>
                <c:pt idx="32">
                  <c:v>0.14264620162427191</c:v>
                </c:pt>
                <c:pt idx="33">
                  <c:v>0.16619549465623473</c:v>
                </c:pt>
                <c:pt idx="34">
                  <c:v>0.20632420421456862</c:v>
                </c:pt>
              </c:numCache>
            </c:numRef>
          </c:xVal>
          <c:yVal>
            <c:numRef>
              <c:f>'Analytical Solution'!$F$25:$F$59</c:f>
              <c:numCache>
                <c:formatCode>0.00</c:formatCode>
                <c:ptCount val="35"/>
                <c:pt idx="0">
                  <c:v>0</c:v>
                </c:pt>
                <c:pt idx="1">
                  <c:v>27.854300726557767</c:v>
                </c:pt>
                <c:pt idx="2">
                  <c:v>55.708601453115534</c:v>
                </c:pt>
                <c:pt idx="3">
                  <c:v>83.562902179673301</c:v>
                </c:pt>
                <c:pt idx="4">
                  <c:v>111.41720290623107</c:v>
                </c:pt>
                <c:pt idx="5">
                  <c:v>114.27471248990099</c:v>
                </c:pt>
                <c:pt idx="6">
                  <c:v>117.13222207357092</c:v>
                </c:pt>
                <c:pt idx="7">
                  <c:v>119.98973165724084</c:v>
                </c:pt>
                <c:pt idx="8">
                  <c:v>122.84724124091076</c:v>
                </c:pt>
                <c:pt idx="9">
                  <c:v>125.70475082458069</c:v>
                </c:pt>
                <c:pt idx="10">
                  <c:v>128.56226040825061</c:v>
                </c:pt>
                <c:pt idx="11">
                  <c:v>131.41976999192053</c:v>
                </c:pt>
                <c:pt idx="12">
                  <c:v>134.27727957559046</c:v>
                </c:pt>
                <c:pt idx="13">
                  <c:v>137.13478915926038</c:v>
                </c:pt>
                <c:pt idx="14">
                  <c:v>139.9922987429303</c:v>
                </c:pt>
                <c:pt idx="15">
                  <c:v>142.84980832660023</c:v>
                </c:pt>
                <c:pt idx="16">
                  <c:v>145.70731791027015</c:v>
                </c:pt>
                <c:pt idx="17">
                  <c:v>148.56482749394007</c:v>
                </c:pt>
                <c:pt idx="18">
                  <c:v>151.42233707761</c:v>
                </c:pt>
                <c:pt idx="19">
                  <c:v>154.27984666127992</c:v>
                </c:pt>
                <c:pt idx="20">
                  <c:v>157.13735624494984</c:v>
                </c:pt>
                <c:pt idx="21">
                  <c:v>159.99486582861977</c:v>
                </c:pt>
                <c:pt idx="22">
                  <c:v>162.85237541228969</c:v>
                </c:pt>
                <c:pt idx="23">
                  <c:v>165.70988499595961</c:v>
                </c:pt>
                <c:pt idx="24">
                  <c:v>168.56739457962954</c:v>
                </c:pt>
                <c:pt idx="25">
                  <c:v>171.42490416329946</c:v>
                </c:pt>
                <c:pt idx="26">
                  <c:v>174.28241374696938</c:v>
                </c:pt>
                <c:pt idx="27">
                  <c:v>177.13992333063931</c:v>
                </c:pt>
                <c:pt idx="28">
                  <c:v>179.99743291430923</c:v>
                </c:pt>
                <c:pt idx="29">
                  <c:v>182.85494249797915</c:v>
                </c:pt>
                <c:pt idx="30">
                  <c:v>185.71245208164908</c:v>
                </c:pt>
                <c:pt idx="31">
                  <c:v>188.569961665319</c:v>
                </c:pt>
                <c:pt idx="32">
                  <c:v>191.42747124898892</c:v>
                </c:pt>
                <c:pt idx="33">
                  <c:v>194.28498083265885</c:v>
                </c:pt>
                <c:pt idx="34">
                  <c:v>197.14249041632877</c:v>
                </c:pt>
              </c:numCache>
            </c:numRef>
          </c:yVal>
        </c:ser>
        <c:ser>
          <c:idx val="1"/>
          <c:order val="1"/>
          <c:tx>
            <c:strRef>
              <c:f>Phase2!$A$1</c:f>
              <c:strCache>
                <c:ptCount val="1"/>
                <c:pt idx="0">
                  <c:v>Phase2-Load Control</c:v>
                </c:pt>
              </c:strCache>
            </c:strRef>
          </c:tx>
          <c:spPr>
            <a:ln w="12700"/>
          </c:spPr>
          <c:marker>
            <c:symbol val="triangle"/>
            <c:size val="5"/>
            <c:spPr>
              <a:noFill/>
            </c:spPr>
          </c:marker>
          <c:xVal>
            <c:numRef>
              <c:f>Phase2!$C$3:$C$38</c:f>
              <c:numCache>
                <c:formatCode>General</c:formatCode>
                <c:ptCount val="36"/>
                <c:pt idx="0" formatCode="0.00E+00">
                  <c:v>0</c:v>
                </c:pt>
                <c:pt idx="1">
                  <c:v>1.1788E-3</c:v>
                </c:pt>
                <c:pt idx="2">
                  <c:v>2.2679000000000002E-3</c:v>
                </c:pt>
                <c:pt idx="3">
                  <c:v>3.2756999999999999E-3</c:v>
                </c:pt>
                <c:pt idx="4">
                  <c:v>4.2500000000000003E-3</c:v>
                </c:pt>
                <c:pt idx="5">
                  <c:v>4.5894999999999998E-3</c:v>
                </c:pt>
                <c:pt idx="6">
                  <c:v>6.5027000000000001E-3</c:v>
                </c:pt>
                <c:pt idx="7">
                  <c:v>8.5409000000000006E-3</c:v>
                </c:pt>
                <c:pt idx="8">
                  <c:v>1.0673E-2</c:v>
                </c:pt>
                <c:pt idx="9">
                  <c:v>1.281E-2</c:v>
                </c:pt>
                <c:pt idx="10">
                  <c:v>1.507E-2</c:v>
                </c:pt>
                <c:pt idx="11">
                  <c:v>1.7430000000000001E-2</c:v>
                </c:pt>
                <c:pt idx="12">
                  <c:v>1.9883999999999999E-2</c:v>
                </c:pt>
                <c:pt idx="13">
                  <c:v>2.2433000000000002E-2</c:v>
                </c:pt>
                <c:pt idx="14">
                  <c:v>2.5080000000000002E-2</c:v>
                </c:pt>
                <c:pt idx="15">
                  <c:v>2.7833E-2</c:v>
                </c:pt>
                <c:pt idx="16">
                  <c:v>3.0773999999999999E-2</c:v>
                </c:pt>
                <c:pt idx="17">
                  <c:v>3.3797000000000001E-2</c:v>
                </c:pt>
                <c:pt idx="18">
                  <c:v>3.6935000000000003E-2</c:v>
                </c:pt>
                <c:pt idx="19">
                  <c:v>4.0286000000000002E-2</c:v>
                </c:pt>
                <c:pt idx="20">
                  <c:v>4.3829E-2</c:v>
                </c:pt>
                <c:pt idx="21">
                  <c:v>4.7565999999999997E-2</c:v>
                </c:pt>
                <c:pt idx="22">
                  <c:v>5.151E-2</c:v>
                </c:pt>
                <c:pt idx="23">
                  <c:v>5.5756E-2</c:v>
                </c:pt>
                <c:pt idx="24">
                  <c:v>6.0292999999999999E-2</c:v>
                </c:pt>
                <c:pt idx="25">
                  <c:v>6.5212000000000006E-2</c:v>
                </c:pt>
                <c:pt idx="26">
                  <c:v>7.0513999999999993E-2</c:v>
                </c:pt>
                <c:pt idx="27">
                  <c:v>7.6303999999999997E-2</c:v>
                </c:pt>
                <c:pt idx="28">
                  <c:v>8.2682000000000005E-2</c:v>
                </c:pt>
                <c:pt idx="29">
                  <c:v>8.9829000000000006E-2</c:v>
                </c:pt>
                <c:pt idx="30">
                  <c:v>9.7846000000000002E-2</c:v>
                </c:pt>
                <c:pt idx="31">
                  <c:v>0.10712000000000001</c:v>
                </c:pt>
                <c:pt idx="32">
                  <c:v>0.1181</c:v>
                </c:pt>
                <c:pt idx="33">
                  <c:v>0.13142999999999999</c:v>
                </c:pt>
                <c:pt idx="34">
                  <c:v>0.14863000000000001</c:v>
                </c:pt>
                <c:pt idx="35">
                  <c:v>0.17302000000000001</c:v>
                </c:pt>
              </c:numCache>
            </c:numRef>
          </c:xVal>
          <c:yVal>
            <c:numRef>
              <c:f>Phase2!$B$3:$B$38</c:f>
              <c:numCache>
                <c:formatCode>General</c:formatCode>
                <c:ptCount val="36"/>
                <c:pt idx="0">
                  <c:v>0</c:v>
                </c:pt>
                <c:pt idx="1">
                  <c:v>27.73</c:v>
                </c:pt>
                <c:pt idx="2">
                  <c:v>55.6</c:v>
                </c:pt>
                <c:pt idx="3">
                  <c:v>83.47</c:v>
                </c:pt>
                <c:pt idx="4">
                  <c:v>111.47199999999999</c:v>
                </c:pt>
                <c:pt idx="5">
                  <c:v>111.982</c:v>
                </c:pt>
                <c:pt idx="6">
                  <c:v>114.73</c:v>
                </c:pt>
                <c:pt idx="7">
                  <c:v>117.58</c:v>
                </c:pt>
                <c:pt idx="8">
                  <c:v>120.44</c:v>
                </c:pt>
                <c:pt idx="9">
                  <c:v>123.21</c:v>
                </c:pt>
                <c:pt idx="10">
                  <c:v>126.04</c:v>
                </c:pt>
                <c:pt idx="11">
                  <c:v>128.9</c:v>
                </c:pt>
                <c:pt idx="12">
                  <c:v>131.74</c:v>
                </c:pt>
                <c:pt idx="13">
                  <c:v>134.59</c:v>
                </c:pt>
                <c:pt idx="14">
                  <c:v>137.41999999999999</c:v>
                </c:pt>
                <c:pt idx="15">
                  <c:v>140.25</c:v>
                </c:pt>
                <c:pt idx="16">
                  <c:v>143.13999999999999</c:v>
                </c:pt>
                <c:pt idx="17">
                  <c:v>145.97</c:v>
                </c:pt>
                <c:pt idx="18">
                  <c:v>148.77000000000001</c:v>
                </c:pt>
                <c:pt idx="19">
                  <c:v>151.62</c:v>
                </c:pt>
                <c:pt idx="20">
                  <c:v>154.47</c:v>
                </c:pt>
                <c:pt idx="21">
                  <c:v>157.30000000000001</c:v>
                </c:pt>
                <c:pt idx="22">
                  <c:v>160.12</c:v>
                </c:pt>
                <c:pt idx="23">
                  <c:v>162.97</c:v>
                </c:pt>
                <c:pt idx="24">
                  <c:v>165.81</c:v>
                </c:pt>
                <c:pt idx="25">
                  <c:v>168.66</c:v>
                </c:pt>
                <c:pt idx="26">
                  <c:v>171.5</c:v>
                </c:pt>
                <c:pt idx="27">
                  <c:v>174.34</c:v>
                </c:pt>
                <c:pt idx="28">
                  <c:v>177.19</c:v>
                </c:pt>
                <c:pt idx="29">
                  <c:v>180.04</c:v>
                </c:pt>
                <c:pt idx="30">
                  <c:v>182.87</c:v>
                </c:pt>
                <c:pt idx="31">
                  <c:v>185.71</c:v>
                </c:pt>
                <c:pt idx="32">
                  <c:v>188.57</c:v>
                </c:pt>
                <c:pt idx="33">
                  <c:v>191.41</c:v>
                </c:pt>
                <c:pt idx="34">
                  <c:v>194.26</c:v>
                </c:pt>
                <c:pt idx="35">
                  <c:v>197.11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Phase2!$G$1</c:f>
              <c:strCache>
                <c:ptCount val="1"/>
                <c:pt idx="0">
                  <c:v>Phase2-Displacement Control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5"/>
            <c:spPr>
              <a:noFill/>
              <a:ln>
                <a:solidFill>
                  <a:srgbClr val="4F81BD"/>
                </a:solidFill>
              </a:ln>
            </c:spPr>
          </c:marker>
          <c:xVal>
            <c:numRef>
              <c:f>Phase2!$I$3:$I$37</c:f>
              <c:numCache>
                <c:formatCode>General</c:formatCode>
                <c:ptCount val="35"/>
                <c:pt idx="0" formatCode="0.00E+00">
                  <c:v>2.1091E-19</c:v>
                </c:pt>
                <c:pt idx="1">
                  <c:v>1.1839000000000001E-3</c:v>
                </c:pt>
                <c:pt idx="2">
                  <c:v>2.2720000000000001E-3</c:v>
                </c:pt>
                <c:pt idx="3">
                  <c:v>3.2789999999999998E-3</c:v>
                </c:pt>
                <c:pt idx="4">
                  <c:v>4.2163000000000001E-3</c:v>
                </c:pt>
                <c:pt idx="5">
                  <c:v>6.1745999999999997E-3</c:v>
                </c:pt>
                <c:pt idx="6">
                  <c:v>8.2044000000000006E-3</c:v>
                </c:pt>
                <c:pt idx="7">
                  <c:v>1.031E-2</c:v>
                </c:pt>
                <c:pt idx="8">
                  <c:v>1.2496E-2</c:v>
                </c:pt>
                <c:pt idx="9">
                  <c:v>1.4767000000000001E-2</c:v>
                </c:pt>
                <c:pt idx="10">
                  <c:v>1.7129999999999999E-2</c:v>
                </c:pt>
                <c:pt idx="11">
                  <c:v>1.9591000000000001E-2</c:v>
                </c:pt>
                <c:pt idx="12">
                  <c:v>2.2158000000000001E-2</c:v>
                </c:pt>
                <c:pt idx="13">
                  <c:v>2.4837999999999999E-2</c:v>
                </c:pt>
                <c:pt idx="14">
                  <c:v>2.7643999999999998E-2</c:v>
                </c:pt>
                <c:pt idx="15">
                  <c:v>3.0585000000000001E-2</c:v>
                </c:pt>
                <c:pt idx="16">
                  <c:v>3.3674000000000003E-2</c:v>
                </c:pt>
                <c:pt idx="17">
                  <c:v>3.6928000000000002E-2</c:v>
                </c:pt>
                <c:pt idx="18">
                  <c:v>4.0363999999999997E-2</c:v>
                </c:pt>
                <c:pt idx="19">
                  <c:v>4.4004000000000001E-2</c:v>
                </c:pt>
                <c:pt idx="20">
                  <c:v>4.7872999999999999E-2</c:v>
                </c:pt>
                <c:pt idx="21">
                  <c:v>5.2002E-2</c:v>
                </c:pt>
                <c:pt idx="22">
                  <c:v>5.6429E-2</c:v>
                </c:pt>
                <c:pt idx="23">
                  <c:v>6.1201999999999999E-2</c:v>
                </c:pt>
                <c:pt idx="24">
                  <c:v>6.6378999999999994E-2</c:v>
                </c:pt>
                <c:pt idx="25">
                  <c:v>7.2037000000000004E-2</c:v>
                </c:pt>
                <c:pt idx="26">
                  <c:v>7.8276999999999999E-2</c:v>
                </c:pt>
                <c:pt idx="27">
                  <c:v>8.5235000000000005E-2</c:v>
                </c:pt>
                <c:pt idx="28">
                  <c:v>9.3104000000000006E-2</c:v>
                </c:pt>
                <c:pt idx="29">
                  <c:v>0.10216</c:v>
                </c:pt>
                <c:pt idx="30">
                  <c:v>0.11285000000000001</c:v>
                </c:pt>
                <c:pt idx="31">
                  <c:v>0.12589</c:v>
                </c:pt>
                <c:pt idx="32">
                  <c:v>0.14265</c:v>
                </c:pt>
                <c:pt idx="33">
                  <c:v>0.16619999999999999</c:v>
                </c:pt>
                <c:pt idx="34">
                  <c:v>0.20632</c:v>
                </c:pt>
              </c:numCache>
            </c:numRef>
          </c:xVal>
          <c:yVal>
            <c:numRef>
              <c:f>Phase2!$H$3:$H$37</c:f>
              <c:numCache>
                <c:formatCode>General</c:formatCode>
                <c:ptCount val="35"/>
                <c:pt idx="0">
                  <c:v>0</c:v>
                </c:pt>
                <c:pt idx="1">
                  <c:v>27.85</c:v>
                </c:pt>
                <c:pt idx="2">
                  <c:v>55.71</c:v>
                </c:pt>
                <c:pt idx="3">
                  <c:v>83.56</c:v>
                </c:pt>
                <c:pt idx="4">
                  <c:v>111.42</c:v>
                </c:pt>
                <c:pt idx="5">
                  <c:v>114.18</c:v>
                </c:pt>
                <c:pt idx="6">
                  <c:v>116.94</c:v>
                </c:pt>
                <c:pt idx="7">
                  <c:v>119.69</c:v>
                </c:pt>
                <c:pt idx="8">
                  <c:v>122.46</c:v>
                </c:pt>
                <c:pt idx="9">
                  <c:v>125.25</c:v>
                </c:pt>
                <c:pt idx="10">
                  <c:v>128.05000000000001</c:v>
                </c:pt>
                <c:pt idx="11">
                  <c:v>131.13999999999999</c:v>
                </c:pt>
                <c:pt idx="12">
                  <c:v>133.97</c:v>
                </c:pt>
                <c:pt idx="13">
                  <c:v>136.80000000000001</c:v>
                </c:pt>
                <c:pt idx="14">
                  <c:v>139.65</c:v>
                </c:pt>
                <c:pt idx="15">
                  <c:v>142.51</c:v>
                </c:pt>
                <c:pt idx="16">
                  <c:v>145.55000000000001</c:v>
                </c:pt>
                <c:pt idx="17">
                  <c:v>148.38999999999999</c:v>
                </c:pt>
                <c:pt idx="18">
                  <c:v>151.24</c:v>
                </c:pt>
                <c:pt idx="19">
                  <c:v>154.19</c:v>
                </c:pt>
                <c:pt idx="20">
                  <c:v>157.13999999999999</c:v>
                </c:pt>
                <c:pt idx="21">
                  <c:v>160.07</c:v>
                </c:pt>
                <c:pt idx="22">
                  <c:v>163.03</c:v>
                </c:pt>
                <c:pt idx="23">
                  <c:v>166.09</c:v>
                </c:pt>
                <c:pt idx="24">
                  <c:v>169.01</c:v>
                </c:pt>
                <c:pt idx="25">
                  <c:v>171.98</c:v>
                </c:pt>
                <c:pt idx="26">
                  <c:v>175.01</c:v>
                </c:pt>
                <c:pt idx="27">
                  <c:v>177.98</c:v>
                </c:pt>
                <c:pt idx="28">
                  <c:v>180.98</c:v>
                </c:pt>
                <c:pt idx="29">
                  <c:v>184.01</c:v>
                </c:pt>
                <c:pt idx="30">
                  <c:v>187.15</c:v>
                </c:pt>
                <c:pt idx="31">
                  <c:v>190.36</c:v>
                </c:pt>
                <c:pt idx="32">
                  <c:v>193.66</c:v>
                </c:pt>
                <c:pt idx="33">
                  <c:v>196.86</c:v>
                </c:pt>
                <c:pt idx="34">
                  <c:v>200.08</c:v>
                </c:pt>
              </c:numCache>
            </c:numRef>
          </c:yVal>
          <c:smooth val="1"/>
        </c:ser>
        <c:axId val="44905984"/>
        <c:axId val="44909696"/>
      </c:scatterChart>
      <c:valAx>
        <c:axId val="4490598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Axial Strain</a:t>
                </a:r>
              </a:p>
            </c:rich>
          </c:tx>
          <c:layout>
            <c:manualLayout>
              <c:xMode val="edge"/>
              <c:yMode val="edge"/>
              <c:x val="0.50832408435072141"/>
              <c:y val="0.9412724306688422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4909696"/>
        <c:crosses val="autoZero"/>
        <c:crossBetween val="midCat"/>
      </c:valAx>
      <c:valAx>
        <c:axId val="449096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Deviatoric Stress (kPa)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592169657422547"/>
            </c:manualLayout>
          </c:layout>
          <c:spPr>
            <a:noFill/>
            <a:ln w="25400">
              <a:noFill/>
            </a:ln>
          </c:spPr>
        </c:title>
        <c:numFmt formatCode="General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49059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046614872364021"/>
          <c:y val="0.73884214717858498"/>
          <c:w val="0.24094709581945992"/>
          <c:h val="0.12221791199427967"/>
        </c:manualLayout>
      </c:layout>
    </c:legend>
    <c:plotVisOnly val="1"/>
    <c:dispBlanksAs val="gap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 sz="800" b="1"/>
              <a:t>Drained Triaxial Test - Over Consolidated Clay - Constant Poison's Ratio</a:t>
            </a:r>
          </a:p>
        </c:rich>
      </c:tx>
      <c:layout>
        <c:manualLayout>
          <c:xMode val="edge"/>
          <c:yMode val="edge"/>
          <c:x val="0.19435447927499627"/>
          <c:y val="0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73880873103962"/>
          <c:y val="0.12017400761283306"/>
          <c:w val="0.8716241213466519"/>
          <c:h val="0.7683523654159865"/>
        </c:manualLayout>
      </c:layout>
      <c:scatterChart>
        <c:scatterStyle val="lineMarker"/>
        <c:ser>
          <c:idx val="4"/>
          <c:order val="0"/>
          <c:tx>
            <c:v>Analytical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'Analytical Solution'!$S$25:$S$59</c:f>
              <c:numCache>
                <c:formatCode>General</c:formatCode>
                <c:ptCount val="35"/>
                <c:pt idx="0">
                  <c:v>0</c:v>
                </c:pt>
                <c:pt idx="1">
                  <c:v>1.183907806059687E-3</c:v>
                </c:pt>
                <c:pt idx="2">
                  <c:v>2.2719898416134793E-3</c:v>
                </c:pt>
                <c:pt idx="3">
                  <c:v>3.2789650951437731E-3</c:v>
                </c:pt>
                <c:pt idx="4">
                  <c:v>4.2162803052211463E-3</c:v>
                </c:pt>
                <c:pt idx="5">
                  <c:v>6.1745521047611657E-3</c:v>
                </c:pt>
                <c:pt idx="6">
                  <c:v>8.2043827322465044E-3</c:v>
                </c:pt>
                <c:pt idx="7">
                  <c:v>1.030988226477334E-2</c:v>
                </c:pt>
                <c:pt idx="8">
                  <c:v>1.2495703725698547E-2</c:v>
                </c:pt>
                <c:pt idx="9">
                  <c:v>1.4767078965011822E-2</c:v>
                </c:pt>
                <c:pt idx="10">
                  <c:v>1.712990689581903E-2</c:v>
                </c:pt>
                <c:pt idx="11">
                  <c:v>1.9590859831612614E-2</c:v>
                </c:pt>
                <c:pt idx="12">
                  <c:v>2.2157512556741296E-2</c:v>
                </c:pt>
                <c:pt idx="13">
                  <c:v>2.483850020333141E-2</c:v>
                </c:pt>
                <c:pt idx="14">
                  <c:v>2.7643712985942166E-2</c:v>
                </c:pt>
                <c:pt idx="15">
                  <c:v>3.0584538596667925E-2</c:v>
                </c:pt>
                <c:pt idx="16">
                  <c:v>3.3674166945761405E-2</c:v>
                </c:pt>
                <c:pt idx="17">
                  <c:v>3.6927977497384121E-2</c:v>
                </c:pt>
                <c:pt idx="18">
                  <c:v>4.0364037563786655E-2</c:v>
                </c:pt>
                <c:pt idx="19">
                  <c:v>4.4003751977871194E-2</c:v>
                </c:pt>
                <c:pt idx="20">
                  <c:v>4.7872722859428174E-2</c:v>
                </c:pt>
                <c:pt idx="21">
                  <c:v>5.2001906608567128E-2</c:v>
                </c:pt>
                <c:pt idx="22">
                  <c:v>5.642920057327723E-2</c:v>
                </c:pt>
                <c:pt idx="23">
                  <c:v>6.1201666260215462E-2</c:v>
                </c:pt>
                <c:pt idx="24">
                  <c:v>6.6378722375984522E-2</c:v>
                </c:pt>
                <c:pt idx="25">
                  <c:v>7.2036864213025451E-2</c:v>
                </c:pt>
                <c:pt idx="26">
                  <c:v>7.8276878243252107E-2</c:v>
                </c:pt>
                <c:pt idx="27">
                  <c:v>8.5235324089965245E-2</c:v>
                </c:pt>
                <c:pt idx="28">
                  <c:v>9.3103724082848102E-2</c:v>
                </c:pt>
                <c:pt idx="29">
                  <c:v>0.10216264571698326</c:v>
                </c:pt>
                <c:pt idx="30">
                  <c:v>0.11284713996864068</c:v>
                </c:pt>
                <c:pt idx="31">
                  <c:v>0.12588613078390143</c:v>
                </c:pt>
                <c:pt idx="32">
                  <c:v>0.14264620162427191</c:v>
                </c:pt>
                <c:pt idx="33">
                  <c:v>0.16619549465623473</c:v>
                </c:pt>
                <c:pt idx="34">
                  <c:v>0.20632420421456862</c:v>
                </c:pt>
              </c:numCache>
            </c:numRef>
          </c:xVal>
          <c:yVal>
            <c:numRef>
              <c:f>'Analytical Solution'!$M$25:$M$59</c:f>
              <c:numCache>
                <c:formatCode>General</c:formatCode>
                <c:ptCount val="35"/>
                <c:pt idx="0">
                  <c:v>0</c:v>
                </c:pt>
                <c:pt idx="1">
                  <c:v>4.7356312242387473E-4</c:v>
                </c:pt>
                <c:pt idx="2">
                  <c:v>9.0879593664539211E-4</c:v>
                </c:pt>
                <c:pt idx="3">
                  <c:v>1.311586038057509E-3</c:v>
                </c:pt>
                <c:pt idx="4">
                  <c:v>1.6865121220884585E-3</c:v>
                </c:pt>
                <c:pt idx="5">
                  <c:v>2.4781499682380208E-3</c:v>
                </c:pt>
                <c:pt idx="6">
                  <c:v>3.2649197109266056E-3</c:v>
                </c:pt>
                <c:pt idx="7">
                  <c:v>4.0465717522212763E-3</c:v>
                </c:pt>
                <c:pt idx="8">
                  <c:v>4.8229871717737002E-3</c:v>
                </c:pt>
                <c:pt idx="9">
                  <c:v>5.5940628919603436E-3</c:v>
                </c:pt>
                <c:pt idx="10">
                  <c:v>6.3597104143243892E-3</c:v>
                </c:pt>
                <c:pt idx="11">
                  <c:v>7.1198546453724535E-3</c:v>
                </c:pt>
                <c:pt idx="12">
                  <c:v>7.8744328062986049E-3</c:v>
                </c:pt>
                <c:pt idx="13">
                  <c:v>8.6233934213961073E-3</c:v>
                </c:pt>
                <c:pt idx="14">
                  <c:v>9.3666953801208371E-3</c:v>
                </c:pt>
                <c:pt idx="15">
                  <c:v>1.0104307067997462E-2</c:v>
                </c:pt>
                <c:pt idx="16">
                  <c:v>1.0836205561781326E-2</c:v>
                </c:pt>
                <c:pt idx="17">
                  <c:v>1.1562375884532726E-2</c:v>
                </c:pt>
                <c:pt idx="18">
                  <c:v>1.2282810316490428E-2</c:v>
                </c:pt>
                <c:pt idx="19">
                  <c:v>1.2997507757868728E-2</c:v>
                </c:pt>
                <c:pt idx="20">
                  <c:v>1.3706473139926581E-2</c:v>
                </c:pt>
                <c:pt idx="21">
                  <c:v>1.4409716880886422E-2</c:v>
                </c:pt>
                <c:pt idx="22">
                  <c:v>1.5107254383489576E-2</c:v>
                </c:pt>
                <c:pt idx="23">
                  <c:v>1.5799105571186276E-2</c:v>
                </c:pt>
                <c:pt idx="24">
                  <c:v>1.6485294460150953E-2</c:v>
                </c:pt>
                <c:pt idx="25">
                  <c:v>1.7165848764507056E-2</c:v>
                </c:pt>
                <c:pt idx="26">
                  <c:v>1.7840799532317545E-2</c:v>
                </c:pt>
                <c:pt idx="27">
                  <c:v>1.8510180810071473E-2</c:v>
                </c:pt>
                <c:pt idx="28">
                  <c:v>1.9174029333550904E-2</c:v>
                </c:pt>
                <c:pt idx="29">
                  <c:v>1.9832384243114086E-2</c:v>
                </c:pt>
                <c:pt idx="30">
                  <c:v>2.0485286821569294E-2</c:v>
                </c:pt>
                <c:pt idx="31">
                  <c:v>2.1132780252946636E-2</c:v>
                </c:pt>
                <c:pt idx="32">
                  <c:v>2.1774909400596541E-2</c:v>
                </c:pt>
                <c:pt idx="33">
                  <c:v>2.2411720603156726E-2</c:v>
                </c:pt>
                <c:pt idx="34">
                  <c:v>2.3043261487038998E-2</c:v>
                </c:pt>
              </c:numCache>
            </c:numRef>
          </c:yVal>
        </c:ser>
        <c:ser>
          <c:idx val="0"/>
          <c:order val="1"/>
          <c:tx>
            <c:strRef>
              <c:f>Phase2!$A$1</c:f>
              <c:strCache>
                <c:ptCount val="1"/>
                <c:pt idx="0">
                  <c:v>Phase2-Load Control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triang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xVal>
            <c:numRef>
              <c:f>Phase2!$C$3:$C$38</c:f>
              <c:numCache>
                <c:formatCode>General</c:formatCode>
                <c:ptCount val="36"/>
                <c:pt idx="0" formatCode="0.00E+00">
                  <c:v>0</c:v>
                </c:pt>
                <c:pt idx="1">
                  <c:v>1.1788E-3</c:v>
                </c:pt>
                <c:pt idx="2">
                  <c:v>2.2679000000000002E-3</c:v>
                </c:pt>
                <c:pt idx="3">
                  <c:v>3.2756999999999999E-3</c:v>
                </c:pt>
                <c:pt idx="4">
                  <c:v>4.2500000000000003E-3</c:v>
                </c:pt>
                <c:pt idx="5">
                  <c:v>4.5894999999999998E-3</c:v>
                </c:pt>
                <c:pt idx="6">
                  <c:v>6.5027000000000001E-3</c:v>
                </c:pt>
                <c:pt idx="7">
                  <c:v>8.5409000000000006E-3</c:v>
                </c:pt>
                <c:pt idx="8">
                  <c:v>1.0673E-2</c:v>
                </c:pt>
                <c:pt idx="9">
                  <c:v>1.281E-2</c:v>
                </c:pt>
                <c:pt idx="10">
                  <c:v>1.507E-2</c:v>
                </c:pt>
                <c:pt idx="11">
                  <c:v>1.7430000000000001E-2</c:v>
                </c:pt>
                <c:pt idx="12">
                  <c:v>1.9883999999999999E-2</c:v>
                </c:pt>
                <c:pt idx="13">
                  <c:v>2.2433000000000002E-2</c:v>
                </c:pt>
                <c:pt idx="14">
                  <c:v>2.5080000000000002E-2</c:v>
                </c:pt>
                <c:pt idx="15">
                  <c:v>2.7833E-2</c:v>
                </c:pt>
                <c:pt idx="16">
                  <c:v>3.0773999999999999E-2</c:v>
                </c:pt>
                <c:pt idx="17">
                  <c:v>3.3797000000000001E-2</c:v>
                </c:pt>
                <c:pt idx="18">
                  <c:v>3.6935000000000003E-2</c:v>
                </c:pt>
                <c:pt idx="19">
                  <c:v>4.0286000000000002E-2</c:v>
                </c:pt>
                <c:pt idx="20">
                  <c:v>4.3829E-2</c:v>
                </c:pt>
                <c:pt idx="21">
                  <c:v>4.7565999999999997E-2</c:v>
                </c:pt>
                <c:pt idx="22">
                  <c:v>5.151E-2</c:v>
                </c:pt>
                <c:pt idx="23">
                  <c:v>5.5756E-2</c:v>
                </c:pt>
                <c:pt idx="24">
                  <c:v>6.0292999999999999E-2</c:v>
                </c:pt>
                <c:pt idx="25">
                  <c:v>6.5212000000000006E-2</c:v>
                </c:pt>
                <c:pt idx="26">
                  <c:v>7.0513999999999993E-2</c:v>
                </c:pt>
                <c:pt idx="27">
                  <c:v>7.6303999999999997E-2</c:v>
                </c:pt>
                <c:pt idx="28">
                  <c:v>8.2682000000000005E-2</c:v>
                </c:pt>
                <c:pt idx="29">
                  <c:v>8.9829000000000006E-2</c:v>
                </c:pt>
                <c:pt idx="30">
                  <c:v>9.7846000000000002E-2</c:v>
                </c:pt>
                <c:pt idx="31">
                  <c:v>0.10712000000000001</c:v>
                </c:pt>
                <c:pt idx="32">
                  <c:v>0.1181</c:v>
                </c:pt>
                <c:pt idx="33">
                  <c:v>0.13142999999999999</c:v>
                </c:pt>
                <c:pt idx="34">
                  <c:v>0.14863000000000001</c:v>
                </c:pt>
                <c:pt idx="35">
                  <c:v>0.17302000000000001</c:v>
                </c:pt>
              </c:numCache>
            </c:numRef>
          </c:xVal>
          <c:yVal>
            <c:numRef>
              <c:f>Phase2!$D$3:$D$38</c:f>
              <c:numCache>
                <c:formatCode>General</c:formatCode>
                <c:ptCount val="36"/>
                <c:pt idx="0" formatCode="0.00E+00">
                  <c:v>0</c:v>
                </c:pt>
                <c:pt idx="1">
                  <c:v>4.7154E-4</c:v>
                </c:pt>
                <c:pt idx="2">
                  <c:v>9.0713999999999996E-4</c:v>
                </c:pt>
                <c:pt idx="3">
                  <c:v>1.3102599999999999E-3</c:v>
                </c:pt>
                <c:pt idx="4">
                  <c:v>1.6999999999999999E-3</c:v>
                </c:pt>
                <c:pt idx="5">
                  <c:v>1.8391E-3</c:v>
                </c:pt>
                <c:pt idx="6">
                  <c:v>2.6075E-3</c:v>
                </c:pt>
                <c:pt idx="7">
                  <c:v>3.3939E-3</c:v>
                </c:pt>
                <c:pt idx="8">
                  <c:v>4.1824000000000002E-3</c:v>
                </c:pt>
                <c:pt idx="9">
                  <c:v>4.9404000000000002E-3</c:v>
                </c:pt>
                <c:pt idx="10">
                  <c:v>5.7083999999999998E-3</c:v>
                </c:pt>
                <c:pt idx="11">
                  <c:v>6.4742000000000003E-3</c:v>
                </c:pt>
                <c:pt idx="12">
                  <c:v>7.2348000000000004E-3</c:v>
                </c:pt>
                <c:pt idx="13">
                  <c:v>7.9882000000000009E-3</c:v>
                </c:pt>
                <c:pt idx="14">
                  <c:v>8.7328000000000006E-3</c:v>
                </c:pt>
                <c:pt idx="15">
                  <c:v>9.4699999999999993E-3</c:v>
                </c:pt>
                <c:pt idx="16">
                  <c:v>1.0215999999999999E-2</c:v>
                </c:pt>
                <c:pt idx="17">
                  <c:v>1.0940999999999999E-2</c:v>
                </c:pt>
                <c:pt idx="18">
                  <c:v>1.1655E-2</c:v>
                </c:pt>
                <c:pt idx="19">
                  <c:v>1.2371999999999999E-2</c:v>
                </c:pt>
                <c:pt idx="20">
                  <c:v>1.3084999999999999E-2</c:v>
                </c:pt>
                <c:pt idx="21">
                  <c:v>1.3788E-2</c:v>
                </c:pt>
                <c:pt idx="22">
                  <c:v>1.4482E-2</c:v>
                </c:pt>
                <c:pt idx="23">
                  <c:v>1.5178000000000001E-2</c:v>
                </c:pt>
                <c:pt idx="24">
                  <c:v>1.5865000000000001E-2</c:v>
                </c:pt>
                <c:pt idx="25">
                  <c:v>1.6549999999999999E-2</c:v>
                </c:pt>
                <c:pt idx="26">
                  <c:v>1.7226000000000002E-2</c:v>
                </c:pt>
                <c:pt idx="27">
                  <c:v>1.7894E-2</c:v>
                </c:pt>
                <c:pt idx="28">
                  <c:v>1.8558000000000002E-2</c:v>
                </c:pt>
                <c:pt idx="29">
                  <c:v>1.9220999999999999E-2</c:v>
                </c:pt>
                <c:pt idx="30">
                  <c:v>1.9872000000000001E-2</c:v>
                </c:pt>
                <c:pt idx="31">
                  <c:v>2.052E-2</c:v>
                </c:pt>
                <c:pt idx="32">
                  <c:v>2.1170000000000001E-2</c:v>
                </c:pt>
                <c:pt idx="33">
                  <c:v>2.1798000000000001E-2</c:v>
                </c:pt>
                <c:pt idx="34">
                  <c:v>2.2433999999999999E-2</c:v>
                </c:pt>
                <c:pt idx="35">
                  <c:v>2.3066E-2</c:v>
                </c:pt>
              </c:numCache>
            </c:numRef>
          </c:yVal>
        </c:ser>
        <c:ser>
          <c:idx val="1"/>
          <c:order val="2"/>
          <c:tx>
            <c:strRef>
              <c:f>Phase2!$G$1</c:f>
              <c:strCache>
                <c:ptCount val="1"/>
                <c:pt idx="0">
                  <c:v>Phase2-Displacement Control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5"/>
            <c:spPr>
              <a:noFill/>
              <a:ln>
                <a:solidFill>
                  <a:srgbClr val="4F81BD"/>
                </a:solidFill>
              </a:ln>
            </c:spPr>
          </c:marker>
          <c:xVal>
            <c:numRef>
              <c:f>Phase2!$I$3:$I$37</c:f>
              <c:numCache>
                <c:formatCode>General</c:formatCode>
                <c:ptCount val="35"/>
                <c:pt idx="0" formatCode="0.00E+00">
                  <c:v>2.1091E-19</c:v>
                </c:pt>
                <c:pt idx="1">
                  <c:v>1.1839000000000001E-3</c:v>
                </c:pt>
                <c:pt idx="2">
                  <c:v>2.2720000000000001E-3</c:v>
                </c:pt>
                <c:pt idx="3">
                  <c:v>3.2789999999999998E-3</c:v>
                </c:pt>
                <c:pt idx="4">
                  <c:v>4.2163000000000001E-3</c:v>
                </c:pt>
                <c:pt idx="5">
                  <c:v>6.1745999999999997E-3</c:v>
                </c:pt>
                <c:pt idx="6">
                  <c:v>8.2044000000000006E-3</c:v>
                </c:pt>
                <c:pt idx="7">
                  <c:v>1.031E-2</c:v>
                </c:pt>
                <c:pt idx="8">
                  <c:v>1.2496E-2</c:v>
                </c:pt>
                <c:pt idx="9">
                  <c:v>1.4767000000000001E-2</c:v>
                </c:pt>
                <c:pt idx="10">
                  <c:v>1.7129999999999999E-2</c:v>
                </c:pt>
                <c:pt idx="11">
                  <c:v>1.9591000000000001E-2</c:v>
                </c:pt>
                <c:pt idx="12">
                  <c:v>2.2158000000000001E-2</c:v>
                </c:pt>
                <c:pt idx="13">
                  <c:v>2.4837999999999999E-2</c:v>
                </c:pt>
                <c:pt idx="14">
                  <c:v>2.7643999999999998E-2</c:v>
                </c:pt>
                <c:pt idx="15">
                  <c:v>3.0585000000000001E-2</c:v>
                </c:pt>
                <c:pt idx="16">
                  <c:v>3.3674000000000003E-2</c:v>
                </c:pt>
                <c:pt idx="17">
                  <c:v>3.6928000000000002E-2</c:v>
                </c:pt>
                <c:pt idx="18">
                  <c:v>4.0363999999999997E-2</c:v>
                </c:pt>
                <c:pt idx="19">
                  <c:v>4.4004000000000001E-2</c:v>
                </c:pt>
                <c:pt idx="20">
                  <c:v>4.7872999999999999E-2</c:v>
                </c:pt>
                <c:pt idx="21">
                  <c:v>5.2002E-2</c:v>
                </c:pt>
                <c:pt idx="22">
                  <c:v>5.6429E-2</c:v>
                </c:pt>
                <c:pt idx="23">
                  <c:v>6.1201999999999999E-2</c:v>
                </c:pt>
                <c:pt idx="24">
                  <c:v>6.6378999999999994E-2</c:v>
                </c:pt>
                <c:pt idx="25">
                  <c:v>7.2037000000000004E-2</c:v>
                </c:pt>
                <c:pt idx="26">
                  <c:v>7.8276999999999999E-2</c:v>
                </c:pt>
                <c:pt idx="27">
                  <c:v>8.5235000000000005E-2</c:v>
                </c:pt>
                <c:pt idx="28">
                  <c:v>9.3104000000000006E-2</c:v>
                </c:pt>
                <c:pt idx="29">
                  <c:v>0.10216</c:v>
                </c:pt>
                <c:pt idx="30">
                  <c:v>0.11285000000000001</c:v>
                </c:pt>
                <c:pt idx="31">
                  <c:v>0.12589</c:v>
                </c:pt>
                <c:pt idx="32">
                  <c:v>0.14265</c:v>
                </c:pt>
                <c:pt idx="33">
                  <c:v>0.16619999999999999</c:v>
                </c:pt>
                <c:pt idx="34">
                  <c:v>0.20632</c:v>
                </c:pt>
              </c:numCache>
            </c:numRef>
          </c:xVal>
          <c:yVal>
            <c:numRef>
              <c:f>Phase2!$J$3:$J$37</c:f>
              <c:numCache>
                <c:formatCode>General</c:formatCode>
                <c:ptCount val="35"/>
                <c:pt idx="0" formatCode="0.00E+00">
                  <c:v>1.19538E-18</c:v>
                </c:pt>
                <c:pt idx="1">
                  <c:v>4.7355999999999999E-4</c:v>
                </c:pt>
                <c:pt idx="2">
                  <c:v>9.0879999999999997E-4</c:v>
                </c:pt>
                <c:pt idx="3">
                  <c:v>1.3116200000000001E-3</c:v>
                </c:pt>
                <c:pt idx="4">
                  <c:v>1.6865000000000001E-3</c:v>
                </c:pt>
                <c:pt idx="5">
                  <c:v>2.4697E-3</c:v>
                </c:pt>
                <c:pt idx="6">
                  <c:v>3.2507999999999999E-3</c:v>
                </c:pt>
                <c:pt idx="7">
                  <c:v>4.0350000000000004E-3</c:v>
                </c:pt>
                <c:pt idx="8">
                  <c:v>4.8196000000000003E-3</c:v>
                </c:pt>
                <c:pt idx="9">
                  <c:v>5.6048000000000001E-3</c:v>
                </c:pt>
                <c:pt idx="10">
                  <c:v>6.3920000000000001E-3</c:v>
                </c:pt>
                <c:pt idx="11">
                  <c:v>7.1253999999999996E-3</c:v>
                </c:pt>
                <c:pt idx="12">
                  <c:v>7.8840000000000004E-3</c:v>
                </c:pt>
                <c:pt idx="13">
                  <c:v>8.6428000000000008E-3</c:v>
                </c:pt>
                <c:pt idx="14">
                  <c:v>9.4020000000000006E-3</c:v>
                </c:pt>
                <c:pt idx="15">
                  <c:v>1.0160000000000001E-2</c:v>
                </c:pt>
                <c:pt idx="16">
                  <c:v>1.0867999999999999E-2</c:v>
                </c:pt>
                <c:pt idx="17">
                  <c:v>1.1599999999999999E-2</c:v>
                </c:pt>
                <c:pt idx="18">
                  <c:v>1.2331999999999999E-2</c:v>
                </c:pt>
                <c:pt idx="19">
                  <c:v>1.3068E-2</c:v>
                </c:pt>
                <c:pt idx="20">
                  <c:v>1.3795E-2</c:v>
                </c:pt>
                <c:pt idx="21">
                  <c:v>1.4527999999999999E-2</c:v>
                </c:pt>
                <c:pt idx="22">
                  <c:v>1.5269E-2</c:v>
                </c:pt>
                <c:pt idx="23">
                  <c:v>1.5958E-2</c:v>
                </c:pt>
                <c:pt idx="24">
                  <c:v>1.6670999999999998E-2</c:v>
                </c:pt>
                <c:pt idx="25">
                  <c:v>1.7396999999999999E-2</c:v>
                </c:pt>
                <c:pt idx="26">
                  <c:v>1.8079000000000001E-2</c:v>
                </c:pt>
                <c:pt idx="27">
                  <c:v>1.8785E-2</c:v>
                </c:pt>
                <c:pt idx="28">
                  <c:v>1.9466000000000001E-2</c:v>
                </c:pt>
                <c:pt idx="29">
                  <c:v>2.0181999999999999E-2</c:v>
                </c:pt>
                <c:pt idx="30">
                  <c:v>2.0899999999999998E-2</c:v>
                </c:pt>
                <c:pt idx="31">
                  <c:v>2.1634E-2</c:v>
                </c:pt>
                <c:pt idx="32">
                  <c:v>2.2370000000000001E-2</c:v>
                </c:pt>
                <c:pt idx="33">
                  <c:v>2.3056E-2</c:v>
                </c:pt>
                <c:pt idx="34">
                  <c:v>2.3761999999999998E-2</c:v>
                </c:pt>
              </c:numCache>
            </c:numRef>
          </c:yVal>
        </c:ser>
        <c:axId val="44941696"/>
        <c:axId val="45088768"/>
      </c:scatterChart>
      <c:valAx>
        <c:axId val="449416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Axial Strain</a:t>
                </a:r>
              </a:p>
            </c:rich>
          </c:tx>
          <c:layout>
            <c:manualLayout>
              <c:xMode val="edge"/>
              <c:yMode val="edge"/>
              <c:x val="0.51165371809101001"/>
              <c:y val="0.9412724306688422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5088768"/>
        <c:crosses val="autoZero"/>
        <c:crossBetween val="midCat"/>
      </c:valAx>
      <c:valAx>
        <c:axId val="450887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Volumetric Strain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28711256117457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49416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526452090270043"/>
          <c:y val="0.73768575012952109"/>
          <c:w val="0.24298927118017022"/>
          <c:h val="0.11643609801629609"/>
        </c:manualLayout>
      </c:layout>
    </c:legend>
    <c:plotVisOnly val="1"/>
    <c:dispBlanksAs val="gap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7.8801331853496179E-2"/>
          <c:y val="3.4257748776509001E-2"/>
          <c:w val="0.89456159822419534"/>
          <c:h val="0.85970636215334462"/>
        </c:manualLayout>
      </c:layout>
      <c:scatterChart>
        <c:scatterStyle val="lineMarker"/>
        <c:ser>
          <c:idx val="0"/>
          <c:order val="0"/>
          <c:tx>
            <c:v>v-ea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'Analytical Solution'!$S$25:$S$59</c:f>
              <c:numCache>
                <c:formatCode>General</c:formatCode>
                <c:ptCount val="35"/>
                <c:pt idx="0">
                  <c:v>0</c:v>
                </c:pt>
                <c:pt idx="1">
                  <c:v>1.183907806059687E-3</c:v>
                </c:pt>
                <c:pt idx="2">
                  <c:v>2.2719898416134793E-3</c:v>
                </c:pt>
                <c:pt idx="3">
                  <c:v>3.2789650951437731E-3</c:v>
                </c:pt>
                <c:pt idx="4">
                  <c:v>4.2162803052211463E-3</c:v>
                </c:pt>
                <c:pt idx="5">
                  <c:v>6.1745521047611657E-3</c:v>
                </c:pt>
                <c:pt idx="6">
                  <c:v>8.2043827322465044E-3</c:v>
                </c:pt>
                <c:pt idx="7">
                  <c:v>1.030988226477334E-2</c:v>
                </c:pt>
                <c:pt idx="8">
                  <c:v>1.2495703725698547E-2</c:v>
                </c:pt>
                <c:pt idx="9">
                  <c:v>1.4767078965011822E-2</c:v>
                </c:pt>
                <c:pt idx="10">
                  <c:v>1.712990689581903E-2</c:v>
                </c:pt>
                <c:pt idx="11">
                  <c:v>1.9590859831612614E-2</c:v>
                </c:pt>
                <c:pt idx="12">
                  <c:v>2.2157512556741296E-2</c:v>
                </c:pt>
                <c:pt idx="13">
                  <c:v>2.483850020333141E-2</c:v>
                </c:pt>
                <c:pt idx="14">
                  <c:v>2.7643712985942166E-2</c:v>
                </c:pt>
                <c:pt idx="15">
                  <c:v>3.0584538596667925E-2</c:v>
                </c:pt>
                <c:pt idx="16">
                  <c:v>3.3674166945761405E-2</c:v>
                </c:pt>
                <c:pt idx="17">
                  <c:v>3.6927977497384121E-2</c:v>
                </c:pt>
                <c:pt idx="18">
                  <c:v>4.0364037563786655E-2</c:v>
                </c:pt>
                <c:pt idx="19">
                  <c:v>4.4003751977871194E-2</c:v>
                </c:pt>
                <c:pt idx="20">
                  <c:v>4.7872722859428174E-2</c:v>
                </c:pt>
                <c:pt idx="21">
                  <c:v>5.2001906608567128E-2</c:v>
                </c:pt>
                <c:pt idx="22">
                  <c:v>5.642920057327723E-2</c:v>
                </c:pt>
                <c:pt idx="23">
                  <c:v>6.1201666260215462E-2</c:v>
                </c:pt>
                <c:pt idx="24">
                  <c:v>6.6378722375984522E-2</c:v>
                </c:pt>
                <c:pt idx="25">
                  <c:v>7.2036864213025451E-2</c:v>
                </c:pt>
                <c:pt idx="26">
                  <c:v>7.8276878243252107E-2</c:v>
                </c:pt>
                <c:pt idx="27">
                  <c:v>8.5235324089965245E-2</c:v>
                </c:pt>
                <c:pt idx="28">
                  <c:v>9.3103724082848102E-2</c:v>
                </c:pt>
                <c:pt idx="29">
                  <c:v>0.10216264571698326</c:v>
                </c:pt>
                <c:pt idx="30">
                  <c:v>0.11284713996864068</c:v>
                </c:pt>
                <c:pt idx="31">
                  <c:v>0.12588613078390143</c:v>
                </c:pt>
                <c:pt idx="32">
                  <c:v>0.14264620162427191</c:v>
                </c:pt>
                <c:pt idx="33">
                  <c:v>0.16619549465623473</c:v>
                </c:pt>
                <c:pt idx="34">
                  <c:v>0.20632420421456862</c:v>
                </c:pt>
              </c:numCache>
            </c:numRef>
          </c:xVal>
          <c:yVal>
            <c:numRef>
              <c:f>'Analytical Solution'!$H$25:$H$59</c:f>
              <c:numCache>
                <c:formatCode>General</c:formatCode>
                <c:ptCount val="35"/>
                <c:pt idx="0">
                  <c:v>1.4436482870981413</c:v>
                </c:pt>
                <c:pt idx="1">
                  <c:v>1.442624865092869</c:v>
                </c:pt>
                <c:pt idx="2">
                  <c:v>1.4412385348500185</c:v>
                </c:pt>
                <c:pt idx="3">
                  <c:v>1.439755939874604</c:v>
                </c:pt>
                <c:pt idx="4">
                  <c:v>1.4383110538078296</c:v>
                </c:pt>
                <c:pt idx="5">
                  <c:v>1.4370810882255329</c:v>
                </c:pt>
                <c:pt idx="6">
                  <c:v>1.4358599294213219</c:v>
                </c:pt>
                <c:pt idx="7">
                  <c:v>1.4346477829578119</c:v>
                </c:pt>
                <c:pt idx="8">
                  <c:v>1.4334448256940331</c:v>
                </c:pt>
                <c:pt idx="9">
                  <c:v>1.4322512081302738</c:v>
                </c:pt>
                <c:pt idx="10">
                  <c:v>1.4310670565849288</c:v>
                </c:pt>
                <c:pt idx="11">
                  <c:v>1.4298924752135058</c:v>
                </c:pt>
                <c:pt idx="12">
                  <c:v>1.4287275478796395</c:v>
                </c:pt>
                <c:pt idx="13">
                  <c:v>1.4275723398875972</c:v>
                </c:pt>
                <c:pt idx="14">
                  <c:v>1.4264268995853653</c:v>
                </c:pt>
                <c:pt idx="15">
                  <c:v>1.4252912598469871</c:v>
                </c:pt>
                <c:pt idx="16">
                  <c:v>1.4241654394423875</c:v>
                </c:pt>
                <c:pt idx="17">
                  <c:v>1.4230494443024797</c:v>
                </c:pt>
                <c:pt idx="18">
                  <c:v>1.4219432686869116</c:v>
                </c:pt>
                <c:pt idx="19">
                  <c:v>1.4208468962613805</c:v>
                </c:pt>
                <c:pt idx="20">
                  <c:v>1.4197603010910187</c:v>
                </c:pt>
                <c:pt idx="21">
                  <c:v>1.4186834485559447</c:v>
                </c:pt>
                <c:pt idx="22">
                  <c:v>1.4176162961946868</c:v>
                </c:pt>
                <c:pt idx="23">
                  <c:v>1.4165587944807996</c:v>
                </c:pt>
                <c:pt idx="24">
                  <c:v>1.4155108875376443</c:v>
                </c:pt>
                <c:pt idx="25">
                  <c:v>1.4144725137959566</c:v>
                </c:pt>
                <c:pt idx="26">
                  <c:v>1.4134436065985094</c:v>
                </c:pt>
                <c:pt idx="27">
                  <c:v>1.4124240947558673</c:v>
                </c:pt>
                <c:pt idx="28">
                  <c:v>1.4114139030569504</c:v>
                </c:pt>
                <c:pt idx="29">
                  <c:v>1.4104129527378524</c:v>
                </c:pt>
                <c:pt idx="30">
                  <c:v>1.4094211619121113</c:v>
                </c:pt>
                <c:pt idx="31">
                  <c:v>1.4084384459653905</c:v>
                </c:pt>
                <c:pt idx="32">
                  <c:v>1.4074647179173165</c:v>
                </c:pt>
                <c:pt idx="33">
                  <c:v>1.4064998887530085</c:v>
                </c:pt>
                <c:pt idx="34">
                  <c:v>1.4055438677266501</c:v>
                </c:pt>
              </c:numCache>
            </c:numRef>
          </c:yVal>
        </c:ser>
        <c:axId val="46884736"/>
        <c:axId val="50388992"/>
      </c:scatterChart>
      <c:valAx>
        <c:axId val="46884736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ea</a:t>
                </a:r>
              </a:p>
            </c:rich>
          </c:tx>
          <c:layout>
            <c:manualLayout>
              <c:xMode val="edge"/>
              <c:yMode val="edge"/>
              <c:x val="0.51498335183129806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388992"/>
        <c:crosses val="autoZero"/>
        <c:crossBetween val="midCat"/>
      </c:valAx>
      <c:valAx>
        <c:axId val="503889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551386623164763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847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15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tabSelected="1" zoomScale="15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16" cy="6291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7"/>
  </sheetPr>
  <dimension ref="B1:J53"/>
  <sheetViews>
    <sheetView workbookViewId="0">
      <selection activeCell="B32" sqref="B32"/>
    </sheetView>
  </sheetViews>
  <sheetFormatPr defaultRowHeight="12.75"/>
  <cols>
    <col min="1" max="1" width="3.7109375" customWidth="1"/>
  </cols>
  <sheetData>
    <row r="1" spans="2:10" s="2" customFormat="1">
      <c r="B1" s="2" t="s">
        <v>20</v>
      </c>
      <c r="F1" s="2" t="s">
        <v>12</v>
      </c>
      <c r="I1" s="2" t="s">
        <v>21</v>
      </c>
    </row>
    <row r="2" spans="2:10" s="2" customFormat="1">
      <c r="B2" s="2" t="s">
        <v>0</v>
      </c>
      <c r="C2" s="2" t="s">
        <v>1</v>
      </c>
      <c r="F2" s="2" t="s">
        <v>0</v>
      </c>
      <c r="G2" s="2" t="s">
        <v>1</v>
      </c>
      <c r="I2" s="2" t="s">
        <v>0</v>
      </c>
      <c r="J2" s="2" t="s">
        <v>1</v>
      </c>
    </row>
    <row r="3" spans="2:10">
      <c r="B3">
        <v>0</v>
      </c>
      <c r="C3">
        <v>0</v>
      </c>
      <c r="F3">
        <v>0</v>
      </c>
      <c r="G3">
        <v>0</v>
      </c>
    </row>
    <row r="4" spans="2:10">
      <c r="B4">
        <f t="shared" ref="B4:B35" si="0">B3+($B$53-$B$3)/50</f>
        <v>4</v>
      </c>
      <c r="C4">
        <f t="shared" ref="C4:C35" si="1">SQRT(M^2*B4^2*(p0/B4-1))</f>
        <v>33.6</v>
      </c>
      <c r="F4">
        <f>MAX(pcs,p0)+20</f>
        <v>220</v>
      </c>
      <c r="G4">
        <f>M*F4</f>
        <v>264</v>
      </c>
    </row>
    <row r="5" spans="2:10">
      <c r="B5">
        <f t="shared" si="0"/>
        <v>8</v>
      </c>
      <c r="C5">
        <f t="shared" si="1"/>
        <v>47.030203061437021</v>
      </c>
    </row>
    <row r="6" spans="2:10">
      <c r="B6">
        <f t="shared" si="0"/>
        <v>12</v>
      </c>
      <c r="C6">
        <f t="shared" si="1"/>
        <v>56.996842017782001</v>
      </c>
    </row>
    <row r="7" spans="2:10">
      <c r="B7">
        <f t="shared" si="0"/>
        <v>16</v>
      </c>
      <c r="C7">
        <f t="shared" si="1"/>
        <v>65.110367838002574</v>
      </c>
    </row>
    <row r="8" spans="2:10">
      <c r="B8">
        <f t="shared" si="0"/>
        <v>20</v>
      </c>
      <c r="C8">
        <f t="shared" si="1"/>
        <v>72</v>
      </c>
    </row>
    <row r="9" spans="2:10">
      <c r="B9">
        <f t="shared" si="0"/>
        <v>24</v>
      </c>
      <c r="C9">
        <f t="shared" si="1"/>
        <v>77.990768684505227</v>
      </c>
    </row>
    <row r="10" spans="2:10">
      <c r="B10">
        <f t="shared" si="0"/>
        <v>28</v>
      </c>
      <c r="C10">
        <f t="shared" si="1"/>
        <v>83.276887549907869</v>
      </c>
    </row>
    <row r="11" spans="2:10">
      <c r="B11">
        <f t="shared" si="0"/>
        <v>32</v>
      </c>
      <c r="C11">
        <f t="shared" si="1"/>
        <v>87.98545334315213</v>
      </c>
    </row>
    <row r="12" spans="2:10">
      <c r="B12">
        <f t="shared" si="0"/>
        <v>36</v>
      </c>
      <c r="C12">
        <f t="shared" si="1"/>
        <v>92.204989019033022</v>
      </c>
    </row>
    <row r="13" spans="2:10">
      <c r="B13">
        <f t="shared" si="0"/>
        <v>40</v>
      </c>
      <c r="C13">
        <f t="shared" si="1"/>
        <v>96</v>
      </c>
    </row>
    <row r="14" spans="2:10">
      <c r="B14">
        <f t="shared" si="0"/>
        <v>44</v>
      </c>
      <c r="C14">
        <f t="shared" si="1"/>
        <v>99.419112850598296</v>
      </c>
    </row>
    <row r="15" spans="2:10">
      <c r="B15">
        <f t="shared" si="0"/>
        <v>48</v>
      </c>
      <c r="C15">
        <f t="shared" si="1"/>
        <v>102.49995121950059</v>
      </c>
    </row>
    <row r="16" spans="2:10">
      <c r="B16">
        <f t="shared" si="0"/>
        <v>52</v>
      </c>
      <c r="C16">
        <f t="shared" si="1"/>
        <v>105.27221855741428</v>
      </c>
    </row>
    <row r="17" spans="2:3">
      <c r="B17">
        <f t="shared" si="0"/>
        <v>56</v>
      </c>
      <c r="C17">
        <f t="shared" si="1"/>
        <v>107.75973273908951</v>
      </c>
    </row>
    <row r="18" spans="2:3">
      <c r="B18">
        <f t="shared" si="0"/>
        <v>60</v>
      </c>
      <c r="C18">
        <f t="shared" si="1"/>
        <v>109.98181667894016</v>
      </c>
    </row>
    <row r="19" spans="2:3">
      <c r="B19">
        <f t="shared" si="0"/>
        <v>64</v>
      </c>
      <c r="C19">
        <f t="shared" si="1"/>
        <v>111.95427638102977</v>
      </c>
    </row>
    <row r="20" spans="2:3">
      <c r="B20">
        <f t="shared" si="0"/>
        <v>68</v>
      </c>
      <c r="C20">
        <f t="shared" si="1"/>
        <v>113.6901051103393</v>
      </c>
    </row>
    <row r="21" spans="2:3">
      <c r="B21">
        <f t="shared" si="0"/>
        <v>72</v>
      </c>
      <c r="C21">
        <f t="shared" si="1"/>
        <v>115.2</v>
      </c>
    </row>
    <row r="22" spans="2:3">
      <c r="B22">
        <f t="shared" si="0"/>
        <v>76</v>
      </c>
      <c r="C22">
        <f t="shared" si="1"/>
        <v>116.49274655531134</v>
      </c>
    </row>
    <row r="23" spans="2:3">
      <c r="B23">
        <f t="shared" si="0"/>
        <v>80</v>
      </c>
      <c r="C23">
        <f t="shared" si="1"/>
        <v>117.57550765359255</v>
      </c>
    </row>
    <row r="24" spans="2:3">
      <c r="B24">
        <f t="shared" si="0"/>
        <v>84</v>
      </c>
      <c r="C24">
        <f t="shared" si="1"/>
        <v>118.45404172082942</v>
      </c>
    </row>
    <row r="25" spans="2:3">
      <c r="B25">
        <f t="shared" si="0"/>
        <v>88</v>
      </c>
      <c r="C25">
        <f t="shared" si="1"/>
        <v>119.13286700151222</v>
      </c>
    </row>
    <row r="26" spans="2:3">
      <c r="B26">
        <f t="shared" si="0"/>
        <v>92</v>
      </c>
      <c r="C26">
        <f t="shared" si="1"/>
        <v>119.61538362602028</v>
      </c>
    </row>
    <row r="27" spans="2:3">
      <c r="B27">
        <f t="shared" si="0"/>
        <v>96</v>
      </c>
      <c r="C27">
        <f t="shared" si="1"/>
        <v>119.90396156924925</v>
      </c>
    </row>
    <row r="28" spans="2:3">
      <c r="B28">
        <f t="shared" si="0"/>
        <v>100</v>
      </c>
      <c r="C28">
        <f t="shared" si="1"/>
        <v>120</v>
      </c>
    </row>
    <row r="29" spans="2:3">
      <c r="B29">
        <f t="shared" si="0"/>
        <v>104</v>
      </c>
      <c r="C29">
        <f t="shared" si="1"/>
        <v>119.90396156924925</v>
      </c>
    </row>
    <row r="30" spans="2:3">
      <c r="B30">
        <f t="shared" si="0"/>
        <v>108</v>
      </c>
      <c r="C30">
        <f t="shared" si="1"/>
        <v>119.61538362602028</v>
      </c>
    </row>
    <row r="31" spans="2:3">
      <c r="B31">
        <f t="shared" si="0"/>
        <v>112</v>
      </c>
      <c r="C31">
        <f t="shared" si="1"/>
        <v>119.13286700151224</v>
      </c>
    </row>
    <row r="32" spans="2:3">
      <c r="B32">
        <f t="shared" si="0"/>
        <v>116</v>
      </c>
      <c r="C32">
        <f t="shared" si="1"/>
        <v>118.45404172082942</v>
      </c>
    </row>
    <row r="33" spans="2:3">
      <c r="B33">
        <f t="shared" si="0"/>
        <v>120</v>
      </c>
      <c r="C33">
        <f t="shared" si="1"/>
        <v>117.57550765359255</v>
      </c>
    </row>
    <row r="34" spans="2:3">
      <c r="B34">
        <f t="shared" si="0"/>
        <v>124</v>
      </c>
      <c r="C34">
        <f t="shared" si="1"/>
        <v>116.49274655531133</v>
      </c>
    </row>
    <row r="35" spans="2:3">
      <c r="B35">
        <f t="shared" si="0"/>
        <v>128</v>
      </c>
      <c r="C35">
        <f t="shared" si="1"/>
        <v>115.2</v>
      </c>
    </row>
    <row r="36" spans="2:3">
      <c r="B36">
        <f t="shared" ref="B36:B52" si="2">B35+($B$53-$B$3)/50</f>
        <v>132</v>
      </c>
      <c r="C36">
        <f t="shared" ref="C36:C53" si="3">SQRT(M^2*B36^2*(p0/B36-1))</f>
        <v>113.6901051103393</v>
      </c>
    </row>
    <row r="37" spans="2:3">
      <c r="B37">
        <f t="shared" si="2"/>
        <v>136</v>
      </c>
      <c r="C37">
        <f t="shared" si="3"/>
        <v>111.95427638102977</v>
      </c>
    </row>
    <row r="38" spans="2:3">
      <c r="B38">
        <f t="shared" si="2"/>
        <v>140</v>
      </c>
      <c r="C38">
        <f t="shared" si="3"/>
        <v>109.98181667894016</v>
      </c>
    </row>
    <row r="39" spans="2:3">
      <c r="B39">
        <f t="shared" si="2"/>
        <v>144</v>
      </c>
      <c r="C39">
        <f t="shared" si="3"/>
        <v>107.7597327390895</v>
      </c>
    </row>
    <row r="40" spans="2:3">
      <c r="B40">
        <f t="shared" si="2"/>
        <v>148</v>
      </c>
      <c r="C40">
        <f t="shared" si="3"/>
        <v>105.27221855741428</v>
      </c>
    </row>
    <row r="41" spans="2:3">
      <c r="B41">
        <f t="shared" si="2"/>
        <v>152</v>
      </c>
      <c r="C41">
        <f t="shared" si="3"/>
        <v>102.4999512195006</v>
      </c>
    </row>
    <row r="42" spans="2:3">
      <c r="B42">
        <f t="shared" si="2"/>
        <v>156</v>
      </c>
      <c r="C42">
        <f t="shared" si="3"/>
        <v>99.419112850598324</v>
      </c>
    </row>
    <row r="43" spans="2:3">
      <c r="B43">
        <f t="shared" si="2"/>
        <v>160</v>
      </c>
      <c r="C43">
        <f t="shared" si="3"/>
        <v>96</v>
      </c>
    </row>
    <row r="44" spans="2:3">
      <c r="B44">
        <f t="shared" si="2"/>
        <v>164</v>
      </c>
      <c r="C44">
        <f t="shared" si="3"/>
        <v>92.204989019033007</v>
      </c>
    </row>
    <row r="45" spans="2:3">
      <c r="B45">
        <f t="shared" si="2"/>
        <v>168</v>
      </c>
      <c r="C45">
        <f t="shared" si="3"/>
        <v>87.985453343152116</v>
      </c>
    </row>
    <row r="46" spans="2:3">
      <c r="B46">
        <f t="shared" si="2"/>
        <v>172</v>
      </c>
      <c r="C46">
        <f t="shared" si="3"/>
        <v>83.276887549907883</v>
      </c>
    </row>
    <row r="47" spans="2:3">
      <c r="B47">
        <f t="shared" si="2"/>
        <v>176</v>
      </c>
      <c r="C47">
        <f t="shared" si="3"/>
        <v>77.990768684505241</v>
      </c>
    </row>
    <row r="48" spans="2:3">
      <c r="B48">
        <f t="shared" si="2"/>
        <v>180</v>
      </c>
      <c r="C48">
        <f t="shared" si="3"/>
        <v>72.000000000000014</v>
      </c>
    </row>
    <row r="49" spans="2:3">
      <c r="B49">
        <f t="shared" si="2"/>
        <v>184</v>
      </c>
      <c r="C49">
        <f t="shared" si="3"/>
        <v>65.110367838002546</v>
      </c>
    </row>
    <row r="50" spans="2:3">
      <c r="B50">
        <f t="shared" si="2"/>
        <v>188</v>
      </c>
      <c r="C50">
        <f t="shared" si="3"/>
        <v>56.996842017781994</v>
      </c>
    </row>
    <row r="51" spans="2:3">
      <c r="B51">
        <f t="shared" si="2"/>
        <v>192</v>
      </c>
      <c r="C51">
        <f t="shared" si="3"/>
        <v>47.030203061437057</v>
      </c>
    </row>
    <row r="52" spans="2:3">
      <c r="B52">
        <f t="shared" si="2"/>
        <v>196</v>
      </c>
      <c r="C52">
        <f t="shared" si="3"/>
        <v>33.600000000000016</v>
      </c>
    </row>
    <row r="53" spans="2:3">
      <c r="B53">
        <f>p0</f>
        <v>200</v>
      </c>
      <c r="C53">
        <f t="shared" si="3"/>
        <v>0</v>
      </c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S297"/>
  <sheetViews>
    <sheetView topLeftCell="A19" workbookViewId="0">
      <selection activeCell="F25" sqref="F25:F59"/>
    </sheetView>
  </sheetViews>
  <sheetFormatPr defaultRowHeight="15"/>
  <cols>
    <col min="1" max="1" width="3.42578125" style="13" customWidth="1"/>
    <col min="2" max="19" width="11.7109375" style="13" customWidth="1"/>
    <col min="20" max="16384" width="9.140625" style="13"/>
  </cols>
  <sheetData>
    <row r="1" spans="1:13" s="1" customFormat="1" ht="15.75">
      <c r="A1" s="11"/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" customFormat="1" ht="15.7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.75">
      <c r="A3" s="12"/>
      <c r="B3" s="11" t="s">
        <v>2</v>
      </c>
      <c r="C3" s="12"/>
      <c r="D3" s="12"/>
      <c r="E3" s="12"/>
      <c r="F3" s="11" t="s">
        <v>13</v>
      </c>
      <c r="G3" s="11"/>
      <c r="H3" s="12"/>
      <c r="I3" s="12"/>
      <c r="J3" s="12"/>
      <c r="K3" s="12"/>
      <c r="L3" s="12"/>
      <c r="M3" s="12"/>
    </row>
    <row r="4" spans="1:13" ht="15.75">
      <c r="B4" s="14" t="s">
        <v>4</v>
      </c>
      <c r="C4" s="15">
        <v>1.2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>
      <c r="B5" s="16" t="s">
        <v>3</v>
      </c>
      <c r="C5" s="17">
        <f>C6-(C9-C8)*LN(2)</f>
        <v>1.7475895193733553</v>
      </c>
      <c r="D5" s="12"/>
      <c r="E5" s="12"/>
      <c r="F5" s="11" t="s">
        <v>9</v>
      </c>
      <c r="G5" s="12"/>
      <c r="H5" s="12"/>
      <c r="I5" s="12"/>
      <c r="J5" s="12"/>
      <c r="K5" s="12"/>
      <c r="L5" s="12"/>
      <c r="M5" s="12"/>
    </row>
    <row r="6" spans="1:13" ht="18.75">
      <c r="B6" s="16" t="s">
        <v>8</v>
      </c>
      <c r="C6" s="15">
        <v>1.788</v>
      </c>
      <c r="D6" s="12"/>
      <c r="E6" s="12"/>
      <c r="F6" s="18" t="s">
        <v>36</v>
      </c>
      <c r="G6" s="15">
        <v>100</v>
      </c>
      <c r="H6" s="12" t="s">
        <v>10</v>
      </c>
      <c r="I6" s="12"/>
      <c r="J6" s="12"/>
      <c r="K6" s="12"/>
      <c r="L6" s="12"/>
      <c r="M6" s="12"/>
    </row>
    <row r="7" spans="1:13" ht="18.75">
      <c r="B7" s="16"/>
      <c r="C7" s="15"/>
      <c r="D7" s="12"/>
      <c r="E7" s="12"/>
      <c r="F7" s="18" t="s">
        <v>37</v>
      </c>
      <c r="G7" s="15">
        <v>0</v>
      </c>
      <c r="H7" s="12" t="s">
        <v>10</v>
      </c>
      <c r="I7" s="12"/>
      <c r="J7" s="12"/>
      <c r="K7" s="12"/>
      <c r="L7" s="12"/>
      <c r="M7" s="12"/>
    </row>
    <row r="8" spans="1:13" ht="18.75">
      <c r="B8" s="14" t="s">
        <v>5</v>
      </c>
      <c r="C8" s="15">
        <v>7.7000000000000002E-3</v>
      </c>
      <c r="D8" s="12"/>
      <c r="E8" s="12"/>
      <c r="F8" s="18" t="s">
        <v>38</v>
      </c>
      <c r="G8" s="12">
        <f>N-l*LN(p0)-k*LN(pinit/p0)</f>
        <v>1.4436482870981413</v>
      </c>
      <c r="H8" s="12"/>
      <c r="I8" s="12"/>
      <c r="J8" s="12"/>
      <c r="K8" s="12"/>
      <c r="L8" s="12"/>
      <c r="M8" s="12"/>
    </row>
    <row r="9" spans="1:13" ht="15.75">
      <c r="B9" s="14" t="s">
        <v>6</v>
      </c>
      <c r="C9" s="15">
        <v>6.6000000000000003E-2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ht="18.75">
      <c r="B10" s="19" t="s">
        <v>3</v>
      </c>
      <c r="C10" s="17">
        <v>20000</v>
      </c>
      <c r="D10" s="12" t="s">
        <v>10</v>
      </c>
      <c r="E10" s="12"/>
      <c r="F10" s="18" t="s">
        <v>39</v>
      </c>
      <c r="G10" s="12">
        <f>G6-1/3*G7</f>
        <v>100</v>
      </c>
      <c r="H10" s="12" t="s">
        <v>10</v>
      </c>
      <c r="I10" s="12"/>
      <c r="J10" s="12"/>
      <c r="K10" s="12"/>
      <c r="L10" s="12"/>
      <c r="M10" s="12"/>
    </row>
    <row r="11" spans="1:13" ht="15.75">
      <c r="B11" s="16" t="s">
        <v>7</v>
      </c>
      <c r="C11" s="17">
        <v>0.3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18.75">
      <c r="B12" s="1" t="s">
        <v>40</v>
      </c>
      <c r="C12" s="15">
        <v>200</v>
      </c>
      <c r="D12" s="12" t="s">
        <v>10</v>
      </c>
      <c r="E12" s="12"/>
      <c r="F12" s="11" t="s">
        <v>14</v>
      </c>
      <c r="G12" s="12"/>
      <c r="H12" s="12"/>
      <c r="I12" s="12"/>
      <c r="J12" s="12"/>
      <c r="K12" s="12"/>
      <c r="L12" s="12"/>
      <c r="M12" s="12"/>
    </row>
    <row r="13" spans="1:13" ht="18.75">
      <c r="B13" s="1"/>
      <c r="C13" s="12"/>
      <c r="D13" s="12"/>
      <c r="E13" s="12"/>
      <c r="F13" s="18" t="s">
        <v>41</v>
      </c>
      <c r="G13" s="18" t="s">
        <v>42</v>
      </c>
      <c r="H13" s="18" t="s">
        <v>43</v>
      </c>
      <c r="I13" s="12"/>
      <c r="J13" s="12"/>
      <c r="K13" s="12"/>
      <c r="L13" s="12"/>
      <c r="M13" s="12"/>
    </row>
    <row r="14" spans="1:13" ht="18.75">
      <c r="B14" s="1" t="s">
        <v>44</v>
      </c>
      <c r="C14" s="12">
        <f>M/SQRT(3)</f>
        <v>0.69282032302755092</v>
      </c>
      <c r="D14" s="12"/>
      <c r="E14" s="12"/>
      <c r="F14" s="12">
        <f>(M^2*p0+18*ph+M*SQRT(M^2*p0^2+36*(p0-ph)*ph))/(2*(9+M^2))</f>
        <v>137.13906763541036</v>
      </c>
      <c r="G14" s="12">
        <f>3*(F14-ph)</f>
        <v>111.41720290623107</v>
      </c>
      <c r="H14" s="12">
        <f>N-l*LN(p0)-k*LN(py/p0)</f>
        <v>1.441216432155612</v>
      </c>
      <c r="I14" s="12"/>
      <c r="J14" s="12"/>
      <c r="K14" s="12"/>
      <c r="L14" s="12"/>
      <c r="M14" s="12"/>
    </row>
    <row r="15" spans="1:13" ht="15.75">
      <c r="B15" s="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15.75">
      <c r="B16" s="1"/>
      <c r="C16" s="12"/>
      <c r="D16" s="12"/>
      <c r="E16" s="12"/>
      <c r="F16" s="11" t="s">
        <v>15</v>
      </c>
      <c r="G16" s="12"/>
      <c r="H16" s="12"/>
      <c r="I16" s="12"/>
      <c r="J16" s="12"/>
      <c r="K16" s="12"/>
      <c r="L16" s="12"/>
      <c r="M16" s="12"/>
    </row>
    <row r="17" spans="1:19" ht="18.75">
      <c r="B17" s="1"/>
      <c r="C17" s="12"/>
      <c r="D17" s="12"/>
      <c r="E17" s="12"/>
      <c r="F17" s="18" t="s">
        <v>45</v>
      </c>
      <c r="G17" s="18" t="s">
        <v>46</v>
      </c>
      <c r="H17" s="12"/>
      <c r="I17" s="12"/>
      <c r="J17" s="12"/>
      <c r="K17" s="12"/>
      <c r="L17" s="12"/>
      <c r="M17" s="12"/>
    </row>
    <row r="18" spans="1:19" ht="15.75">
      <c r="B18" s="1"/>
      <c r="C18" s="12"/>
      <c r="D18" s="12"/>
      <c r="E18" s="12"/>
      <c r="F18" s="12">
        <f>3*ph/(3-C4)</f>
        <v>166.66666666666666</v>
      </c>
      <c r="G18" s="12">
        <f>C4*F18</f>
        <v>199.99999999999997</v>
      </c>
      <c r="H18" s="12"/>
      <c r="I18" s="12"/>
      <c r="J18" s="12"/>
      <c r="K18" s="12"/>
      <c r="L18" s="12"/>
      <c r="M18" s="12"/>
    </row>
    <row r="19" spans="1:19" ht="15.75"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9" ht="15.75">
      <c r="B20" s="1"/>
      <c r="C20" s="12"/>
      <c r="D20" s="12"/>
      <c r="E20" s="12"/>
      <c r="F20" s="11" t="s">
        <v>17</v>
      </c>
      <c r="G20" s="11"/>
      <c r="H20" s="12"/>
      <c r="I20" s="12"/>
      <c r="J20" s="12"/>
      <c r="K20" s="12"/>
      <c r="L20" s="12"/>
      <c r="M20" s="12"/>
    </row>
    <row r="21" spans="1:19" ht="15.75">
      <c r="B21" s="1"/>
      <c r="C21" s="12"/>
      <c r="D21" s="12"/>
      <c r="E21" s="12"/>
      <c r="F21" s="11" t="s">
        <v>18</v>
      </c>
      <c r="G21" s="11" t="s">
        <v>19</v>
      </c>
      <c r="H21" s="12"/>
      <c r="I21" s="12"/>
      <c r="J21" s="12"/>
      <c r="K21" s="11"/>
      <c r="L21" s="11"/>
      <c r="M21" s="11"/>
      <c r="N21" s="35" t="s">
        <v>51</v>
      </c>
      <c r="O21" s="20">
        <f>3*(1-2*nu)/2/(1+nu)</f>
        <v>0.46153846153846156</v>
      </c>
    </row>
    <row r="22" spans="1:19" ht="15.75">
      <c r="B22" s="1"/>
      <c r="C22" s="12"/>
      <c r="D22" s="12"/>
      <c r="E22" s="12"/>
      <c r="F22" s="21">
        <f>k/vy*LN(1+(qy-qinit)/3/pinit)</f>
        <v>1.6873627640311142E-3</v>
      </c>
      <c r="G22" s="21">
        <f>(qy-qinit)/3/G</f>
        <v>1.8569533817705177E-3</v>
      </c>
      <c r="H22" s="12"/>
      <c r="I22" s="12"/>
      <c r="J22" s="12"/>
      <c r="K22" s="12"/>
      <c r="L22" s="12"/>
      <c r="M22" s="12"/>
    </row>
    <row r="23" spans="1:19" ht="15.75">
      <c r="C23" s="12"/>
      <c r="D23" s="12"/>
      <c r="E23" s="12"/>
      <c r="F23" s="12"/>
      <c r="G23" s="12"/>
      <c r="H23" s="12"/>
      <c r="I23" s="30" t="s">
        <v>24</v>
      </c>
      <c r="J23" s="31"/>
      <c r="K23" s="31"/>
      <c r="L23" s="31"/>
      <c r="M23" s="33"/>
      <c r="N23" s="30" t="s">
        <v>27</v>
      </c>
      <c r="O23" s="31"/>
      <c r="P23" s="31"/>
      <c r="Q23" s="31"/>
      <c r="R23" s="32"/>
    </row>
    <row r="24" spans="1:19" s="23" customFormat="1" ht="50.25">
      <c r="A24" s="9"/>
      <c r="B24" s="22" t="s">
        <v>47</v>
      </c>
      <c r="C24" s="22" t="s">
        <v>48</v>
      </c>
      <c r="D24" s="22" t="s">
        <v>49</v>
      </c>
      <c r="E24" s="9" t="s">
        <v>0</v>
      </c>
      <c r="F24" s="9" t="s">
        <v>1</v>
      </c>
      <c r="G24" s="9" t="s">
        <v>50</v>
      </c>
      <c r="H24" s="9" t="s">
        <v>16</v>
      </c>
      <c r="I24" s="7" t="s">
        <v>30</v>
      </c>
      <c r="J24" s="8" t="s">
        <v>25</v>
      </c>
      <c r="K24" s="8" t="s">
        <v>26</v>
      </c>
      <c r="L24" s="8" t="s">
        <v>31</v>
      </c>
      <c r="M24" s="8" t="s">
        <v>32</v>
      </c>
      <c r="N24" s="9" t="s">
        <v>25</v>
      </c>
      <c r="O24" s="9" t="s">
        <v>26</v>
      </c>
      <c r="P24" s="9" t="s">
        <v>28</v>
      </c>
      <c r="Q24" s="8" t="s">
        <v>33</v>
      </c>
      <c r="R24" s="8" t="s">
        <v>34</v>
      </c>
      <c r="S24" s="10" t="s">
        <v>35</v>
      </c>
    </row>
    <row r="25" spans="1:19" s="25" customFormat="1" ht="15.75">
      <c r="A25" s="24">
        <v>1</v>
      </c>
      <c r="B25" s="24">
        <f t="shared" ref="B25:B60" si="0">E25+2*F25/3</f>
        <v>100</v>
      </c>
      <c r="C25" s="24">
        <f t="shared" ref="C25:C60" si="1">E25-F25/3</f>
        <v>100</v>
      </c>
      <c r="D25" s="24">
        <f>B25/$B$25</f>
        <v>1</v>
      </c>
      <c r="E25" s="24">
        <f>pinit</f>
        <v>100</v>
      </c>
      <c r="F25" s="34">
        <f>qinit</f>
        <v>0</v>
      </c>
      <c r="G25" s="24">
        <f t="shared" ref="G25:G60" si="2">E25*(F25^2/M^2/E25^2+1)</f>
        <v>100</v>
      </c>
      <c r="H25" s="24">
        <f>N-l*LN(p0/1)-k*LN(G25/p0)</f>
        <v>1.4436482870981413</v>
      </c>
      <c r="I25" s="24">
        <f t="shared" ref="I25:I60" si="3">F25/E25</f>
        <v>0</v>
      </c>
      <c r="J25" s="24"/>
      <c r="K25" s="24"/>
      <c r="L25" s="24">
        <v>0</v>
      </c>
      <c r="M25" s="24">
        <f>IF($G25&gt;p0,(#REF!-#REF!),0)</f>
        <v>0</v>
      </c>
      <c r="N25" s="24"/>
      <c r="O25" s="24"/>
      <c r="P25" s="24"/>
      <c r="Q25" s="24">
        <v>0</v>
      </c>
      <c r="R25" s="24">
        <v>0</v>
      </c>
      <c r="S25" s="24">
        <f>M25/3+R25</f>
        <v>0</v>
      </c>
    </row>
    <row r="26" spans="1:19" s="25" customFormat="1" ht="15.75">
      <c r="A26" s="24">
        <v>2</v>
      </c>
      <c r="B26" s="24">
        <f t="shared" si="0"/>
        <v>127.85430072655777</v>
      </c>
      <c r="C26" s="24">
        <f t="shared" si="1"/>
        <v>100</v>
      </c>
      <c r="D26" s="24">
        <f t="shared" ref="D26:D60" si="4">B26/$B$25</f>
        <v>1.2785430072655777</v>
      </c>
      <c r="E26" s="24">
        <f>E25+($E$29-$E$25)/4</f>
        <v>109.28476690885259</v>
      </c>
      <c r="F26" s="34">
        <f t="shared" ref="F26:F60" si="5">3*(E26-ph)</f>
        <v>27.854300726557767</v>
      </c>
      <c r="G26" s="24">
        <f t="shared" si="2"/>
        <v>114.21494262032799</v>
      </c>
      <c r="H26" s="24">
        <f>N-l*LN(p0/1)-k*LN(G26/p0)</f>
        <v>1.442624865092869</v>
      </c>
      <c r="I26" s="24">
        <f t="shared" si="3"/>
        <v>0.25487816385049578</v>
      </c>
      <c r="J26" s="24"/>
      <c r="K26" s="24"/>
      <c r="L26" s="24">
        <f>k/H25*LN(E26/E25)</f>
        <v>4.7356312242387473E-4</v>
      </c>
      <c r="M26" s="24">
        <f>M25+L26</f>
        <v>4.7356312242387473E-4</v>
      </c>
      <c r="N26" s="24"/>
      <c r="O26" s="24"/>
      <c r="P26" s="24"/>
      <c r="Q26" s="24">
        <f>-LN((3-I26)/(3-I25))*3*k/3/$O$21/H25</f>
        <v>1.0260534319183954E-3</v>
      </c>
      <c r="R26" s="24">
        <f>R25+Q26</f>
        <v>1.0260534319183954E-3</v>
      </c>
      <c r="S26" s="24">
        <f t="shared" ref="S26:S59" si="6">M26/3+R26</f>
        <v>1.183907806059687E-3</v>
      </c>
    </row>
    <row r="27" spans="1:19" s="25" customFormat="1" ht="15.75">
      <c r="A27" s="24">
        <v>3</v>
      </c>
      <c r="B27" s="24">
        <f t="shared" si="0"/>
        <v>155.70860145311553</v>
      </c>
      <c r="C27" s="24">
        <f t="shared" si="1"/>
        <v>100</v>
      </c>
      <c r="D27" s="24">
        <f t="shared" si="4"/>
        <v>1.5570860145311554</v>
      </c>
      <c r="E27" s="24">
        <f>E26+($E$29-$E$25)/4</f>
        <v>118.56953381770518</v>
      </c>
      <c r="F27" s="34">
        <f t="shared" si="5"/>
        <v>55.708601453115534</v>
      </c>
      <c r="G27" s="24">
        <f t="shared" si="2"/>
        <v>136.7459771619674</v>
      </c>
      <c r="H27" s="24">
        <f>N-l*LN(p0/1)-k*LN(G27/p0)</f>
        <v>1.4412385348500185</v>
      </c>
      <c r="I27" s="24">
        <f t="shared" si="3"/>
        <v>0.46983908647869671</v>
      </c>
      <c r="J27" s="24"/>
      <c r="K27" s="24"/>
      <c r="L27" s="24">
        <f>k/H26*LN(E27/E26)</f>
        <v>4.3523281422151733E-4</v>
      </c>
      <c r="M27" s="24">
        <f t="shared" ref="M27:M59" si="7">M26+L27</f>
        <v>9.0879593664539211E-4</v>
      </c>
      <c r="N27" s="24"/>
      <c r="O27" s="24"/>
      <c r="P27" s="24"/>
      <c r="Q27" s="24">
        <f>-LN((3-I27)/(3-I26))*3*k/3/$O$21/H26</f>
        <v>9.4300443081328641E-4</v>
      </c>
      <c r="R27" s="24">
        <f t="shared" ref="R27:R59" si="8">R26+Q27</f>
        <v>1.9690578627316819E-3</v>
      </c>
      <c r="S27" s="24">
        <f t="shared" si="6"/>
        <v>2.2719898416134793E-3</v>
      </c>
    </row>
    <row r="28" spans="1:19" s="25" customFormat="1" ht="15.75">
      <c r="A28" s="24">
        <v>4</v>
      </c>
      <c r="B28" s="24">
        <f t="shared" si="0"/>
        <v>183.5629021796733</v>
      </c>
      <c r="C28" s="24">
        <f t="shared" si="1"/>
        <v>100</v>
      </c>
      <c r="D28" s="24">
        <f t="shared" si="4"/>
        <v>1.835629021796733</v>
      </c>
      <c r="E28" s="24">
        <f>E27+($E$29-$E$25)/4</f>
        <v>127.85430072655777</v>
      </c>
      <c r="F28" s="34">
        <f t="shared" si="5"/>
        <v>83.562902179673301</v>
      </c>
      <c r="G28" s="24">
        <f t="shared" si="2"/>
        <v>165.78136226049349</v>
      </c>
      <c r="H28" s="24">
        <f>N-l*LN(p0/1)-k*LN(G28/p0)</f>
        <v>1.439755939874604</v>
      </c>
      <c r="I28" s="24">
        <f t="shared" si="3"/>
        <v>0.65357912643384153</v>
      </c>
      <c r="J28" s="24"/>
      <c r="K28" s="24"/>
      <c r="L28" s="24">
        <f>k/H27*LN(E28/E27)</f>
        <v>4.0279010141211697E-4</v>
      </c>
      <c r="M28" s="24">
        <f t="shared" si="7"/>
        <v>1.311586038057509E-3</v>
      </c>
      <c r="N28" s="24"/>
      <c r="O28" s="24"/>
      <c r="P28" s="24"/>
      <c r="Q28" s="24">
        <f>-LN((3-I28)/(3-I27))*3*k/3/$O$21/H27</f>
        <v>8.7271188639292193E-4</v>
      </c>
      <c r="R28" s="24">
        <f t="shared" si="8"/>
        <v>2.8417697491246036E-3</v>
      </c>
      <c r="S28" s="24">
        <f t="shared" si="6"/>
        <v>3.2789650951437731E-3</v>
      </c>
    </row>
    <row r="29" spans="1:19" s="25" customFormat="1" ht="15.75">
      <c r="A29" s="24">
        <v>5</v>
      </c>
      <c r="B29" s="24">
        <f t="shared" si="0"/>
        <v>211.41720290623107</v>
      </c>
      <c r="C29" s="24">
        <f t="shared" si="1"/>
        <v>100</v>
      </c>
      <c r="D29" s="24">
        <f t="shared" si="4"/>
        <v>2.1141720290623107</v>
      </c>
      <c r="E29" s="24">
        <f>py</f>
        <v>137.13906763541036</v>
      </c>
      <c r="F29" s="34">
        <f t="shared" si="5"/>
        <v>111.41720290623107</v>
      </c>
      <c r="G29" s="24">
        <f t="shared" si="2"/>
        <v>199.99999999999994</v>
      </c>
      <c r="H29" s="24">
        <f t="shared" ref="H29:H60" si="9">N-l*LN(G29/1)</f>
        <v>1.4383110538078296</v>
      </c>
      <c r="I29" s="24">
        <f t="shared" si="3"/>
        <v>0.81243955371228072</v>
      </c>
      <c r="J29" s="24"/>
      <c r="K29" s="24"/>
      <c r="L29" s="24">
        <f>k/H28*LN(E29/E28)</f>
        <v>3.7492608403094955E-4</v>
      </c>
      <c r="M29" s="24">
        <f t="shared" si="7"/>
        <v>1.6865121220884585E-3</v>
      </c>
      <c r="N29" s="24"/>
      <c r="O29" s="24"/>
      <c r="P29" s="24"/>
      <c r="Q29" s="24">
        <f>-LN((3-I29)/(3-I28))*3*k/3/$O$21/H28</f>
        <v>8.1233984873372309E-4</v>
      </c>
      <c r="R29" s="24">
        <f t="shared" si="8"/>
        <v>3.6541095978583267E-3</v>
      </c>
      <c r="S29" s="24">
        <f t="shared" si="6"/>
        <v>4.2162803052211463E-3</v>
      </c>
    </row>
    <row r="30" spans="1:19" s="25" customFormat="1" ht="15.75">
      <c r="A30" s="24">
        <v>6</v>
      </c>
      <c r="B30" s="24">
        <f t="shared" si="0"/>
        <v>214.27471248990099</v>
      </c>
      <c r="C30" s="24">
        <f t="shared" si="1"/>
        <v>100</v>
      </c>
      <c r="D30" s="24">
        <f t="shared" si="4"/>
        <v>2.1427471248990098</v>
      </c>
      <c r="E30" s="24">
        <f t="shared" ref="E30:E40" si="10">E29+($E$60-$E$29)/31</f>
        <v>138.091570829967</v>
      </c>
      <c r="F30" s="34">
        <f t="shared" si="5"/>
        <v>114.27471248990099</v>
      </c>
      <c r="G30" s="24">
        <f t="shared" si="2"/>
        <v>203.76211463894515</v>
      </c>
      <c r="H30" s="24">
        <f t="shared" si="9"/>
        <v>1.4370810882255329</v>
      </c>
      <c r="I30" s="24">
        <f t="shared" si="3"/>
        <v>0.82752851461591492</v>
      </c>
      <c r="J30" s="24">
        <f t="shared" ref="J30:J59" si="11">((3-I29)/(3-I30))^(l)</f>
        <v>1.0004569245884913</v>
      </c>
      <c r="K30" s="24">
        <f t="shared" ref="K30:K59" si="12">( (M^2+I30^2)/(M^2+I29^2))^(-k+l)</f>
        <v>1.0006831783210601</v>
      </c>
      <c r="L30" s="24">
        <f>LN(J30*K30)/H28</f>
        <v>7.9163784614956251E-4</v>
      </c>
      <c r="M30" s="24">
        <f t="shared" si="7"/>
        <v>2.4781499682380208E-3</v>
      </c>
      <c r="N30" s="24">
        <f t="shared" ref="N30:N59" si="13">( (M-I30)/(M-I29) )^ ( (l-k)*3/M/(M-3))</f>
        <v>1.003220690881476</v>
      </c>
      <c r="O30" s="24">
        <f t="shared" ref="O30:O59" si="14">( (M+I30)/(M+I29) )^ ( (l-k)*3/M/(M+3))</f>
        <v>1.0002592560975696</v>
      </c>
      <c r="P30" s="24">
        <f t="shared" ref="P30:P59" si="15">( (3-I30)/(3-I29) ) ^ ( 2*(l-k)*3/(3^2-M^2) - k*3/3/$O$21)</f>
        <v>0.99979523740054832</v>
      </c>
      <c r="Q30" s="24">
        <f t="shared" ref="Q30:Q59" si="16">+LN(N30*O30*P30)/H29-( ATAN(I30/M)-ATAN(I29/M)) *2*(l-k)/M/H29</f>
        <v>1.6943925174901652E-3</v>
      </c>
      <c r="R30" s="24">
        <f t="shared" si="8"/>
        <v>5.3485021153484918E-3</v>
      </c>
      <c r="S30" s="24">
        <f t="shared" si="6"/>
        <v>6.1745521047611657E-3</v>
      </c>
    </row>
    <row r="31" spans="1:19" s="25" customFormat="1" ht="15.75">
      <c r="A31" s="24">
        <v>7</v>
      </c>
      <c r="B31" s="24">
        <f t="shared" si="0"/>
        <v>217.13222207357092</v>
      </c>
      <c r="C31" s="24">
        <f t="shared" si="1"/>
        <v>100</v>
      </c>
      <c r="D31" s="24">
        <f t="shared" si="4"/>
        <v>2.1713222207357092</v>
      </c>
      <c r="E31" s="24">
        <f t="shared" si="10"/>
        <v>139.04407402452364</v>
      </c>
      <c r="F31" s="34">
        <f t="shared" si="5"/>
        <v>117.13222207357092</v>
      </c>
      <c r="G31" s="24">
        <f t="shared" si="2"/>
        <v>207.56729800616969</v>
      </c>
      <c r="H31" s="24">
        <f t="shared" si="9"/>
        <v>1.4358599294213219</v>
      </c>
      <c r="I31" s="24">
        <f t="shared" si="3"/>
        <v>0.84241074562380802</v>
      </c>
      <c r="J31" s="24">
        <f t="shared" si="11"/>
        <v>1.0004537829911428</v>
      </c>
      <c r="K31" s="24">
        <f t="shared" si="12"/>
        <v>1.0006781694078917</v>
      </c>
      <c r="L31" s="24">
        <f t="shared" ref="L31:L59" si="17">LN(J31*K31)/H29</f>
        <v>7.8676974268858499E-4</v>
      </c>
      <c r="M31" s="24">
        <f t="shared" si="7"/>
        <v>3.2649197109266056E-3</v>
      </c>
      <c r="N31" s="24">
        <f t="shared" si="13"/>
        <v>1.0033071387574268</v>
      </c>
      <c r="O31" s="24">
        <f t="shared" si="14"/>
        <v>1.0002538203441251</v>
      </c>
      <c r="P31" s="24">
        <f t="shared" si="15"/>
        <v>0.9997966447888984</v>
      </c>
      <c r="Q31" s="24">
        <f t="shared" si="16"/>
        <v>1.7675740465891445E-3</v>
      </c>
      <c r="R31" s="24">
        <f t="shared" si="8"/>
        <v>7.1160761619376359E-3</v>
      </c>
      <c r="S31" s="24">
        <f t="shared" si="6"/>
        <v>8.2043827322465044E-3</v>
      </c>
    </row>
    <row r="32" spans="1:19" s="25" customFormat="1" ht="15.75">
      <c r="A32" s="24">
        <v>8</v>
      </c>
      <c r="B32" s="24">
        <f t="shared" si="0"/>
        <v>219.98973165724084</v>
      </c>
      <c r="C32" s="24">
        <f t="shared" si="1"/>
        <v>100</v>
      </c>
      <c r="D32" s="24">
        <f t="shared" si="4"/>
        <v>2.1998973165724083</v>
      </c>
      <c r="E32" s="24">
        <f t="shared" si="10"/>
        <v>139.99657721908028</v>
      </c>
      <c r="F32" s="34">
        <f t="shared" si="5"/>
        <v>119.98973165724084</v>
      </c>
      <c r="G32" s="24">
        <f t="shared" si="2"/>
        <v>211.41467101372552</v>
      </c>
      <c r="H32" s="24">
        <f t="shared" si="9"/>
        <v>1.4346477829578119</v>
      </c>
      <c r="I32" s="24">
        <f t="shared" si="3"/>
        <v>0.85709046635811115</v>
      </c>
      <c r="J32" s="24">
        <f t="shared" si="11"/>
        <v>1.0004506842992387</v>
      </c>
      <c r="K32" s="24">
        <f t="shared" si="12"/>
        <v>1.0006729409177544</v>
      </c>
      <c r="L32" s="24">
        <f t="shared" si="17"/>
        <v>7.8165204129467057E-4</v>
      </c>
      <c r="M32" s="24">
        <f t="shared" si="7"/>
        <v>4.0465717522212763E-3</v>
      </c>
      <c r="N32" s="24">
        <f t="shared" si="13"/>
        <v>1.0033999873426418</v>
      </c>
      <c r="O32" s="24">
        <f t="shared" si="14"/>
        <v>1.0002485603593401</v>
      </c>
      <c r="P32" s="24">
        <f t="shared" si="15"/>
        <v>0.9997980329625249</v>
      </c>
      <c r="Q32" s="24">
        <f t="shared" si="16"/>
        <v>1.8449488520952792E-3</v>
      </c>
      <c r="R32" s="24">
        <f t="shared" si="8"/>
        <v>8.9610250140329147E-3</v>
      </c>
      <c r="S32" s="24">
        <f t="shared" si="6"/>
        <v>1.030988226477334E-2</v>
      </c>
    </row>
    <row r="33" spans="1:19" s="25" customFormat="1" ht="15.75">
      <c r="A33" s="24">
        <v>9</v>
      </c>
      <c r="B33" s="24">
        <f t="shared" si="0"/>
        <v>222.84724124091076</v>
      </c>
      <c r="C33" s="24">
        <f t="shared" si="1"/>
        <v>100</v>
      </c>
      <c r="D33" s="24">
        <f t="shared" si="4"/>
        <v>2.2284724124091078</v>
      </c>
      <c r="E33" s="24">
        <f t="shared" si="10"/>
        <v>140.94908041363692</v>
      </c>
      <c r="F33" s="34">
        <f t="shared" si="5"/>
        <v>122.84724124091076</v>
      </c>
      <c r="G33" s="24">
        <f t="shared" si="2"/>
        <v>215.30337833640419</v>
      </c>
      <c r="H33" s="24">
        <f t="shared" si="9"/>
        <v>1.4334448256940331</v>
      </c>
      <c r="I33" s="24">
        <f t="shared" si="3"/>
        <v>0.87157178237982469</v>
      </c>
      <c r="J33" s="24">
        <f t="shared" si="11"/>
        <v>1.000447627639784</v>
      </c>
      <c r="K33" s="24">
        <f t="shared" si="12"/>
        <v>1.0006675189968115</v>
      </c>
      <c r="L33" s="24">
        <f t="shared" si="17"/>
        <v>7.7641541955242419E-4</v>
      </c>
      <c r="M33" s="24">
        <f t="shared" si="7"/>
        <v>4.8229871717737002E-3</v>
      </c>
      <c r="N33" s="24">
        <f t="shared" si="13"/>
        <v>1.0034999293879836</v>
      </c>
      <c r="O33" s="24">
        <f t="shared" si="14"/>
        <v>1.0002434683921575</v>
      </c>
      <c r="P33" s="24">
        <f t="shared" si="15"/>
        <v>0.99979940231226216</v>
      </c>
      <c r="Q33" s="24">
        <f t="shared" si="16"/>
        <v>1.9270163210743986E-3</v>
      </c>
      <c r="R33" s="24">
        <f t="shared" si="8"/>
        <v>1.0888041335107313E-2</v>
      </c>
      <c r="S33" s="24">
        <f t="shared" si="6"/>
        <v>1.2495703725698547E-2</v>
      </c>
    </row>
    <row r="34" spans="1:19" s="25" customFormat="1" ht="15.75">
      <c r="A34" s="24">
        <v>10</v>
      </c>
      <c r="B34" s="24">
        <f t="shared" si="0"/>
        <v>225.70475082458069</v>
      </c>
      <c r="C34" s="24">
        <f t="shared" si="1"/>
        <v>100</v>
      </c>
      <c r="D34" s="24">
        <f t="shared" si="4"/>
        <v>2.2570475082458068</v>
      </c>
      <c r="E34" s="24">
        <f t="shared" si="10"/>
        <v>141.90158360819356</v>
      </c>
      <c r="F34" s="34">
        <f t="shared" si="5"/>
        <v>125.70475082458069</v>
      </c>
      <c r="G34" s="24">
        <f t="shared" si="2"/>
        <v>219.23258761420951</v>
      </c>
      <c r="H34" s="24">
        <f t="shared" si="9"/>
        <v>1.4322512081302738</v>
      </c>
      <c r="I34" s="24">
        <f t="shared" si="3"/>
        <v>0.88585868901693032</v>
      </c>
      <c r="J34" s="24">
        <f t="shared" si="11"/>
        <v>1.0004446121633084</v>
      </c>
      <c r="K34" s="24">
        <f t="shared" si="12"/>
        <v>1.0006619276973627</v>
      </c>
      <c r="L34" s="24">
        <f t="shared" si="17"/>
        <v>7.7107572018664326E-4</v>
      </c>
      <c r="M34" s="24">
        <f t="shared" si="7"/>
        <v>5.5940628919603436E-3</v>
      </c>
      <c r="N34" s="24">
        <f t="shared" si="13"/>
        <v>1.0036077626189548</v>
      </c>
      <c r="O34" s="24">
        <f t="shared" si="14"/>
        <v>1.0002385371261575</v>
      </c>
      <c r="P34" s="24">
        <f t="shared" si="15"/>
        <v>0.99980075321841633</v>
      </c>
      <c r="Q34" s="24">
        <f t="shared" si="16"/>
        <v>2.0143499992510607E-3</v>
      </c>
      <c r="R34" s="24">
        <f t="shared" si="8"/>
        <v>1.2902391334358373E-2</v>
      </c>
      <c r="S34" s="24">
        <f t="shared" si="6"/>
        <v>1.4767078965011822E-2</v>
      </c>
    </row>
    <row r="35" spans="1:19" s="25" customFormat="1" ht="15.75">
      <c r="A35" s="24">
        <v>11</v>
      </c>
      <c r="B35" s="24">
        <f t="shared" si="0"/>
        <v>228.56226040825061</v>
      </c>
      <c r="C35" s="24">
        <f t="shared" si="1"/>
        <v>100</v>
      </c>
      <c r="D35" s="24">
        <f t="shared" si="4"/>
        <v>2.2856226040825063</v>
      </c>
      <c r="E35" s="24">
        <f t="shared" si="10"/>
        <v>142.8540868027502</v>
      </c>
      <c r="F35" s="34">
        <f t="shared" si="5"/>
        <v>128.56226040825061</v>
      </c>
      <c r="G35" s="24">
        <f t="shared" si="2"/>
        <v>223.20148868673562</v>
      </c>
      <c r="H35" s="24">
        <f t="shared" si="9"/>
        <v>1.4310670565849288</v>
      </c>
      <c r="I35" s="24">
        <f t="shared" si="3"/>
        <v>0.89995507503937611</v>
      </c>
      <c r="J35" s="24">
        <f t="shared" si="11"/>
        <v>1.0004416370430782</v>
      </c>
      <c r="K35" s="24">
        <f t="shared" si="12"/>
        <v>1.0006561891270456</v>
      </c>
      <c r="L35" s="24">
        <f t="shared" si="17"/>
        <v>7.6564752236404573E-4</v>
      </c>
      <c r="M35" s="24">
        <f t="shared" si="7"/>
        <v>6.3597104143243892E-3</v>
      </c>
      <c r="N35" s="24">
        <f t="shared" si="13"/>
        <v>1.0037244103594214</v>
      </c>
      <c r="O35" s="24">
        <f t="shared" si="14"/>
        <v>1.0002337596499578</v>
      </c>
      <c r="P35" s="24">
        <f t="shared" si="15"/>
        <v>0.99980208605111709</v>
      </c>
      <c r="Q35" s="24">
        <f t="shared" si="16"/>
        <v>2.1076120900191957E-3</v>
      </c>
      <c r="R35" s="24">
        <f t="shared" si="8"/>
        <v>1.5010003424377569E-2</v>
      </c>
      <c r="S35" s="24">
        <f t="shared" si="6"/>
        <v>1.712990689581903E-2</v>
      </c>
    </row>
    <row r="36" spans="1:19" s="25" customFormat="1" ht="15.75">
      <c r="A36" s="24">
        <v>12</v>
      </c>
      <c r="B36" s="24">
        <f t="shared" si="0"/>
        <v>231.41976999192053</v>
      </c>
      <c r="C36" s="24">
        <f t="shared" si="1"/>
        <v>100</v>
      </c>
      <c r="D36" s="24">
        <f t="shared" si="4"/>
        <v>2.3141976999192053</v>
      </c>
      <c r="E36" s="24">
        <f t="shared" si="10"/>
        <v>143.80658999730684</v>
      </c>
      <c r="F36" s="34">
        <f t="shared" si="5"/>
        <v>131.41976999192053</v>
      </c>
      <c r="G36" s="24">
        <f t="shared" si="2"/>
        <v>227.20929285797209</v>
      </c>
      <c r="H36" s="24">
        <f t="shared" si="9"/>
        <v>1.4298924752135058</v>
      </c>
      <c r="I36" s="24">
        <f t="shared" si="3"/>
        <v>0.91386472618801207</v>
      </c>
      <c r="J36" s="24">
        <f t="shared" si="11"/>
        <v>1.0004387014743417</v>
      </c>
      <c r="K36" s="24">
        <f t="shared" si="12"/>
        <v>1.0006503235890387</v>
      </c>
      <c r="L36" s="24">
        <f t="shared" si="17"/>
        <v>7.601442310480645E-4</v>
      </c>
      <c r="M36" s="24">
        <f t="shared" si="7"/>
        <v>7.1198546453724535E-3</v>
      </c>
      <c r="N36" s="24">
        <f t="shared" si="13"/>
        <v>1.0038509472190436</v>
      </c>
      <c r="O36" s="24">
        <f t="shared" si="14"/>
        <v>1.0002291294299812</v>
      </c>
      <c r="P36" s="24">
        <f t="shared" si="15"/>
        <v>0.99980340117065658</v>
      </c>
      <c r="Q36" s="24">
        <f t="shared" si="16"/>
        <v>2.2075715254442287E-3</v>
      </c>
      <c r="R36" s="24">
        <f t="shared" si="8"/>
        <v>1.7217574949821797E-2</v>
      </c>
      <c r="S36" s="24">
        <f t="shared" si="6"/>
        <v>1.9590859831612614E-2</v>
      </c>
    </row>
    <row r="37" spans="1:19" s="25" customFormat="1" ht="15.75">
      <c r="A37" s="24">
        <v>13</v>
      </c>
      <c r="B37" s="24">
        <f t="shared" si="0"/>
        <v>234.27727957559046</v>
      </c>
      <c r="C37" s="24">
        <f t="shared" si="1"/>
        <v>100</v>
      </c>
      <c r="D37" s="24">
        <f t="shared" si="4"/>
        <v>2.3427727957559044</v>
      </c>
      <c r="E37" s="24">
        <f t="shared" si="10"/>
        <v>144.75909319186349</v>
      </c>
      <c r="F37" s="34">
        <f t="shared" si="5"/>
        <v>134.27727957559046</v>
      </c>
      <c r="G37" s="24">
        <f t="shared" si="2"/>
        <v>231.25523219013388</v>
      </c>
      <c r="H37" s="24">
        <f t="shared" si="9"/>
        <v>1.4287275478796395</v>
      </c>
      <c r="I37" s="24">
        <f t="shared" si="3"/>
        <v>0.92759132856420667</v>
      </c>
      <c r="J37" s="24">
        <f t="shared" si="11"/>
        <v>1.0004358046736028</v>
      </c>
      <c r="K37" s="24">
        <f t="shared" si="12"/>
        <v>1.0006443497135373</v>
      </c>
      <c r="L37" s="24">
        <f t="shared" si="17"/>
        <v>7.5457816092615218E-4</v>
      </c>
      <c r="M37" s="24">
        <f t="shared" si="7"/>
        <v>7.8744328062986049E-3</v>
      </c>
      <c r="N37" s="24">
        <f t="shared" si="13"/>
        <v>1.0039886313569208</v>
      </c>
      <c r="O37" s="24">
        <f t="shared" si="14"/>
        <v>1.0002246402853787</v>
      </c>
      <c r="P37" s="24">
        <f t="shared" si="15"/>
        <v>0.9998046989278131</v>
      </c>
      <c r="Q37" s="24">
        <f t="shared" si="16"/>
        <v>2.3151266714866296E-3</v>
      </c>
      <c r="R37" s="24">
        <f t="shared" si="8"/>
        <v>1.9532701621308428E-2</v>
      </c>
      <c r="S37" s="24">
        <f t="shared" si="6"/>
        <v>2.2157512556741296E-2</v>
      </c>
    </row>
    <row r="38" spans="1:19" s="25" customFormat="1" ht="15.75">
      <c r="A38" s="24">
        <v>14</v>
      </c>
      <c r="B38" s="24">
        <f t="shared" si="0"/>
        <v>237.13478915926038</v>
      </c>
      <c r="C38" s="24">
        <f t="shared" si="1"/>
        <v>100</v>
      </c>
      <c r="D38" s="24">
        <f t="shared" si="4"/>
        <v>2.3713478915926038</v>
      </c>
      <c r="E38" s="24">
        <f t="shared" si="10"/>
        <v>145.71159638642013</v>
      </c>
      <c r="F38" s="34">
        <f t="shared" si="5"/>
        <v>137.13478915926038</v>
      </c>
      <c r="G38" s="24">
        <f t="shared" si="2"/>
        <v>235.33855882518822</v>
      </c>
      <c r="H38" s="24">
        <f t="shared" si="9"/>
        <v>1.4275723398875972</v>
      </c>
      <c r="I38" s="24">
        <f t="shared" si="3"/>
        <v>0.94113847188651711</v>
      </c>
      <c r="J38" s="24">
        <f t="shared" si="11"/>
        <v>1.000432945877924</v>
      </c>
      <c r="K38" s="24">
        <f t="shared" si="12"/>
        <v>1.0006382845808237</v>
      </c>
      <c r="L38" s="24">
        <f t="shared" si="17"/>
        <v>7.4896061509750235E-4</v>
      </c>
      <c r="M38" s="24">
        <f t="shared" si="7"/>
        <v>8.6233934213961073E-3</v>
      </c>
      <c r="N38" s="24">
        <f t="shared" si="13"/>
        <v>1.0041389453733998</v>
      </c>
      <c r="O38" s="24">
        <f t="shared" si="14"/>
        <v>1.000220286364907</v>
      </c>
      <c r="P38" s="24">
        <f t="shared" si="15"/>
        <v>0.99980597966416407</v>
      </c>
      <c r="Q38" s="24">
        <f t="shared" si="16"/>
        <v>2.4313341082242814E-3</v>
      </c>
      <c r="R38" s="24">
        <f t="shared" si="8"/>
        <v>2.1964035729532708E-2</v>
      </c>
      <c r="S38" s="24">
        <f t="shared" si="6"/>
        <v>2.483850020333141E-2</v>
      </c>
    </row>
    <row r="39" spans="1:19" s="25" customFormat="1" ht="15.75">
      <c r="A39" s="24">
        <v>15</v>
      </c>
      <c r="B39" s="24">
        <f t="shared" si="0"/>
        <v>239.9922987429303</v>
      </c>
      <c r="C39" s="24">
        <f t="shared" si="1"/>
        <v>100</v>
      </c>
      <c r="D39" s="24">
        <f t="shared" si="4"/>
        <v>2.3999229874293029</v>
      </c>
      <c r="E39" s="24">
        <f t="shared" si="10"/>
        <v>146.66409958097677</v>
      </c>
      <c r="F39" s="34">
        <f t="shared" si="5"/>
        <v>139.9922987429303</v>
      </c>
      <c r="G39" s="24">
        <f t="shared" si="2"/>
        <v>239.45854433281963</v>
      </c>
      <c r="H39" s="24">
        <f t="shared" si="9"/>
        <v>1.4264268995853653</v>
      </c>
      <c r="I39" s="24">
        <f t="shared" si="3"/>
        <v>0.95450965262045739</v>
      </c>
      <c r="J39" s="24">
        <f t="shared" si="11"/>
        <v>1.0004301243442559</v>
      </c>
      <c r="K39" s="24">
        <f t="shared" si="12"/>
        <v>1.000632143836278</v>
      </c>
      <c r="L39" s="24">
        <f t="shared" si="17"/>
        <v>7.4330195872472984E-4</v>
      </c>
      <c r="M39" s="24">
        <f t="shared" si="7"/>
        <v>9.3666953801208371E-3</v>
      </c>
      <c r="N39" s="24">
        <f t="shared" si="13"/>
        <v>1.0043036486479731</v>
      </c>
      <c r="O39" s="24">
        <f t="shared" si="14"/>
        <v>1.0002160621255887</v>
      </c>
      <c r="P39" s="24">
        <f t="shared" si="15"/>
        <v>0.99980724371238494</v>
      </c>
      <c r="Q39" s="24">
        <f t="shared" si="16"/>
        <v>2.5574454630358438E-3</v>
      </c>
      <c r="R39" s="24">
        <f t="shared" si="8"/>
        <v>2.4521481192568553E-2</v>
      </c>
      <c r="S39" s="24">
        <f t="shared" si="6"/>
        <v>2.7643712985942166E-2</v>
      </c>
    </row>
    <row r="40" spans="1:19" s="25" customFormat="1" ht="15.75">
      <c r="A40" s="24">
        <v>16</v>
      </c>
      <c r="B40" s="24">
        <f t="shared" si="0"/>
        <v>242.84980832660023</v>
      </c>
      <c r="C40" s="24">
        <f t="shared" si="1"/>
        <v>100</v>
      </c>
      <c r="D40" s="24">
        <f t="shared" si="4"/>
        <v>2.4284980832660024</v>
      </c>
      <c r="E40" s="24">
        <f t="shared" si="10"/>
        <v>147.61660277553341</v>
      </c>
      <c r="F40" s="34">
        <f t="shared" si="5"/>
        <v>142.84980832660023</v>
      </c>
      <c r="G40" s="24">
        <f t="shared" si="2"/>
        <v>243.61447908363857</v>
      </c>
      <c r="H40" s="24">
        <f t="shared" si="9"/>
        <v>1.4252912598469871</v>
      </c>
      <c r="I40" s="24">
        <f t="shared" si="3"/>
        <v>0.96770827698709749</v>
      </c>
      <c r="J40" s="24">
        <f t="shared" si="11"/>
        <v>1.0004273393487948</v>
      </c>
      <c r="K40" s="24">
        <f t="shared" si="12"/>
        <v>1.0006259417977068</v>
      </c>
      <c r="L40" s="24">
        <f t="shared" si="17"/>
        <v>7.3761168787662512E-4</v>
      </c>
      <c r="M40" s="24">
        <f t="shared" si="7"/>
        <v>1.0104307067997462E-2</v>
      </c>
      <c r="N40" s="24">
        <f t="shared" si="13"/>
        <v>1.0044848450447219</v>
      </c>
      <c r="O40" s="24">
        <f t="shared" si="14"/>
        <v>1.0002119623129966</v>
      </c>
      <c r="P40" s="24">
        <f t="shared" si="15"/>
        <v>0.9998084913965376</v>
      </c>
      <c r="Q40" s="24">
        <f t="shared" si="16"/>
        <v>2.6949550481002171E-3</v>
      </c>
      <c r="R40" s="24">
        <f t="shared" si="8"/>
        <v>2.721643624066877E-2</v>
      </c>
      <c r="S40" s="24">
        <f t="shared" si="6"/>
        <v>3.0584538596667925E-2</v>
      </c>
    </row>
    <row r="41" spans="1:19" s="25" customFormat="1" ht="15.75">
      <c r="A41" s="24">
        <v>17</v>
      </c>
      <c r="B41" s="24">
        <f t="shared" si="0"/>
        <v>245.70731791027015</v>
      </c>
      <c r="C41" s="24">
        <f t="shared" si="1"/>
        <v>100</v>
      </c>
      <c r="D41" s="24">
        <f t="shared" si="4"/>
        <v>2.4570731791027014</v>
      </c>
      <c r="E41" s="24">
        <f t="shared" ref="E41:E59" si="18">E40+($E$60-$E$29)/31</f>
        <v>148.56910597009005</v>
      </c>
      <c r="F41" s="34">
        <f t="shared" si="5"/>
        <v>145.70731791027015</v>
      </c>
      <c r="G41" s="24">
        <f t="shared" si="2"/>
        <v>247.80567164650088</v>
      </c>
      <c r="H41" s="24">
        <f t="shared" si="9"/>
        <v>1.4241654394423875</v>
      </c>
      <c r="I41" s="24">
        <f t="shared" si="3"/>
        <v>0.98073766385592953</v>
      </c>
      <c r="J41" s="24">
        <f t="shared" si="11"/>
        <v>1.0004245901863622</v>
      </c>
      <c r="K41" s="24">
        <f t="shared" si="12"/>
        <v>1.0006196915553685</v>
      </c>
      <c r="L41" s="24">
        <f t="shared" si="17"/>
        <v>7.3189849378386431E-4</v>
      </c>
      <c r="M41" s="24">
        <f t="shared" si="7"/>
        <v>1.0836205561781326E-2</v>
      </c>
      <c r="N41" s="24">
        <f t="shared" si="13"/>
        <v>1.0046850715215265</v>
      </c>
      <c r="O41" s="24">
        <f t="shared" si="14"/>
        <v>1.000207981943021</v>
      </c>
      <c r="P41" s="24">
        <f t="shared" si="15"/>
        <v>0.99980972303234772</v>
      </c>
      <c r="Q41" s="24">
        <f t="shared" si="16"/>
        <v>2.8456621844988603E-3</v>
      </c>
      <c r="R41" s="24">
        <f t="shared" si="8"/>
        <v>3.0062098425167629E-2</v>
      </c>
      <c r="S41" s="24">
        <f t="shared" si="6"/>
        <v>3.3674166945761405E-2</v>
      </c>
    </row>
    <row r="42" spans="1:19" s="25" customFormat="1" ht="15.75">
      <c r="A42" s="24">
        <v>18</v>
      </c>
      <c r="B42" s="24">
        <f t="shared" si="0"/>
        <v>248.56482749394007</v>
      </c>
      <c r="C42" s="24">
        <f t="shared" si="1"/>
        <v>100</v>
      </c>
      <c r="D42" s="24">
        <f t="shared" si="4"/>
        <v>2.4856482749394009</v>
      </c>
      <c r="E42" s="24">
        <f t="shared" si="18"/>
        <v>149.52160916464669</v>
      </c>
      <c r="F42" s="34">
        <f t="shared" si="5"/>
        <v>148.56482749394007</v>
      </c>
      <c r="G42" s="24">
        <f t="shared" si="2"/>
        <v>252.03144820886283</v>
      </c>
      <c r="H42" s="24">
        <f t="shared" si="9"/>
        <v>1.4230494443024797</v>
      </c>
      <c r="I42" s="24">
        <f t="shared" si="3"/>
        <v>0.99360104752716338</v>
      </c>
      <c r="J42" s="24">
        <f t="shared" si="11"/>
        <v>1.00042187616981</v>
      </c>
      <c r="K42" s="24">
        <f t="shared" si="12"/>
        <v>1.0006134050650866</v>
      </c>
      <c r="L42" s="24">
        <f t="shared" si="17"/>
        <v>7.261703227514002E-4</v>
      </c>
      <c r="M42" s="24">
        <f t="shared" si="7"/>
        <v>1.1562375884532726E-2</v>
      </c>
      <c r="N42" s="24">
        <f t="shared" si="13"/>
        <v>1.0049074155829016</v>
      </c>
      <c r="O42" s="24">
        <f t="shared" si="14"/>
        <v>1.0002041162849897</v>
      </c>
      <c r="P42" s="24">
        <f t="shared" si="15"/>
        <v>0.99981093892747031</v>
      </c>
      <c r="Q42" s="24">
        <f t="shared" si="16"/>
        <v>3.0117537773722549E-3</v>
      </c>
      <c r="R42" s="24">
        <f t="shared" si="8"/>
        <v>3.3073852202539882E-2</v>
      </c>
      <c r="S42" s="24">
        <f t="shared" si="6"/>
        <v>3.6927977497384121E-2</v>
      </c>
    </row>
    <row r="43" spans="1:19" s="25" customFormat="1" ht="15.75">
      <c r="A43" s="24">
        <v>19</v>
      </c>
      <c r="B43" s="24">
        <f t="shared" si="0"/>
        <v>251.42233707761</v>
      </c>
      <c r="C43" s="24">
        <f t="shared" si="1"/>
        <v>100</v>
      </c>
      <c r="D43" s="24">
        <f t="shared" si="4"/>
        <v>2.5142233707760999</v>
      </c>
      <c r="E43" s="24">
        <f t="shared" si="18"/>
        <v>150.47411235920333</v>
      </c>
      <c r="F43" s="34">
        <f t="shared" si="5"/>
        <v>151.42233707761</v>
      </c>
      <c r="G43" s="24">
        <f t="shared" si="2"/>
        <v>256.29115201915118</v>
      </c>
      <c r="H43" s="24">
        <f t="shared" si="9"/>
        <v>1.4219432686869116</v>
      </c>
      <c r="I43" s="24">
        <f t="shared" si="3"/>
        <v>1.0063015804083504</v>
      </c>
      <c r="J43" s="24">
        <f t="shared" si="11"/>
        <v>1.0004191966294478</v>
      </c>
      <c r="K43" s="24">
        <f t="shared" si="12"/>
        <v>1.000607093234839</v>
      </c>
      <c r="L43" s="24">
        <f t="shared" si="17"/>
        <v>7.2043443195770175E-4</v>
      </c>
      <c r="M43" s="24">
        <f t="shared" si="7"/>
        <v>1.2282810316490428E-2</v>
      </c>
      <c r="N43" s="24">
        <f t="shared" si="13"/>
        <v>1.0051556731616538</v>
      </c>
      <c r="O43" s="24">
        <f t="shared" si="14"/>
        <v>1.0002003608460295</v>
      </c>
      <c r="P43" s="24">
        <f t="shared" si="15"/>
        <v>0.99981213938174696</v>
      </c>
      <c r="Q43" s="24">
        <f t="shared" si="16"/>
        <v>3.1959152557499656E-3</v>
      </c>
      <c r="R43" s="24">
        <f t="shared" si="8"/>
        <v>3.6269767458289845E-2</v>
      </c>
      <c r="S43" s="24">
        <f t="shared" si="6"/>
        <v>4.0364037563786655E-2</v>
      </c>
    </row>
    <row r="44" spans="1:19" s="25" customFormat="1" ht="15.75">
      <c r="A44" s="24">
        <v>20</v>
      </c>
      <c r="B44" s="24">
        <f t="shared" si="0"/>
        <v>254.27984666127992</v>
      </c>
      <c r="C44" s="24">
        <f t="shared" si="1"/>
        <v>100</v>
      </c>
      <c r="D44" s="24">
        <f t="shared" si="4"/>
        <v>2.5427984666127994</v>
      </c>
      <c r="E44" s="24">
        <f t="shared" si="18"/>
        <v>151.42661555375997</v>
      </c>
      <c r="F44" s="34">
        <f t="shared" si="5"/>
        <v>154.27984666127992</v>
      </c>
      <c r="G44" s="24">
        <f t="shared" si="2"/>
        <v>260.58414285017909</v>
      </c>
      <c r="H44" s="24">
        <f t="shared" si="9"/>
        <v>1.4208468962613805</v>
      </c>
      <c r="I44" s="24">
        <f t="shared" si="3"/>
        <v>1.0188423355899874</v>
      </c>
      <c r="J44" s="24">
        <f t="shared" si="11"/>
        <v>1.0004165509124927</v>
      </c>
      <c r="K44" s="24">
        <f t="shared" si="12"/>
        <v>1.0006007660052043</v>
      </c>
      <c r="L44" s="24">
        <f t="shared" si="17"/>
        <v>7.1469744137829983E-4</v>
      </c>
      <c r="M44" s="24">
        <f t="shared" si="7"/>
        <v>1.2997507757868728E-2</v>
      </c>
      <c r="N44" s="24">
        <f t="shared" si="13"/>
        <v>1.0054345641579621</v>
      </c>
      <c r="O44" s="24">
        <f t="shared" si="14"/>
        <v>1.0001967113565597</v>
      </c>
      <c r="P44" s="24">
        <f t="shared" si="15"/>
        <v>0.99981332468745121</v>
      </c>
      <c r="Q44" s="24">
        <f t="shared" si="16"/>
        <v>3.4014819336251022E-3</v>
      </c>
      <c r="R44" s="24">
        <f t="shared" si="8"/>
        <v>3.9671249391914951E-2</v>
      </c>
      <c r="S44" s="24">
        <f t="shared" si="6"/>
        <v>4.4003751977871194E-2</v>
      </c>
    </row>
    <row r="45" spans="1:19" s="25" customFormat="1" ht="15.75">
      <c r="A45" s="24">
        <v>21</v>
      </c>
      <c r="B45" s="24">
        <f t="shared" si="0"/>
        <v>257.13735624494984</v>
      </c>
      <c r="C45" s="24">
        <f t="shared" si="1"/>
        <v>100</v>
      </c>
      <c r="D45" s="24">
        <f t="shared" si="4"/>
        <v>2.5713735624494984</v>
      </c>
      <c r="E45" s="24">
        <f t="shared" si="18"/>
        <v>152.37911874831661</v>
      </c>
      <c r="F45" s="34">
        <f t="shared" si="5"/>
        <v>157.13735624494984</v>
      </c>
      <c r="G45" s="24">
        <f t="shared" si="2"/>
        <v>264.90979648268643</v>
      </c>
      <c r="H45" s="24">
        <f t="shared" si="9"/>
        <v>1.4197603010910187</v>
      </c>
      <c r="I45" s="24">
        <f t="shared" si="3"/>
        <v>1.0312263093245235</v>
      </c>
      <c r="J45" s="24">
        <f t="shared" si="11"/>
        <v>1.0004139383825379</v>
      </c>
      <c r="K45" s="24">
        <f t="shared" si="12"/>
        <v>1.0005944324240392</v>
      </c>
      <c r="L45" s="24">
        <f t="shared" si="17"/>
        <v>7.0896538205785355E-4</v>
      </c>
      <c r="M45" s="24">
        <f t="shared" si="7"/>
        <v>1.3706473139926581E-2</v>
      </c>
      <c r="N45" s="24">
        <f t="shared" si="13"/>
        <v>1.0057500318022117</v>
      </c>
      <c r="O45" s="24">
        <f t="shared" si="14"/>
        <v>1.0001931637568273</v>
      </c>
      <c r="P45" s="24">
        <f t="shared" si="15"/>
        <v>0.99981449512952669</v>
      </c>
      <c r="Q45" s="24">
        <f t="shared" si="16"/>
        <v>3.6326490875376958E-3</v>
      </c>
      <c r="R45" s="24">
        <f t="shared" si="8"/>
        <v>4.3303898479452645E-2</v>
      </c>
      <c r="S45" s="24">
        <f t="shared" si="6"/>
        <v>4.7872722859428174E-2</v>
      </c>
    </row>
    <row r="46" spans="1:19" s="25" customFormat="1" ht="15.75">
      <c r="A46" s="24">
        <v>22</v>
      </c>
      <c r="B46" s="24">
        <f t="shared" si="0"/>
        <v>259.99486582861977</v>
      </c>
      <c r="C46" s="24">
        <f t="shared" si="1"/>
        <v>100</v>
      </c>
      <c r="D46" s="24">
        <f t="shared" si="4"/>
        <v>2.5999486582861975</v>
      </c>
      <c r="E46" s="24">
        <f t="shared" si="18"/>
        <v>153.33162194287326</v>
      </c>
      <c r="F46" s="34">
        <f t="shared" si="5"/>
        <v>159.99486582861977</v>
      </c>
      <c r="G46" s="24">
        <f t="shared" si="2"/>
        <v>269.26750420812959</v>
      </c>
      <c r="H46" s="24">
        <f t="shared" si="9"/>
        <v>1.4186834485559447</v>
      </c>
      <c r="I46" s="24">
        <f t="shared" si="3"/>
        <v>1.0434564234129673</v>
      </c>
      <c r="J46" s="24">
        <f t="shared" si="11"/>
        <v>1.0004113584190431</v>
      </c>
      <c r="K46" s="24">
        <f t="shared" si="12"/>
        <v>1.0005881007157489</v>
      </c>
      <c r="L46" s="24">
        <f t="shared" si="17"/>
        <v>7.0324374095984056E-4</v>
      </c>
      <c r="M46" s="24">
        <f t="shared" si="7"/>
        <v>1.4409716880886422E-2</v>
      </c>
      <c r="N46" s="24">
        <f t="shared" si="13"/>
        <v>1.0061096665256821</v>
      </c>
      <c r="O46" s="24">
        <f t="shared" si="14"/>
        <v>1.0001897141843958</v>
      </c>
      <c r="P46" s="24">
        <f t="shared" si="15"/>
        <v>0.99981565098581526</v>
      </c>
      <c r="Q46" s="24">
        <f t="shared" si="16"/>
        <v>3.8947691688190071E-3</v>
      </c>
      <c r="R46" s="24">
        <f t="shared" si="8"/>
        <v>4.7198667648271651E-2</v>
      </c>
      <c r="S46" s="24">
        <f t="shared" si="6"/>
        <v>5.2001906608567128E-2</v>
      </c>
    </row>
    <row r="47" spans="1:19" s="25" customFormat="1" ht="15.75">
      <c r="A47" s="24">
        <v>23</v>
      </c>
      <c r="B47" s="24">
        <f t="shared" si="0"/>
        <v>262.85237541228969</v>
      </c>
      <c r="C47" s="24">
        <f t="shared" si="1"/>
        <v>100</v>
      </c>
      <c r="D47" s="24">
        <f t="shared" si="4"/>
        <v>2.628523754122897</v>
      </c>
      <c r="E47" s="24">
        <f t="shared" si="18"/>
        <v>154.2841251374299</v>
      </c>
      <c r="F47" s="34">
        <f t="shared" si="5"/>
        <v>162.85237541228969</v>
      </c>
      <c r="G47" s="24">
        <f t="shared" si="2"/>
        <v>273.65667234988985</v>
      </c>
      <c r="H47" s="24">
        <f t="shared" si="9"/>
        <v>1.4176162961946868</v>
      </c>
      <c r="I47" s="24">
        <f t="shared" si="3"/>
        <v>1.0555355275030891</v>
      </c>
      <c r="J47" s="24">
        <f t="shared" si="11"/>
        <v>1.0004088104168429</v>
      </c>
      <c r="K47" s="24">
        <f t="shared" si="12"/>
        <v>1.0005817783454993</v>
      </c>
      <c r="L47" s="24">
        <f t="shared" si="17"/>
        <v>6.9753750260315281E-4</v>
      </c>
      <c r="M47" s="24">
        <f t="shared" si="7"/>
        <v>1.5107254383489576E-2</v>
      </c>
      <c r="N47" s="24">
        <f t="shared" si="13"/>
        <v>1.0065233192823051</v>
      </c>
      <c r="O47" s="24">
        <f t="shared" si="14"/>
        <v>1.0001863589625115</v>
      </c>
      <c r="P47" s="24">
        <f t="shared" si="15"/>
        <v>0.99981679252727651</v>
      </c>
      <c r="Q47" s="24">
        <f t="shared" si="16"/>
        <v>4.1947814638423914E-3</v>
      </c>
      <c r="R47" s="24">
        <f t="shared" si="8"/>
        <v>5.1393449112114041E-2</v>
      </c>
      <c r="S47" s="24">
        <f t="shared" si="6"/>
        <v>5.642920057327723E-2</v>
      </c>
    </row>
    <row r="48" spans="1:19" s="25" customFormat="1" ht="15.75">
      <c r="A48" s="24">
        <v>24</v>
      </c>
      <c r="B48" s="24">
        <f t="shared" si="0"/>
        <v>265.70988499595961</v>
      </c>
      <c r="C48" s="24">
        <f t="shared" si="1"/>
        <v>100</v>
      </c>
      <c r="D48" s="24">
        <f t="shared" si="4"/>
        <v>2.657098849959596</v>
      </c>
      <c r="E48" s="24">
        <f t="shared" si="18"/>
        <v>155.23662833198654</v>
      </c>
      <c r="F48" s="34">
        <f t="shared" si="5"/>
        <v>165.70988499595961</v>
      </c>
      <c r="G48" s="24">
        <f t="shared" si="2"/>
        <v>278.07672180210722</v>
      </c>
      <c r="H48" s="24">
        <f t="shared" si="9"/>
        <v>1.4165587944807996</v>
      </c>
      <c r="I48" s="24">
        <f t="shared" si="3"/>
        <v>1.0674664013030168</v>
      </c>
      <c r="J48" s="24">
        <f t="shared" si="11"/>
        <v>1.0004062937856739</v>
      </c>
      <c r="K48" s="24">
        <f t="shared" si="12"/>
        <v>1.0005754720787039</v>
      </c>
      <c r="L48" s="24">
        <f t="shared" si="17"/>
        <v>6.9185118769670123E-4</v>
      </c>
      <c r="M48" s="24">
        <f t="shared" si="7"/>
        <v>1.5799105571186276E-2</v>
      </c>
      <c r="N48" s="24">
        <f t="shared" si="13"/>
        <v>1.0070040111168626</v>
      </c>
      <c r="O48" s="24">
        <f t="shared" si="14"/>
        <v>1.0001830945892758</v>
      </c>
      <c r="P48" s="24">
        <f t="shared" si="15"/>
        <v>0.99981792001820025</v>
      </c>
      <c r="Q48" s="24">
        <f t="shared" si="16"/>
        <v>4.5418486243726641E-3</v>
      </c>
      <c r="R48" s="24">
        <f t="shared" si="8"/>
        <v>5.5935297736486707E-2</v>
      </c>
      <c r="S48" s="24">
        <f t="shared" si="6"/>
        <v>6.1201666260215462E-2</v>
      </c>
    </row>
    <row r="49" spans="1:19" s="25" customFormat="1" ht="15.75">
      <c r="A49" s="24">
        <v>25</v>
      </c>
      <c r="B49" s="24">
        <f t="shared" si="0"/>
        <v>268.56739457962954</v>
      </c>
      <c r="C49" s="24">
        <f t="shared" si="1"/>
        <v>100</v>
      </c>
      <c r="D49" s="24">
        <f t="shared" si="4"/>
        <v>2.6856739457962955</v>
      </c>
      <c r="E49" s="24">
        <f t="shared" si="18"/>
        <v>156.18913152654318</v>
      </c>
      <c r="F49" s="34">
        <f t="shared" si="5"/>
        <v>168.56739457962954</v>
      </c>
      <c r="G49" s="24">
        <f t="shared" si="2"/>
        <v>282.52708758538967</v>
      </c>
      <c r="H49" s="24">
        <f t="shared" si="9"/>
        <v>1.4155108875376443</v>
      </c>
      <c r="I49" s="24">
        <f t="shared" si="3"/>
        <v>1.0792517567138322</v>
      </c>
      <c r="J49" s="24">
        <f t="shared" si="11"/>
        <v>1.0004038079497182</v>
      </c>
      <c r="K49" s="24">
        <f t="shared" si="12"/>
        <v>1.0005691880361032</v>
      </c>
      <c r="L49" s="24">
        <f t="shared" si="17"/>
        <v>6.8618888896467586E-4</v>
      </c>
      <c r="M49" s="24">
        <f t="shared" si="7"/>
        <v>1.6485294460150953E-2</v>
      </c>
      <c r="N49" s="24">
        <f t="shared" si="13"/>
        <v>1.0075693206483609</v>
      </c>
      <c r="O49" s="24">
        <f t="shared" si="14"/>
        <v>1.0001799177275592</v>
      </c>
      <c r="P49" s="24">
        <f t="shared" si="15"/>
        <v>0.99981903371640957</v>
      </c>
      <c r="Q49" s="24">
        <f t="shared" si="16"/>
        <v>4.9483264861141666E-3</v>
      </c>
      <c r="R49" s="24">
        <f t="shared" si="8"/>
        <v>6.0883624222600873E-2</v>
      </c>
      <c r="S49" s="24">
        <f t="shared" si="6"/>
        <v>6.6378722375984522E-2</v>
      </c>
    </row>
    <row r="50" spans="1:19" s="25" customFormat="1" ht="15.75">
      <c r="A50" s="24">
        <v>26</v>
      </c>
      <c r="B50" s="24">
        <f t="shared" si="0"/>
        <v>271.42490416329946</v>
      </c>
      <c r="C50" s="24">
        <f t="shared" si="1"/>
        <v>100</v>
      </c>
      <c r="D50" s="24">
        <f t="shared" si="4"/>
        <v>2.7142490416329945</v>
      </c>
      <c r="E50" s="24">
        <f t="shared" si="18"/>
        <v>157.14163472109982</v>
      </c>
      <c r="F50" s="34">
        <f t="shared" si="5"/>
        <v>171.42490416329946</v>
      </c>
      <c r="G50" s="24">
        <f t="shared" si="2"/>
        <v>287.00721841867966</v>
      </c>
      <c r="H50" s="24">
        <f t="shared" si="9"/>
        <v>1.4144725137959566</v>
      </c>
      <c r="I50" s="24">
        <f t="shared" si="3"/>
        <v>1.0908942398846115</v>
      </c>
      <c r="J50" s="24">
        <f t="shared" si="11"/>
        <v>1.0004013523471649</v>
      </c>
      <c r="K50" s="24">
        <f t="shared" si="12"/>
        <v>1.0005629317447386</v>
      </c>
      <c r="L50" s="24">
        <f t="shared" si="17"/>
        <v>6.80554304356104E-4</v>
      </c>
      <c r="M50" s="24">
        <f t="shared" si="7"/>
        <v>1.7165848764507056E-2</v>
      </c>
      <c r="N50" s="24">
        <f t="shared" si="13"/>
        <v>1.0082435707850035</v>
      </c>
      <c r="O50" s="24">
        <f t="shared" si="14"/>
        <v>1.0001768251955994</v>
      </c>
      <c r="P50" s="24">
        <f t="shared" si="15"/>
        <v>0.99982013387345836</v>
      </c>
      <c r="Q50" s="24">
        <f t="shared" si="16"/>
        <v>5.4312904022555614E-3</v>
      </c>
      <c r="R50" s="24">
        <f t="shared" si="8"/>
        <v>6.6314914624856433E-2</v>
      </c>
      <c r="S50" s="24">
        <f t="shared" si="6"/>
        <v>7.2036864213025451E-2</v>
      </c>
    </row>
    <row r="51" spans="1:19" s="25" customFormat="1" ht="15.75">
      <c r="A51" s="24">
        <v>27</v>
      </c>
      <c r="B51" s="24">
        <f t="shared" si="0"/>
        <v>274.28241374696938</v>
      </c>
      <c r="C51" s="24">
        <f t="shared" si="1"/>
        <v>100</v>
      </c>
      <c r="D51" s="24">
        <f t="shared" si="4"/>
        <v>2.742824137469694</v>
      </c>
      <c r="E51" s="24">
        <f t="shared" si="18"/>
        <v>158.09413791565646</v>
      </c>
      <c r="F51" s="34">
        <f t="shared" si="5"/>
        <v>174.28241374696938</v>
      </c>
      <c r="G51" s="24">
        <f t="shared" si="2"/>
        <v>291.51657630659815</v>
      </c>
      <c r="H51" s="24">
        <f t="shared" si="9"/>
        <v>1.4134436065985094</v>
      </c>
      <c r="I51" s="24">
        <f t="shared" si="3"/>
        <v>1.1023964331931737</v>
      </c>
      <c r="J51" s="24">
        <f t="shared" si="11"/>
        <v>1.0003989264297857</v>
      </c>
      <c r="K51" s="24">
        <f t="shared" si="12"/>
        <v>1.0005567081851077</v>
      </c>
      <c r="L51" s="24">
        <f t="shared" si="17"/>
        <v>6.7495076781049098E-4</v>
      </c>
      <c r="M51" s="24">
        <f t="shared" si="7"/>
        <v>1.7840799532317545E-2</v>
      </c>
      <c r="N51" s="24">
        <f t="shared" si="13"/>
        <v>1.0090614093553005</v>
      </c>
      <c r="O51" s="24">
        <f t="shared" si="14"/>
        <v>1.0001738139582308</v>
      </c>
      <c r="P51" s="24">
        <f t="shared" si="15"/>
        <v>0.99982122073482005</v>
      </c>
      <c r="Q51" s="24">
        <f t="shared" si="16"/>
        <v>6.0150304409565016E-3</v>
      </c>
      <c r="R51" s="24">
        <f t="shared" si="8"/>
        <v>7.2329945065812931E-2</v>
      </c>
      <c r="S51" s="24">
        <f t="shared" si="6"/>
        <v>7.8276878243252107E-2</v>
      </c>
    </row>
    <row r="52" spans="1:19" s="25" customFormat="1" ht="15.75">
      <c r="A52" s="24">
        <v>28</v>
      </c>
      <c r="B52" s="24">
        <f t="shared" si="0"/>
        <v>277.13992333063931</v>
      </c>
      <c r="C52" s="24">
        <f t="shared" si="1"/>
        <v>100</v>
      </c>
      <c r="D52" s="24">
        <f t="shared" si="4"/>
        <v>2.771399233306393</v>
      </c>
      <c r="E52" s="24">
        <f t="shared" si="18"/>
        <v>159.0466411102131</v>
      </c>
      <c r="F52" s="34">
        <f t="shared" si="5"/>
        <v>177.13992333063931</v>
      </c>
      <c r="G52" s="24">
        <f t="shared" si="2"/>
        <v>296.05463614161624</v>
      </c>
      <c r="H52" s="24">
        <f t="shared" si="9"/>
        <v>1.4124240947558673</v>
      </c>
      <c r="I52" s="24">
        <f t="shared" si="3"/>
        <v>1.1137608571556583</v>
      </c>
      <c r="J52" s="24">
        <f t="shared" si="11"/>
        <v>1.0003965296625279</v>
      </c>
      <c r="K52" s="24">
        <f t="shared" si="12"/>
        <v>1.0005505218347666</v>
      </c>
      <c r="L52" s="24">
        <f t="shared" si="17"/>
        <v>6.6938127775392894E-4</v>
      </c>
      <c r="M52" s="24">
        <f t="shared" si="7"/>
        <v>1.8510180810071473E-2</v>
      </c>
      <c r="N52" s="24">
        <f t="shared" si="13"/>
        <v>1.0100739448145799</v>
      </c>
      <c r="O52" s="24">
        <f t="shared" si="14"/>
        <v>1.0001708811186933</v>
      </c>
      <c r="P52" s="24">
        <f t="shared" si="15"/>
        <v>0.99982229454007054</v>
      </c>
      <c r="Q52" s="24">
        <f t="shared" si="16"/>
        <v>6.7353187541284842E-3</v>
      </c>
      <c r="R52" s="24">
        <f t="shared" si="8"/>
        <v>7.9065263819941417E-2</v>
      </c>
      <c r="S52" s="24">
        <f t="shared" si="6"/>
        <v>8.5235324089965245E-2</v>
      </c>
    </row>
    <row r="53" spans="1:19" s="25" customFormat="1" ht="15.75">
      <c r="A53" s="24">
        <v>29</v>
      </c>
      <c r="B53" s="24">
        <f t="shared" si="0"/>
        <v>279.99743291430923</v>
      </c>
      <c r="C53" s="24">
        <f t="shared" si="1"/>
        <v>100</v>
      </c>
      <c r="D53" s="24">
        <f t="shared" si="4"/>
        <v>2.7999743291430921</v>
      </c>
      <c r="E53" s="24">
        <f t="shared" si="18"/>
        <v>159.99914430476974</v>
      </c>
      <c r="F53" s="34">
        <f t="shared" si="5"/>
        <v>179.99743291430923</v>
      </c>
      <c r="G53" s="24">
        <f t="shared" si="2"/>
        <v>300.62088532043663</v>
      </c>
      <c r="H53" s="24">
        <f t="shared" si="9"/>
        <v>1.4114139030569504</v>
      </c>
      <c r="I53" s="24">
        <f t="shared" si="3"/>
        <v>1.1249899722678911</v>
      </c>
      <c r="J53" s="24">
        <f t="shared" si="11"/>
        <v>1.0003941615231209</v>
      </c>
      <c r="K53" s="24">
        <f t="shared" si="12"/>
        <v>1.0005443767086353</v>
      </c>
      <c r="L53" s="24">
        <f t="shared" si="17"/>
        <v>6.6384852347943306E-4</v>
      </c>
      <c r="M53" s="24">
        <f t="shared" si="7"/>
        <v>1.9174029333550904E-2</v>
      </c>
      <c r="N53" s="24">
        <f t="shared" si="13"/>
        <v>1.0113598547394953</v>
      </c>
      <c r="O53" s="24">
        <f t="shared" si="14"/>
        <v>1.0001680239109823</v>
      </c>
      <c r="P53" s="24">
        <f t="shared" si="15"/>
        <v>0.99982335552306412</v>
      </c>
      <c r="Q53" s="24">
        <f t="shared" si="16"/>
        <v>7.6471171517230414E-3</v>
      </c>
      <c r="R53" s="24">
        <f t="shared" si="8"/>
        <v>8.6712380971664463E-2</v>
      </c>
      <c r="S53" s="24">
        <f t="shared" si="6"/>
        <v>9.3103724082848102E-2</v>
      </c>
    </row>
    <row r="54" spans="1:19" s="25" customFormat="1" ht="15.75">
      <c r="A54" s="24">
        <v>30</v>
      </c>
      <c r="B54" s="24">
        <f t="shared" si="0"/>
        <v>282.85494249797915</v>
      </c>
      <c r="C54" s="24">
        <f t="shared" si="1"/>
        <v>100</v>
      </c>
      <c r="D54" s="24">
        <f t="shared" si="4"/>
        <v>2.8285494249797916</v>
      </c>
      <c r="E54" s="24">
        <f t="shared" si="18"/>
        <v>160.95164749932638</v>
      </c>
      <c r="F54" s="34">
        <f t="shared" si="5"/>
        <v>182.85494249797915</v>
      </c>
      <c r="G54" s="24">
        <f t="shared" si="2"/>
        <v>305.21482337399738</v>
      </c>
      <c r="H54" s="24">
        <f t="shared" si="9"/>
        <v>1.4104129527378524</v>
      </c>
      <c r="I54" s="24">
        <f t="shared" si="3"/>
        <v>1.1360861807813707</v>
      </c>
      <c r="J54" s="24">
        <f t="shared" si="11"/>
        <v>1.000391821501696</v>
      </c>
      <c r="K54" s="24">
        <f t="shared" si="12"/>
        <v>1.0005382763962443</v>
      </c>
      <c r="L54" s="24">
        <f t="shared" si="17"/>
        <v>6.5835490956318301E-4</v>
      </c>
      <c r="M54" s="24">
        <f t="shared" si="7"/>
        <v>1.9832384243114086E-2</v>
      </c>
      <c r="N54" s="24">
        <f t="shared" si="13"/>
        <v>1.0130469137443738</v>
      </c>
      <c r="O54" s="24">
        <f t="shared" si="14"/>
        <v>1.000165239692693</v>
      </c>
      <c r="P54" s="24">
        <f t="shared" si="15"/>
        <v>0.99982440391210325</v>
      </c>
      <c r="Q54" s="24">
        <f t="shared" si="16"/>
        <v>8.839469997614112E-3</v>
      </c>
      <c r="R54" s="24">
        <f t="shared" si="8"/>
        <v>9.5551850969278568E-2</v>
      </c>
      <c r="S54" s="24">
        <f t="shared" si="6"/>
        <v>0.10216264571698326</v>
      </c>
    </row>
    <row r="55" spans="1:19" s="25" customFormat="1" ht="15.75">
      <c r="A55" s="24">
        <v>31</v>
      </c>
      <c r="B55" s="24">
        <f t="shared" si="0"/>
        <v>285.71245208164908</v>
      </c>
      <c r="C55" s="24">
        <f t="shared" si="1"/>
        <v>100</v>
      </c>
      <c r="D55" s="24">
        <f t="shared" si="4"/>
        <v>2.8571245208164906</v>
      </c>
      <c r="E55" s="24">
        <f t="shared" si="18"/>
        <v>161.90415069388303</v>
      </c>
      <c r="F55" s="34">
        <f t="shared" si="5"/>
        <v>185.71245208164908</v>
      </c>
      <c r="G55" s="24">
        <f t="shared" si="2"/>
        <v>309.83596161053492</v>
      </c>
      <c r="H55" s="24">
        <f t="shared" si="9"/>
        <v>1.4094211619121113</v>
      </c>
      <c r="I55" s="24">
        <f t="shared" si="3"/>
        <v>1.1470518284165618</v>
      </c>
      <c r="J55" s="24">
        <f t="shared" si="11"/>
        <v>1.0003895091004213</v>
      </c>
      <c r="K55" s="24">
        <f t="shared" si="12"/>
        <v>1.0005322240961403</v>
      </c>
      <c r="L55" s="24">
        <f t="shared" si="17"/>
        <v>6.5290257845520606E-4</v>
      </c>
      <c r="M55" s="24">
        <f t="shared" si="7"/>
        <v>2.0485286821569294E-2</v>
      </c>
      <c r="N55" s="24">
        <f t="shared" si="13"/>
        <v>1.0153574911682528</v>
      </c>
      <c r="O55" s="24">
        <f t="shared" si="14"/>
        <v>1.0001625259383262</v>
      </c>
      <c r="P55" s="24">
        <f t="shared" si="15"/>
        <v>0.99982543993010253</v>
      </c>
      <c r="Q55" s="24">
        <f t="shared" si="16"/>
        <v>1.0466860058839008E-2</v>
      </c>
      <c r="R55" s="24">
        <f t="shared" si="8"/>
        <v>0.10601871102811758</v>
      </c>
      <c r="S55" s="24">
        <f t="shared" si="6"/>
        <v>0.11284713996864068</v>
      </c>
    </row>
    <row r="56" spans="1:19" s="25" customFormat="1" ht="15.75">
      <c r="A56" s="24">
        <v>32</v>
      </c>
      <c r="B56" s="24">
        <f t="shared" si="0"/>
        <v>288.569961665319</v>
      </c>
      <c r="C56" s="24">
        <f t="shared" si="1"/>
        <v>100</v>
      </c>
      <c r="D56" s="24">
        <f t="shared" si="4"/>
        <v>2.8856996166531901</v>
      </c>
      <c r="E56" s="24">
        <f t="shared" si="18"/>
        <v>162.85665388843967</v>
      </c>
      <c r="F56" s="34">
        <f t="shared" si="5"/>
        <v>188.569961665319</v>
      </c>
      <c r="G56" s="24">
        <f t="shared" si="2"/>
        <v>314.48382277117344</v>
      </c>
      <c r="H56" s="24">
        <f t="shared" si="9"/>
        <v>1.4084384459653905</v>
      </c>
      <c r="I56" s="24">
        <f t="shared" si="3"/>
        <v>1.1578892060160679</v>
      </c>
      <c r="J56" s="24">
        <f t="shared" si="11"/>
        <v>1.0003872238331477</v>
      </c>
      <c r="K56" s="24">
        <f t="shared" si="12"/>
        <v>1.0005262226476643</v>
      </c>
      <c r="L56" s="24">
        <f t="shared" si="17"/>
        <v>6.4749343137734288E-4</v>
      </c>
      <c r="M56" s="24">
        <f t="shared" si="7"/>
        <v>2.1132780252946636E-2</v>
      </c>
      <c r="N56" s="24">
        <f t="shared" si="13"/>
        <v>1.0187164001146594</v>
      </c>
      <c r="O56" s="24">
        <f t="shared" si="14"/>
        <v>1.0001598802330194</v>
      </c>
      <c r="P56" s="24">
        <f t="shared" si="15"/>
        <v>0.99982646379474649</v>
      </c>
      <c r="Q56" s="24">
        <f t="shared" si="16"/>
        <v>1.2823159671468303E-2</v>
      </c>
      <c r="R56" s="24">
        <f t="shared" si="8"/>
        <v>0.11884187069958588</v>
      </c>
      <c r="S56" s="24">
        <f t="shared" si="6"/>
        <v>0.12588613078390143</v>
      </c>
    </row>
    <row r="57" spans="1:19" s="25" customFormat="1" ht="15.75">
      <c r="A57" s="24">
        <v>33</v>
      </c>
      <c r="B57" s="24">
        <f t="shared" si="0"/>
        <v>291.42747124898892</v>
      </c>
      <c r="C57" s="24">
        <f t="shared" si="1"/>
        <v>100</v>
      </c>
      <c r="D57" s="24">
        <f t="shared" si="4"/>
        <v>2.9142747124898891</v>
      </c>
      <c r="E57" s="24">
        <f t="shared" si="18"/>
        <v>163.80915708299631</v>
      </c>
      <c r="F57" s="34">
        <f t="shared" si="5"/>
        <v>191.42747124898892</v>
      </c>
      <c r="G57" s="24">
        <f t="shared" si="2"/>
        <v>319.15794069753031</v>
      </c>
      <c r="H57" s="24">
        <f t="shared" si="9"/>
        <v>1.4074647179173165</v>
      </c>
      <c r="I57" s="24">
        <f t="shared" si="3"/>
        <v>1.1686005511401258</v>
      </c>
      <c r="J57" s="24">
        <f t="shared" si="11"/>
        <v>1.0003849652250694</v>
      </c>
      <c r="K57" s="24">
        <f t="shared" si="12"/>
        <v>1.0005202745602935</v>
      </c>
      <c r="L57" s="24">
        <f t="shared" si="17"/>
        <v>6.4212914764990355E-4</v>
      </c>
      <c r="M57" s="24">
        <f t="shared" si="7"/>
        <v>2.1774909400596541E-2</v>
      </c>
      <c r="N57" s="24">
        <f t="shared" si="13"/>
        <v>1.0240511342011496</v>
      </c>
      <c r="O57" s="24">
        <f t="shared" si="14"/>
        <v>1.0001573002666733</v>
      </c>
      <c r="P57" s="24">
        <f t="shared" si="15"/>
        <v>0.99982747571864228</v>
      </c>
      <c r="Q57" s="24">
        <f t="shared" si="16"/>
        <v>1.6546027791153856E-2</v>
      </c>
      <c r="R57" s="24">
        <f t="shared" si="8"/>
        <v>0.13538789849073973</v>
      </c>
      <c r="S57" s="24">
        <f t="shared" si="6"/>
        <v>0.14264620162427191</v>
      </c>
    </row>
    <row r="58" spans="1:19" s="25" customFormat="1" ht="15.75">
      <c r="A58" s="24">
        <v>34</v>
      </c>
      <c r="B58" s="24">
        <f t="shared" si="0"/>
        <v>294.28498083265885</v>
      </c>
      <c r="C58" s="24">
        <f t="shared" si="1"/>
        <v>100</v>
      </c>
      <c r="D58" s="24">
        <f t="shared" si="4"/>
        <v>2.9428498083265886</v>
      </c>
      <c r="E58" s="24">
        <f t="shared" si="18"/>
        <v>164.76166027755295</v>
      </c>
      <c r="F58" s="34">
        <f t="shared" si="5"/>
        <v>194.28498083265885</v>
      </c>
      <c r="G58" s="24">
        <f t="shared" si="2"/>
        <v>323.85786001085108</v>
      </c>
      <c r="H58" s="24">
        <f t="shared" si="9"/>
        <v>1.4064998887530085</v>
      </c>
      <c r="I58" s="24">
        <f t="shared" si="3"/>
        <v>1.1791880496067575</v>
      </c>
      <c r="J58" s="24">
        <f t="shared" si="11"/>
        <v>1.0003827328123935</v>
      </c>
      <c r="K58" s="24">
        <f t="shared" si="12"/>
        <v>1.0005143820407265</v>
      </c>
      <c r="L58" s="24">
        <f t="shared" si="17"/>
        <v>6.3681120256018514E-4</v>
      </c>
      <c r="M58" s="24">
        <f t="shared" si="7"/>
        <v>2.2411720603156726E-2</v>
      </c>
      <c r="N58" s="24">
        <f t="shared" si="13"/>
        <v>1.0338615580916704</v>
      </c>
      <c r="O58" s="24">
        <f t="shared" si="14"/>
        <v>1.0001547838284446</v>
      </c>
      <c r="P58" s="24">
        <f t="shared" si="15"/>
        <v>0.99982847590946655</v>
      </c>
      <c r="Q58" s="24">
        <f t="shared" si="16"/>
        <v>2.3337022631109424E-2</v>
      </c>
      <c r="R58" s="24">
        <f t="shared" si="8"/>
        <v>0.15872492112184916</v>
      </c>
      <c r="S58" s="24">
        <f t="shared" si="6"/>
        <v>0.16619549465623473</v>
      </c>
    </row>
    <row r="59" spans="1:19" s="25" customFormat="1" ht="15.75">
      <c r="A59" s="24">
        <v>35</v>
      </c>
      <c r="B59" s="24">
        <f t="shared" si="0"/>
        <v>297.14249041632877</v>
      </c>
      <c r="C59" s="24">
        <f t="shared" si="1"/>
        <v>100</v>
      </c>
      <c r="D59" s="24">
        <f t="shared" si="4"/>
        <v>2.9714249041632876</v>
      </c>
      <c r="E59" s="24">
        <f t="shared" si="18"/>
        <v>165.71416347210959</v>
      </c>
      <c r="F59" s="34">
        <f t="shared" si="5"/>
        <v>197.14249041632877</v>
      </c>
      <c r="G59" s="24">
        <f t="shared" si="2"/>
        <v>328.58313580220931</v>
      </c>
      <c r="H59" s="24">
        <f t="shared" si="9"/>
        <v>1.4055438677266501</v>
      </c>
      <c r="I59" s="24">
        <f t="shared" si="3"/>
        <v>1.189653836978809</v>
      </c>
      <c r="J59" s="24">
        <f t="shared" si="11"/>
        <v>1.0003805261420242</v>
      </c>
      <c r="K59" s="24">
        <f t="shared" si="12"/>
        <v>1.0005085470178845</v>
      </c>
      <c r="L59" s="24">
        <f t="shared" si="17"/>
        <v>6.3154088388227237E-4</v>
      </c>
      <c r="M59" s="24">
        <f t="shared" si="7"/>
        <v>2.3043261487038998E-2</v>
      </c>
      <c r="N59" s="24">
        <f t="shared" si="13"/>
        <v>1.0582244197805981</v>
      </c>
      <c r="O59" s="24">
        <f t="shared" si="14"/>
        <v>1.000152328801579</v>
      </c>
      <c r="P59" s="24">
        <f t="shared" si="15"/>
        <v>0.99982946457010791</v>
      </c>
      <c r="Q59" s="24">
        <f t="shared" si="16"/>
        <v>3.9918195930373122E-2</v>
      </c>
      <c r="R59" s="24">
        <f t="shared" si="8"/>
        <v>0.19864311705222229</v>
      </c>
      <c r="S59" s="24">
        <f t="shared" si="6"/>
        <v>0.20632420421456862</v>
      </c>
    </row>
    <row r="60" spans="1:19" s="25" customFormat="1" ht="15.75">
      <c r="A60" s="24">
        <v>36</v>
      </c>
      <c r="B60" s="24">
        <f t="shared" si="0"/>
        <v>300</v>
      </c>
      <c r="C60" s="24">
        <f t="shared" si="1"/>
        <v>100</v>
      </c>
      <c r="D60" s="24">
        <f t="shared" si="4"/>
        <v>3</v>
      </c>
      <c r="E60" s="24">
        <f>pcs</f>
        <v>166.66666666666666</v>
      </c>
      <c r="F60" s="24">
        <f t="shared" si="5"/>
        <v>199.99999999999997</v>
      </c>
      <c r="G60" s="24">
        <f t="shared" si="2"/>
        <v>333.33333333333331</v>
      </c>
      <c r="H60" s="24">
        <f t="shared" si="9"/>
        <v>1.4045965626392742</v>
      </c>
      <c r="I60" s="24">
        <f t="shared" si="3"/>
        <v>1.2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s="25" customFormat="1" ht="15.75"/>
    <row r="62" spans="1:19" s="26" customFormat="1" ht="15.75">
      <c r="O62" s="27"/>
      <c r="P62" s="27"/>
      <c r="Q62" s="27"/>
      <c r="R62" s="27"/>
      <c r="S62" s="27"/>
    </row>
    <row r="63" spans="1:19" s="27" customFormat="1" ht="15.75"/>
    <row r="64" spans="1:19" s="26" customFormat="1">
      <c r="C64" s="28"/>
      <c r="D64" s="28"/>
      <c r="E64" s="28"/>
    </row>
    <row r="65" spans="3:5" s="26" customFormat="1">
      <c r="C65" s="28"/>
      <c r="D65" s="28"/>
      <c r="E65" s="28"/>
    </row>
    <row r="66" spans="3:5" s="26" customFormat="1">
      <c r="C66" s="28"/>
      <c r="D66" s="28"/>
      <c r="E66" s="28"/>
    </row>
    <row r="67" spans="3:5" s="26" customFormat="1">
      <c r="C67" s="28"/>
      <c r="D67" s="28"/>
      <c r="E67" s="28"/>
    </row>
    <row r="68" spans="3:5" s="26" customFormat="1">
      <c r="C68" s="28"/>
      <c r="D68" s="28"/>
      <c r="E68" s="28"/>
    </row>
    <row r="69" spans="3:5" s="26" customFormat="1">
      <c r="C69" s="28"/>
      <c r="D69" s="28"/>
      <c r="E69" s="28"/>
    </row>
    <row r="70" spans="3:5" s="26" customFormat="1">
      <c r="C70" s="28"/>
      <c r="D70" s="28"/>
      <c r="E70" s="28"/>
    </row>
    <row r="71" spans="3:5" s="26" customFormat="1">
      <c r="C71" s="28"/>
      <c r="D71" s="28"/>
      <c r="E71" s="28"/>
    </row>
    <row r="72" spans="3:5" s="26" customFormat="1">
      <c r="C72" s="28"/>
      <c r="D72" s="28"/>
      <c r="E72" s="28"/>
    </row>
    <row r="73" spans="3:5" s="26" customFormat="1">
      <c r="C73" s="28"/>
      <c r="D73" s="28"/>
      <c r="E73" s="28"/>
    </row>
    <row r="74" spans="3:5" s="26" customFormat="1">
      <c r="C74" s="28"/>
      <c r="D74" s="28"/>
      <c r="E74" s="28"/>
    </row>
    <row r="75" spans="3:5" s="26" customFormat="1">
      <c r="C75" s="28"/>
      <c r="D75" s="28"/>
      <c r="E75" s="28"/>
    </row>
    <row r="76" spans="3:5" s="26" customFormat="1">
      <c r="C76" s="28"/>
      <c r="D76" s="28"/>
      <c r="E76" s="28"/>
    </row>
    <row r="77" spans="3:5" s="26" customFormat="1"/>
    <row r="78" spans="3:5" s="26" customFormat="1"/>
    <row r="79" spans="3:5" s="26" customFormat="1"/>
    <row r="80" spans="3:5" s="26" customFormat="1"/>
    <row r="81" s="26" customFormat="1"/>
    <row r="82" s="26" customFormat="1"/>
    <row r="83" s="26" customFormat="1"/>
    <row r="84" s="26" customFormat="1"/>
    <row r="85" s="26" customFormat="1"/>
    <row r="86" s="26" customFormat="1"/>
    <row r="87" s="26" customFormat="1"/>
    <row r="88" s="26" customFormat="1"/>
    <row r="89" s="26" customFormat="1"/>
    <row r="90" s="26" customFormat="1"/>
    <row r="91" s="26" customFormat="1"/>
    <row r="92" s="26" customFormat="1"/>
    <row r="93" s="26" customFormat="1"/>
    <row r="94" s="26" customFormat="1"/>
    <row r="95" s="26" customFormat="1"/>
    <row r="96" s="26" customFormat="1"/>
    <row r="97" s="26" customFormat="1"/>
    <row r="98" s="26" customFormat="1"/>
    <row r="99" s="26" customFormat="1"/>
    <row r="100" s="26" customFormat="1"/>
    <row r="101" s="26" customFormat="1"/>
    <row r="102" s="26" customFormat="1"/>
    <row r="103" s="26" customFormat="1"/>
    <row r="104" s="26" customFormat="1"/>
    <row r="105" s="26" customFormat="1"/>
    <row r="106" s="26" customFormat="1"/>
    <row r="107" s="26" customFormat="1"/>
    <row r="108" s="26" customFormat="1"/>
    <row r="109" s="26" customFormat="1"/>
    <row r="110" s="26" customFormat="1"/>
    <row r="111" s="26" customFormat="1"/>
    <row r="112" s="26" customFormat="1"/>
    <row r="113" s="26" customFormat="1"/>
    <row r="114" s="26" customFormat="1"/>
    <row r="115" s="26" customFormat="1"/>
    <row r="116" s="26" customFormat="1"/>
    <row r="117" s="26" customFormat="1"/>
    <row r="118" s="26" customFormat="1"/>
    <row r="119" s="26" customFormat="1"/>
    <row r="120" s="26" customFormat="1"/>
    <row r="121" s="26" customFormat="1"/>
    <row r="122" s="26" customFormat="1"/>
    <row r="123" s="26" customFormat="1"/>
    <row r="124" s="26" customFormat="1"/>
    <row r="125" s="26" customFormat="1"/>
    <row r="126" s="26" customFormat="1"/>
    <row r="127" s="26" customFormat="1"/>
    <row r="128" s="26" customFormat="1"/>
    <row r="129" s="26" customFormat="1"/>
    <row r="130" s="26" customFormat="1"/>
    <row r="131" s="26" customFormat="1"/>
    <row r="132" s="26" customFormat="1"/>
    <row r="133" s="26" customFormat="1"/>
    <row r="134" s="26" customFormat="1"/>
    <row r="135" s="26" customFormat="1"/>
    <row r="136" s="26" customFormat="1"/>
    <row r="137" s="26" customFormat="1"/>
    <row r="138" s="26" customFormat="1"/>
    <row r="139" s="26" customFormat="1"/>
    <row r="140" s="26" customFormat="1"/>
    <row r="141" s="26" customFormat="1"/>
    <row r="142" s="26" customFormat="1"/>
    <row r="143" s="26" customFormat="1"/>
    <row r="144" s="26" customFormat="1"/>
    <row r="145" s="26" customFormat="1"/>
    <row r="146" s="26" customFormat="1"/>
    <row r="147" s="26" customFormat="1"/>
    <row r="148" s="26" customFormat="1"/>
    <row r="149" s="26" customFormat="1"/>
    <row r="150" s="26" customFormat="1"/>
    <row r="151" s="26" customFormat="1"/>
    <row r="152" s="26" customFormat="1"/>
    <row r="153" s="26" customFormat="1"/>
    <row r="154" s="26" customFormat="1"/>
    <row r="155" s="26" customFormat="1"/>
    <row r="156" s="26" customFormat="1"/>
    <row r="157" s="26" customFormat="1"/>
    <row r="158" s="26" customFormat="1"/>
    <row r="159" s="26" customFormat="1"/>
    <row r="160" s="26" customFormat="1"/>
    <row r="161" s="26" customFormat="1"/>
    <row r="162" s="26" customFormat="1"/>
    <row r="163" s="26" customFormat="1"/>
    <row r="164" s="26" customFormat="1"/>
    <row r="165" s="26" customFormat="1"/>
    <row r="166" s="26" customFormat="1"/>
    <row r="167" s="26" customFormat="1"/>
    <row r="168" s="26" customFormat="1"/>
    <row r="169" s="26" customFormat="1"/>
    <row r="170" s="26" customFormat="1"/>
    <row r="171" s="26" customFormat="1"/>
    <row r="172" s="26" customFormat="1"/>
    <row r="173" s="26" customFormat="1"/>
    <row r="174" s="26" customFormat="1"/>
    <row r="175" s="26" customFormat="1"/>
    <row r="176" s="26" customFormat="1"/>
    <row r="177" s="26" customFormat="1"/>
    <row r="178" s="26" customFormat="1"/>
    <row r="179" s="26" customFormat="1"/>
    <row r="180" s="26" customFormat="1"/>
    <row r="181" s="26" customFormat="1"/>
    <row r="182" s="26" customFormat="1"/>
    <row r="183" s="26" customFormat="1"/>
    <row r="184" s="26" customFormat="1"/>
    <row r="185" s="26" customFormat="1"/>
    <row r="186" s="26" customFormat="1"/>
    <row r="187" s="26" customFormat="1"/>
    <row r="188" s="26" customFormat="1"/>
    <row r="189" s="26" customFormat="1"/>
    <row r="190" s="26" customFormat="1"/>
    <row r="191" s="26" customFormat="1"/>
    <row r="192" s="26" customFormat="1"/>
    <row r="193" s="26" customFormat="1"/>
    <row r="194" s="26" customFormat="1"/>
    <row r="195" s="26" customFormat="1"/>
    <row r="196" s="26" customFormat="1"/>
    <row r="197" s="26" customFormat="1"/>
    <row r="198" s="26" customFormat="1"/>
    <row r="199" s="26" customFormat="1"/>
    <row r="200" s="26" customFormat="1"/>
    <row r="201" s="26" customFormat="1"/>
    <row r="202" s="26" customFormat="1"/>
    <row r="203" s="26" customFormat="1"/>
    <row r="204" s="26" customFormat="1"/>
    <row r="205" s="26" customFormat="1"/>
    <row r="206" s="26" customFormat="1"/>
    <row r="207" s="26" customFormat="1"/>
    <row r="208" s="26" customFormat="1"/>
    <row r="209" s="26" customFormat="1"/>
    <row r="210" s="26" customFormat="1"/>
    <row r="211" s="26" customFormat="1"/>
    <row r="212" s="26" customFormat="1"/>
    <row r="213" s="26" customFormat="1"/>
    <row r="214" s="26" customFormat="1"/>
    <row r="215" s="26" customFormat="1"/>
    <row r="216" s="26" customFormat="1"/>
    <row r="217" s="26" customFormat="1"/>
    <row r="218" s="26" customFormat="1"/>
    <row r="219" s="26" customFormat="1"/>
    <row r="220" s="26" customFormat="1"/>
    <row r="221" s="26" customFormat="1"/>
    <row r="222" s="26" customFormat="1"/>
    <row r="223" s="26" customFormat="1"/>
    <row r="224" s="26" customFormat="1"/>
    <row r="225" s="26" customFormat="1"/>
    <row r="226" s="26" customFormat="1"/>
    <row r="227" s="26" customFormat="1"/>
    <row r="228" s="26" customFormat="1"/>
    <row r="229" s="26" customFormat="1"/>
    <row r="230" s="26" customFormat="1"/>
    <row r="231" s="26" customFormat="1"/>
    <row r="232" s="26" customFormat="1"/>
    <row r="233" s="26" customFormat="1"/>
    <row r="234" s="26" customFormat="1"/>
    <row r="235" s="26" customFormat="1"/>
    <row r="236" s="26" customFormat="1"/>
    <row r="237" s="26" customFormat="1"/>
    <row r="238" s="26" customFormat="1"/>
    <row r="239" s="26" customFormat="1"/>
    <row r="240" s="26" customFormat="1"/>
    <row r="241" s="26" customFormat="1"/>
    <row r="242" s="26" customFormat="1"/>
    <row r="243" s="26" customFormat="1"/>
    <row r="244" s="26" customFormat="1"/>
    <row r="245" s="26" customFormat="1"/>
    <row r="246" s="26" customFormat="1"/>
    <row r="247" s="26" customFormat="1"/>
    <row r="248" s="26" customFormat="1"/>
    <row r="249" s="26" customFormat="1"/>
    <row r="250" s="26" customFormat="1"/>
    <row r="251" s="26" customFormat="1"/>
    <row r="252" s="26" customFormat="1"/>
    <row r="253" s="26" customFormat="1"/>
    <row r="254" s="26" customFormat="1"/>
    <row r="255" s="26" customFormat="1"/>
    <row r="256" s="26" customFormat="1"/>
    <row r="257" s="26" customFormat="1"/>
    <row r="258" s="26" customFormat="1"/>
    <row r="259" s="26" customFormat="1"/>
    <row r="260" s="26" customFormat="1"/>
    <row r="261" s="26" customFormat="1"/>
    <row r="262" s="26" customFormat="1"/>
    <row r="263" s="26" customFormat="1"/>
    <row r="264" s="26" customFormat="1"/>
    <row r="265" s="26" customFormat="1"/>
    <row r="266" s="26" customFormat="1"/>
    <row r="267" s="26" customFormat="1"/>
    <row r="268" s="26" customFormat="1"/>
    <row r="269" s="26" customFormat="1"/>
    <row r="270" s="26" customFormat="1"/>
    <row r="271" s="26" customFormat="1"/>
    <row r="272" s="26" customFormat="1"/>
    <row r="273" s="26" customFormat="1"/>
    <row r="274" s="26" customFormat="1"/>
    <row r="275" s="26" customFormat="1"/>
    <row r="276" s="26" customFormat="1"/>
    <row r="277" s="26" customFormat="1"/>
    <row r="278" s="26" customFormat="1"/>
    <row r="279" s="26" customFormat="1"/>
    <row r="280" s="26" customFormat="1"/>
    <row r="281" s="26" customFormat="1"/>
    <row r="282" s="26" customFormat="1"/>
    <row r="283" s="26" customFormat="1"/>
    <row r="284" s="26" customFormat="1"/>
    <row r="285" s="26" customFormat="1"/>
    <row r="286" s="26" customFormat="1"/>
    <row r="287" s="26" customFormat="1"/>
    <row r="288" s="26" customFormat="1"/>
    <row r="289" s="26" customFormat="1"/>
    <row r="290" s="26" customFormat="1"/>
    <row r="291" s="26" customFormat="1"/>
    <row r="292" s="26" customFormat="1"/>
    <row r="293" s="26" customFormat="1"/>
    <row r="294" s="26" customFormat="1"/>
    <row r="295" s="26" customFormat="1"/>
    <row r="296" s="26" customFormat="1"/>
    <row r="297" s="26" customFormat="1"/>
  </sheetData>
  <phoneticPr fontId="0" type="noConversion"/>
  <pageMargins left="0.17" right="0.18" top="0.22" bottom="0.2" header="0.19" footer="0.16"/>
  <pageSetup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B3" sqref="B3:D38"/>
    </sheetView>
  </sheetViews>
  <sheetFormatPr defaultRowHeight="12.75"/>
  <cols>
    <col min="2" max="2" width="19.85546875" customWidth="1"/>
    <col min="3" max="3" width="22.85546875" customWidth="1"/>
    <col min="4" max="4" width="16.85546875" customWidth="1"/>
    <col min="8" max="8" width="19.85546875" customWidth="1"/>
    <col min="9" max="9" width="22.85546875" customWidth="1"/>
    <col min="10" max="10" width="16.85546875" customWidth="1"/>
  </cols>
  <sheetData>
    <row r="1" spans="1:10">
      <c r="A1" s="29" t="s">
        <v>53</v>
      </c>
      <c r="G1" s="29" t="s">
        <v>54</v>
      </c>
    </row>
    <row r="2" spans="1:10" ht="15">
      <c r="A2" s="3" t="s">
        <v>22</v>
      </c>
      <c r="B2" s="4" t="s">
        <v>23</v>
      </c>
      <c r="C2" s="4" t="s">
        <v>29</v>
      </c>
      <c r="D2" s="4" t="s">
        <v>52</v>
      </c>
      <c r="G2" s="4" t="s">
        <v>22</v>
      </c>
      <c r="H2" s="4" t="s">
        <v>23</v>
      </c>
      <c r="I2" s="4" t="s">
        <v>29</v>
      </c>
      <c r="J2" s="4" t="s">
        <v>52</v>
      </c>
    </row>
    <row r="3" spans="1:10" ht="15">
      <c r="A3" s="5">
        <v>1</v>
      </c>
      <c r="B3" s="5">
        <v>0</v>
      </c>
      <c r="C3" s="6">
        <v>0</v>
      </c>
      <c r="D3" s="6">
        <v>0</v>
      </c>
      <c r="G3" s="5">
        <v>1</v>
      </c>
      <c r="H3" s="40">
        <v>0</v>
      </c>
      <c r="I3" s="39">
        <v>2.1091E-19</v>
      </c>
      <c r="J3" s="37">
        <v>1.19538E-18</v>
      </c>
    </row>
    <row r="4" spans="1:10" ht="15">
      <c r="A4" s="5">
        <v>2</v>
      </c>
      <c r="B4" s="5">
        <v>27.73</v>
      </c>
      <c r="C4" s="5">
        <v>1.1788E-3</v>
      </c>
      <c r="D4" s="5">
        <v>4.7154E-4</v>
      </c>
      <c r="G4" s="5">
        <v>2</v>
      </c>
      <c r="H4" s="40">
        <v>27.85</v>
      </c>
      <c r="I4" s="38">
        <v>1.1839000000000001E-3</v>
      </c>
      <c r="J4" s="36">
        <v>4.7355999999999999E-4</v>
      </c>
    </row>
    <row r="5" spans="1:10" ht="15">
      <c r="A5" s="5">
        <v>3</v>
      </c>
      <c r="B5" s="5">
        <v>55.6</v>
      </c>
      <c r="C5" s="5">
        <v>2.2679000000000002E-3</v>
      </c>
      <c r="D5" s="5">
        <v>9.0713999999999996E-4</v>
      </c>
      <c r="G5" s="5">
        <v>3</v>
      </c>
      <c r="H5" s="40">
        <v>55.71</v>
      </c>
      <c r="I5" s="38">
        <v>2.2720000000000001E-3</v>
      </c>
      <c r="J5" s="36">
        <v>9.0879999999999997E-4</v>
      </c>
    </row>
    <row r="6" spans="1:10" ht="15">
      <c r="A6" s="5">
        <v>4</v>
      </c>
      <c r="B6" s="5">
        <v>83.47</v>
      </c>
      <c r="C6" s="5">
        <v>3.2756999999999999E-3</v>
      </c>
      <c r="D6" s="5">
        <v>1.3102599999999999E-3</v>
      </c>
      <c r="G6" s="5">
        <v>4</v>
      </c>
      <c r="H6" s="40">
        <v>83.56</v>
      </c>
      <c r="I6" s="38">
        <v>3.2789999999999998E-3</v>
      </c>
      <c r="J6" s="36">
        <v>1.3116200000000001E-3</v>
      </c>
    </row>
    <row r="7" spans="1:10" ht="15">
      <c r="A7" s="5">
        <v>5</v>
      </c>
      <c r="B7" s="5">
        <v>111.47199999999999</v>
      </c>
      <c r="C7" s="5">
        <v>4.2500000000000003E-3</v>
      </c>
      <c r="D7" s="5">
        <v>1.6999999999999999E-3</v>
      </c>
      <c r="G7" s="5">
        <v>5</v>
      </c>
      <c r="H7" s="40">
        <v>111.42</v>
      </c>
      <c r="I7" s="38">
        <v>4.2163000000000001E-3</v>
      </c>
      <c r="J7" s="36">
        <v>1.6865000000000001E-3</v>
      </c>
    </row>
    <row r="8" spans="1:10" ht="15">
      <c r="A8" s="5">
        <v>6</v>
      </c>
      <c r="B8" s="5">
        <v>111.982</v>
      </c>
      <c r="C8" s="5">
        <v>4.5894999999999998E-3</v>
      </c>
      <c r="D8" s="5">
        <v>1.8391E-3</v>
      </c>
      <c r="G8" s="5">
        <v>6</v>
      </c>
      <c r="H8" s="40">
        <v>114.18</v>
      </c>
      <c r="I8" s="38">
        <v>6.1745999999999997E-3</v>
      </c>
      <c r="J8" s="36">
        <v>2.4697E-3</v>
      </c>
    </row>
    <row r="9" spans="1:10" ht="15">
      <c r="A9" s="5">
        <v>7</v>
      </c>
      <c r="B9" s="5">
        <v>114.73</v>
      </c>
      <c r="C9" s="5">
        <v>6.5027000000000001E-3</v>
      </c>
      <c r="D9" s="5">
        <v>2.6075E-3</v>
      </c>
      <c r="G9" s="5">
        <v>7</v>
      </c>
      <c r="H9" s="40">
        <v>116.94</v>
      </c>
      <c r="I9" s="38">
        <v>8.2044000000000006E-3</v>
      </c>
      <c r="J9" s="36">
        <v>3.2507999999999999E-3</v>
      </c>
    </row>
    <row r="10" spans="1:10" ht="15">
      <c r="A10" s="5">
        <v>8</v>
      </c>
      <c r="B10" s="5">
        <v>117.58</v>
      </c>
      <c r="C10" s="5">
        <v>8.5409000000000006E-3</v>
      </c>
      <c r="D10" s="5">
        <v>3.3939E-3</v>
      </c>
      <c r="G10" s="5">
        <v>8</v>
      </c>
      <c r="H10" s="40">
        <v>119.69</v>
      </c>
      <c r="I10" s="38">
        <v>1.031E-2</v>
      </c>
      <c r="J10" s="36">
        <v>4.0350000000000004E-3</v>
      </c>
    </row>
    <row r="11" spans="1:10" ht="15">
      <c r="A11" s="5">
        <v>9</v>
      </c>
      <c r="B11" s="5">
        <v>120.44</v>
      </c>
      <c r="C11" s="5">
        <v>1.0673E-2</v>
      </c>
      <c r="D11" s="5">
        <v>4.1824000000000002E-3</v>
      </c>
      <c r="G11" s="5">
        <v>9</v>
      </c>
      <c r="H11" s="40">
        <v>122.46</v>
      </c>
      <c r="I11" s="38">
        <v>1.2496E-2</v>
      </c>
      <c r="J11" s="36">
        <v>4.8196000000000003E-3</v>
      </c>
    </row>
    <row r="12" spans="1:10" ht="15">
      <c r="A12" s="5">
        <v>10</v>
      </c>
      <c r="B12" s="5">
        <v>123.21</v>
      </c>
      <c r="C12" s="5">
        <v>1.281E-2</v>
      </c>
      <c r="D12" s="5">
        <v>4.9404000000000002E-3</v>
      </c>
      <c r="G12" s="5">
        <v>10</v>
      </c>
      <c r="H12" s="40">
        <v>125.25</v>
      </c>
      <c r="I12" s="38">
        <v>1.4767000000000001E-2</v>
      </c>
      <c r="J12" s="36">
        <v>5.6048000000000001E-3</v>
      </c>
    </row>
    <row r="13" spans="1:10" ht="15">
      <c r="A13" s="5">
        <v>11</v>
      </c>
      <c r="B13" s="5">
        <v>126.04</v>
      </c>
      <c r="C13" s="5">
        <v>1.507E-2</v>
      </c>
      <c r="D13" s="5">
        <v>5.7083999999999998E-3</v>
      </c>
      <c r="G13" s="5">
        <v>11</v>
      </c>
      <c r="H13" s="40">
        <v>128.05000000000001</v>
      </c>
      <c r="I13" s="38">
        <v>1.7129999999999999E-2</v>
      </c>
      <c r="J13" s="36">
        <v>6.3920000000000001E-3</v>
      </c>
    </row>
    <row r="14" spans="1:10" ht="15">
      <c r="A14" s="5">
        <v>12</v>
      </c>
      <c r="B14" s="5">
        <v>128.9</v>
      </c>
      <c r="C14" s="5">
        <v>1.7430000000000001E-2</v>
      </c>
      <c r="D14" s="5">
        <v>6.4742000000000003E-3</v>
      </c>
      <c r="G14" s="5">
        <v>12</v>
      </c>
      <c r="H14" s="40">
        <v>131.13999999999999</v>
      </c>
      <c r="I14" s="38">
        <v>1.9591000000000001E-2</v>
      </c>
      <c r="J14" s="36">
        <v>7.1253999999999996E-3</v>
      </c>
    </row>
    <row r="15" spans="1:10" ht="15">
      <c r="A15" s="5">
        <v>13</v>
      </c>
      <c r="B15" s="5">
        <v>131.74</v>
      </c>
      <c r="C15" s="5">
        <v>1.9883999999999999E-2</v>
      </c>
      <c r="D15" s="5">
        <v>7.2348000000000004E-3</v>
      </c>
      <c r="G15" s="5">
        <v>13</v>
      </c>
      <c r="H15" s="40">
        <v>133.97</v>
      </c>
      <c r="I15" s="38">
        <v>2.2158000000000001E-2</v>
      </c>
      <c r="J15" s="36">
        <v>7.8840000000000004E-3</v>
      </c>
    </row>
    <row r="16" spans="1:10" ht="15">
      <c r="A16" s="5">
        <v>14</v>
      </c>
      <c r="B16" s="5">
        <v>134.59</v>
      </c>
      <c r="C16" s="5">
        <v>2.2433000000000002E-2</v>
      </c>
      <c r="D16" s="5">
        <v>7.9882000000000009E-3</v>
      </c>
      <c r="G16" s="5">
        <v>14</v>
      </c>
      <c r="H16" s="40">
        <v>136.80000000000001</v>
      </c>
      <c r="I16" s="38">
        <v>2.4837999999999999E-2</v>
      </c>
      <c r="J16" s="36">
        <v>8.6428000000000008E-3</v>
      </c>
    </row>
    <row r="17" spans="1:10" ht="15">
      <c r="A17" s="5">
        <v>15</v>
      </c>
      <c r="B17" s="5">
        <v>137.41999999999999</v>
      </c>
      <c r="C17" s="5">
        <v>2.5080000000000002E-2</v>
      </c>
      <c r="D17" s="5">
        <v>8.7328000000000006E-3</v>
      </c>
      <c r="G17" s="5">
        <v>15</v>
      </c>
      <c r="H17" s="40">
        <v>139.65</v>
      </c>
      <c r="I17" s="38">
        <v>2.7643999999999998E-2</v>
      </c>
      <c r="J17" s="36">
        <v>9.4020000000000006E-3</v>
      </c>
    </row>
    <row r="18" spans="1:10" ht="15">
      <c r="A18" s="5">
        <v>16</v>
      </c>
      <c r="B18" s="5">
        <v>140.25</v>
      </c>
      <c r="C18" s="5">
        <v>2.7833E-2</v>
      </c>
      <c r="D18" s="5">
        <v>9.4699999999999993E-3</v>
      </c>
      <c r="G18" s="5">
        <v>16</v>
      </c>
      <c r="H18" s="40">
        <v>142.51</v>
      </c>
      <c r="I18" s="38">
        <v>3.0585000000000001E-2</v>
      </c>
      <c r="J18" s="36">
        <v>1.0160000000000001E-2</v>
      </c>
    </row>
    <row r="19" spans="1:10" ht="15">
      <c r="A19" s="5">
        <v>17</v>
      </c>
      <c r="B19" s="5">
        <v>143.13999999999999</v>
      </c>
      <c r="C19" s="5">
        <v>3.0773999999999999E-2</v>
      </c>
      <c r="D19" s="5">
        <v>1.0215999999999999E-2</v>
      </c>
      <c r="G19" s="5">
        <v>17</v>
      </c>
      <c r="H19" s="40">
        <v>145.55000000000001</v>
      </c>
      <c r="I19" s="38">
        <v>3.3674000000000003E-2</v>
      </c>
      <c r="J19" s="36">
        <v>1.0867999999999999E-2</v>
      </c>
    </row>
    <row r="20" spans="1:10" ht="15">
      <c r="A20" s="5">
        <v>18</v>
      </c>
      <c r="B20" s="5">
        <v>145.97</v>
      </c>
      <c r="C20" s="5">
        <v>3.3797000000000001E-2</v>
      </c>
      <c r="D20" s="5">
        <v>1.0940999999999999E-2</v>
      </c>
      <c r="G20" s="5">
        <v>18</v>
      </c>
      <c r="H20" s="40">
        <v>148.38999999999999</v>
      </c>
      <c r="I20" s="38">
        <v>3.6928000000000002E-2</v>
      </c>
      <c r="J20" s="36">
        <v>1.1599999999999999E-2</v>
      </c>
    </row>
    <row r="21" spans="1:10" ht="15">
      <c r="A21" s="5">
        <v>19</v>
      </c>
      <c r="B21" s="5">
        <v>148.77000000000001</v>
      </c>
      <c r="C21" s="5">
        <v>3.6935000000000003E-2</v>
      </c>
      <c r="D21" s="5">
        <v>1.1655E-2</v>
      </c>
      <c r="G21" s="5">
        <v>19</v>
      </c>
      <c r="H21" s="40">
        <v>151.24</v>
      </c>
      <c r="I21" s="38">
        <v>4.0363999999999997E-2</v>
      </c>
      <c r="J21" s="36">
        <v>1.2331999999999999E-2</v>
      </c>
    </row>
    <row r="22" spans="1:10" ht="15">
      <c r="A22" s="5">
        <v>20</v>
      </c>
      <c r="B22" s="5">
        <v>151.62</v>
      </c>
      <c r="C22" s="5">
        <v>4.0286000000000002E-2</v>
      </c>
      <c r="D22" s="5">
        <v>1.2371999999999999E-2</v>
      </c>
      <c r="G22" s="5">
        <v>20</v>
      </c>
      <c r="H22" s="40">
        <v>154.19</v>
      </c>
      <c r="I22" s="38">
        <v>4.4004000000000001E-2</v>
      </c>
      <c r="J22" s="36">
        <v>1.3068E-2</v>
      </c>
    </row>
    <row r="23" spans="1:10" ht="15">
      <c r="A23" s="5">
        <v>21</v>
      </c>
      <c r="B23" s="5">
        <v>154.47</v>
      </c>
      <c r="C23" s="5">
        <v>4.3829E-2</v>
      </c>
      <c r="D23" s="5">
        <v>1.3084999999999999E-2</v>
      </c>
      <c r="G23" s="5">
        <v>21</v>
      </c>
      <c r="H23" s="40">
        <v>157.13999999999999</v>
      </c>
      <c r="I23" s="38">
        <v>4.7872999999999999E-2</v>
      </c>
      <c r="J23" s="36">
        <v>1.3795E-2</v>
      </c>
    </row>
    <row r="24" spans="1:10" ht="15">
      <c r="A24" s="5">
        <v>22</v>
      </c>
      <c r="B24" s="5">
        <v>157.30000000000001</v>
      </c>
      <c r="C24" s="5">
        <v>4.7565999999999997E-2</v>
      </c>
      <c r="D24" s="5">
        <v>1.3788E-2</v>
      </c>
      <c r="G24" s="5">
        <v>22</v>
      </c>
      <c r="H24" s="40">
        <v>160.07</v>
      </c>
      <c r="I24" s="38">
        <v>5.2002E-2</v>
      </c>
      <c r="J24" s="36">
        <v>1.4527999999999999E-2</v>
      </c>
    </row>
    <row r="25" spans="1:10" ht="15">
      <c r="A25" s="5">
        <v>23</v>
      </c>
      <c r="B25" s="5">
        <v>160.12</v>
      </c>
      <c r="C25" s="5">
        <v>5.151E-2</v>
      </c>
      <c r="D25" s="5">
        <v>1.4482E-2</v>
      </c>
      <c r="G25" s="5">
        <v>23</v>
      </c>
      <c r="H25" s="40">
        <v>163.03</v>
      </c>
      <c r="I25" s="38">
        <v>5.6429E-2</v>
      </c>
      <c r="J25" s="36">
        <v>1.5269E-2</v>
      </c>
    </row>
    <row r="26" spans="1:10" ht="15">
      <c r="A26" s="5">
        <v>24</v>
      </c>
      <c r="B26" s="5">
        <v>162.97</v>
      </c>
      <c r="C26" s="5">
        <v>5.5756E-2</v>
      </c>
      <c r="D26" s="5">
        <v>1.5178000000000001E-2</v>
      </c>
      <c r="G26" s="5">
        <v>24</v>
      </c>
      <c r="H26" s="40">
        <v>166.09</v>
      </c>
      <c r="I26" s="38">
        <v>6.1201999999999999E-2</v>
      </c>
      <c r="J26" s="36">
        <v>1.5958E-2</v>
      </c>
    </row>
    <row r="27" spans="1:10" ht="15">
      <c r="A27" s="5">
        <v>25</v>
      </c>
      <c r="B27" s="5">
        <v>165.81</v>
      </c>
      <c r="C27" s="5">
        <v>6.0292999999999999E-2</v>
      </c>
      <c r="D27" s="5">
        <v>1.5865000000000001E-2</v>
      </c>
      <c r="G27" s="5">
        <v>25</v>
      </c>
      <c r="H27" s="40">
        <v>169.01</v>
      </c>
      <c r="I27" s="38">
        <v>6.6378999999999994E-2</v>
      </c>
      <c r="J27" s="36">
        <v>1.6670999999999998E-2</v>
      </c>
    </row>
    <row r="28" spans="1:10" ht="15">
      <c r="A28" s="5">
        <v>26</v>
      </c>
      <c r="B28" s="5">
        <v>168.66</v>
      </c>
      <c r="C28" s="5">
        <v>6.5212000000000006E-2</v>
      </c>
      <c r="D28" s="5">
        <v>1.6549999999999999E-2</v>
      </c>
      <c r="G28" s="5">
        <v>26</v>
      </c>
      <c r="H28" s="40">
        <v>171.98</v>
      </c>
      <c r="I28" s="38">
        <v>7.2037000000000004E-2</v>
      </c>
      <c r="J28" s="36">
        <v>1.7396999999999999E-2</v>
      </c>
    </row>
    <row r="29" spans="1:10" ht="15">
      <c r="A29" s="5">
        <v>27</v>
      </c>
      <c r="B29" s="5">
        <v>171.5</v>
      </c>
      <c r="C29" s="5">
        <v>7.0513999999999993E-2</v>
      </c>
      <c r="D29" s="5">
        <v>1.7226000000000002E-2</v>
      </c>
      <c r="G29" s="5">
        <v>27</v>
      </c>
      <c r="H29" s="40">
        <v>175.01</v>
      </c>
      <c r="I29" s="38">
        <v>7.8276999999999999E-2</v>
      </c>
      <c r="J29" s="36">
        <v>1.8079000000000001E-2</v>
      </c>
    </row>
    <row r="30" spans="1:10" ht="15">
      <c r="A30" s="5">
        <v>28</v>
      </c>
      <c r="B30" s="5">
        <v>174.34</v>
      </c>
      <c r="C30" s="5">
        <v>7.6303999999999997E-2</v>
      </c>
      <c r="D30" s="5">
        <v>1.7894E-2</v>
      </c>
      <c r="G30" s="5">
        <v>28</v>
      </c>
      <c r="H30" s="40">
        <v>177.98</v>
      </c>
      <c r="I30" s="38">
        <v>8.5235000000000005E-2</v>
      </c>
      <c r="J30" s="36">
        <v>1.8785E-2</v>
      </c>
    </row>
    <row r="31" spans="1:10" ht="15">
      <c r="A31" s="5">
        <v>29</v>
      </c>
      <c r="B31" s="5">
        <v>177.19</v>
      </c>
      <c r="C31" s="5">
        <v>8.2682000000000005E-2</v>
      </c>
      <c r="D31" s="5">
        <v>1.8558000000000002E-2</v>
      </c>
      <c r="G31" s="5">
        <v>29</v>
      </c>
      <c r="H31" s="40">
        <v>180.98</v>
      </c>
      <c r="I31" s="38">
        <v>9.3104000000000006E-2</v>
      </c>
      <c r="J31" s="36">
        <v>1.9466000000000001E-2</v>
      </c>
    </row>
    <row r="32" spans="1:10" ht="15">
      <c r="A32" s="5">
        <v>30</v>
      </c>
      <c r="B32" s="5">
        <v>180.04</v>
      </c>
      <c r="C32" s="5">
        <v>8.9829000000000006E-2</v>
      </c>
      <c r="D32" s="5">
        <v>1.9220999999999999E-2</v>
      </c>
      <c r="G32" s="5">
        <v>30</v>
      </c>
      <c r="H32" s="40">
        <v>184.01</v>
      </c>
      <c r="I32" s="38">
        <v>0.10216</v>
      </c>
      <c r="J32" s="36">
        <v>2.0181999999999999E-2</v>
      </c>
    </row>
    <row r="33" spans="1:10" ht="15">
      <c r="A33" s="5">
        <v>31</v>
      </c>
      <c r="B33" s="5">
        <v>182.87</v>
      </c>
      <c r="C33" s="5">
        <v>9.7846000000000002E-2</v>
      </c>
      <c r="D33" s="5">
        <v>1.9872000000000001E-2</v>
      </c>
      <c r="G33" s="5">
        <v>31</v>
      </c>
      <c r="H33" s="40">
        <v>187.15</v>
      </c>
      <c r="I33" s="38">
        <v>0.11285000000000001</v>
      </c>
      <c r="J33" s="36">
        <v>2.0899999999999998E-2</v>
      </c>
    </row>
    <row r="34" spans="1:10" ht="15">
      <c r="A34" s="5">
        <v>32</v>
      </c>
      <c r="B34" s="5">
        <v>185.71</v>
      </c>
      <c r="C34" s="5">
        <v>0.10712000000000001</v>
      </c>
      <c r="D34" s="5">
        <v>2.052E-2</v>
      </c>
      <c r="G34" s="5">
        <v>32</v>
      </c>
      <c r="H34" s="40">
        <v>190.36</v>
      </c>
      <c r="I34" s="38">
        <v>0.12589</v>
      </c>
      <c r="J34" s="36">
        <v>2.1634E-2</v>
      </c>
    </row>
    <row r="35" spans="1:10" ht="15">
      <c r="A35" s="5">
        <v>33</v>
      </c>
      <c r="B35" s="5">
        <v>188.57</v>
      </c>
      <c r="C35" s="5">
        <v>0.1181</v>
      </c>
      <c r="D35" s="5">
        <v>2.1170000000000001E-2</v>
      </c>
      <c r="G35" s="5">
        <v>33</v>
      </c>
      <c r="H35" s="40">
        <v>193.66</v>
      </c>
      <c r="I35" s="38">
        <v>0.14265</v>
      </c>
      <c r="J35" s="36">
        <v>2.2370000000000001E-2</v>
      </c>
    </row>
    <row r="36" spans="1:10" ht="15">
      <c r="A36" s="5">
        <v>34</v>
      </c>
      <c r="B36" s="5">
        <v>191.41</v>
      </c>
      <c r="C36" s="5">
        <v>0.13142999999999999</v>
      </c>
      <c r="D36" s="5">
        <v>2.1798000000000001E-2</v>
      </c>
      <c r="G36" s="5">
        <v>34</v>
      </c>
      <c r="H36" s="40">
        <v>196.86</v>
      </c>
      <c r="I36" s="38">
        <v>0.16619999999999999</v>
      </c>
      <c r="J36" s="36">
        <v>2.3056E-2</v>
      </c>
    </row>
    <row r="37" spans="1:10" ht="15">
      <c r="A37" s="5">
        <v>35</v>
      </c>
      <c r="B37" s="5">
        <v>194.26</v>
      </c>
      <c r="C37" s="5">
        <v>0.14863000000000001</v>
      </c>
      <c r="D37" s="5">
        <v>2.2433999999999999E-2</v>
      </c>
      <c r="G37" s="5">
        <v>35</v>
      </c>
      <c r="H37" s="40">
        <v>200.08</v>
      </c>
      <c r="I37" s="38">
        <v>0.20632</v>
      </c>
      <c r="J37" s="36">
        <v>2.3761999999999998E-2</v>
      </c>
    </row>
    <row r="38" spans="1:10" ht="15">
      <c r="A38" s="5">
        <v>36</v>
      </c>
      <c r="B38" s="5">
        <v>197.11</v>
      </c>
      <c r="C38" s="5">
        <v>0.17302000000000001</v>
      </c>
      <c r="D38" s="5">
        <v>2.3066E-2</v>
      </c>
      <c r="G38" s="5"/>
      <c r="H38" s="5"/>
      <c r="I38" s="5"/>
      <c r="J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Sheet2</vt:lpstr>
      <vt:lpstr>Analytical Solution</vt:lpstr>
      <vt:lpstr>Phase2</vt:lpstr>
      <vt:lpstr>Stress Path</vt:lpstr>
      <vt:lpstr>q-epsa</vt:lpstr>
      <vt:lpstr>ev-ea</vt:lpstr>
      <vt:lpstr>v-ea</vt:lpstr>
      <vt:lpstr>G</vt:lpstr>
      <vt:lpstr>Gamma</vt:lpstr>
      <vt:lpstr>k</vt:lpstr>
      <vt:lpstr>l</vt:lpstr>
      <vt:lpstr>M</vt:lpstr>
      <vt:lpstr>MJ</vt:lpstr>
      <vt:lpstr>N</vt:lpstr>
      <vt:lpstr>nu</vt:lpstr>
      <vt:lpstr>p0</vt:lpstr>
      <vt:lpstr>pcs</vt:lpstr>
      <vt:lpstr>ph</vt:lpstr>
      <vt:lpstr>pinit</vt:lpstr>
      <vt:lpstr>py</vt:lpstr>
      <vt:lpstr>qcs</vt:lpstr>
      <vt:lpstr>qinit</vt:lpstr>
      <vt:lpstr>qy</vt:lpstr>
      <vt:lpstr>vy</vt:lpstr>
    </vt:vector>
  </TitlesOfParts>
  <Company>Rocscience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Hammah</dc:creator>
  <cp:lastModifiedBy>Alireza Azami</cp:lastModifiedBy>
  <cp:lastPrinted>2005-12-15T19:34:43Z</cp:lastPrinted>
  <dcterms:created xsi:type="dcterms:W3CDTF">2004-11-19T21:26:55Z</dcterms:created>
  <dcterms:modified xsi:type="dcterms:W3CDTF">2011-09-02T21:01:16Z</dcterms:modified>
</cp:coreProperties>
</file>