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5420" yWindow="-460" windowWidth="30480" windowHeight="19440" tabRatio="500" activeTab="5"/>
  </bookViews>
  <sheets>
    <sheet name="Funds Manager" sheetId="4" r:id="rId1"/>
    <sheet name="Mgr v Index" sheetId="5" r:id="rId2"/>
    <sheet name="Property Returns" sheetId="1" r:id="rId3"/>
    <sheet name="Fed v LIBOR" sheetId="3" r:id="rId4"/>
    <sheet name="Libor Rates" sheetId="2" r:id="rId5"/>
    <sheet name="Question 1" sheetId="6" r:id="rId6"/>
  </sheets>
  <definedNames>
    <definedName name="corelogic">'Property Returns'!$M$4</definedName>
    <definedName name="interest_rate">'Property Returns'!$I$5</definedName>
    <definedName name="Purchase_price">'Property Returns'!$D$2</definedName>
    <definedName name="repayment">'Property Returns'!$J$5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4" i="4" l="1"/>
  <c r="N25" i="4"/>
  <c r="N26" i="4"/>
  <c r="N27" i="4"/>
  <c r="N28" i="4"/>
  <c r="N29" i="4"/>
  <c r="N30" i="4"/>
  <c r="N31" i="4"/>
  <c r="N32" i="4"/>
  <c r="N33" i="4"/>
  <c r="N34" i="4"/>
  <c r="N35" i="4"/>
  <c r="N4" i="4"/>
  <c r="N5" i="4"/>
  <c r="N6" i="4"/>
  <c r="N7" i="4"/>
  <c r="N8" i="4"/>
  <c r="N9" i="4"/>
  <c r="N10" i="4"/>
  <c r="N11" i="4"/>
  <c r="N12" i="4"/>
  <c r="N13" i="4"/>
  <c r="N14" i="4"/>
  <c r="N15" i="4"/>
  <c r="T35" i="4"/>
  <c r="S16" i="4"/>
  <c r="N36" i="4"/>
  <c r="N16" i="4"/>
  <c r="T36" i="4"/>
  <c r="S36" i="4"/>
  <c r="R16" i="4"/>
  <c r="T34" i="4"/>
  <c r="S15" i="4"/>
  <c r="S35" i="4"/>
  <c r="R15" i="4"/>
  <c r="T33" i="4"/>
  <c r="S14" i="4"/>
  <c r="S34" i="4"/>
  <c r="R14" i="4"/>
  <c r="T32" i="4"/>
  <c r="S13" i="4"/>
  <c r="S33" i="4"/>
  <c r="R13" i="4"/>
  <c r="T31" i="4"/>
  <c r="S12" i="4"/>
  <c r="S32" i="4"/>
  <c r="R12" i="4"/>
  <c r="T30" i="4"/>
  <c r="S11" i="4"/>
  <c r="S31" i="4"/>
  <c r="R11" i="4"/>
  <c r="T29" i="4"/>
  <c r="S10" i="4"/>
  <c r="S30" i="4"/>
  <c r="R10" i="4"/>
  <c r="T28" i="4"/>
  <c r="S9" i="4"/>
  <c r="S29" i="4"/>
  <c r="R9" i="4"/>
  <c r="T27" i="4"/>
  <c r="S8" i="4"/>
  <c r="S28" i="4"/>
  <c r="R8" i="4"/>
  <c r="T26" i="4"/>
  <c r="S7" i="4"/>
  <c r="S27" i="4"/>
  <c r="R7" i="4"/>
  <c r="T25" i="4"/>
  <c r="S6" i="4"/>
  <c r="S26" i="4"/>
  <c r="R6" i="4"/>
  <c r="T24" i="4"/>
  <c r="S5" i="4"/>
  <c r="S25" i="4"/>
  <c r="R5" i="4"/>
  <c r="P14" i="4"/>
  <c r="P34" i="4"/>
  <c r="V34" i="4"/>
  <c r="P16" i="4"/>
  <c r="P36" i="4"/>
  <c r="V36" i="4"/>
  <c r="P25" i="4"/>
  <c r="P5" i="4"/>
  <c r="V25" i="4"/>
  <c r="P28" i="4"/>
  <c r="P8" i="4"/>
  <c r="V28" i="4"/>
  <c r="P4" i="4"/>
  <c r="P24" i="4"/>
  <c r="V24" i="4"/>
  <c r="P15" i="4"/>
  <c r="P35" i="4"/>
  <c r="V35" i="4"/>
  <c r="P13" i="4"/>
  <c r="P33" i="4"/>
  <c r="V33" i="4"/>
  <c r="P12" i="4"/>
  <c r="P32" i="4"/>
  <c r="V32" i="4"/>
  <c r="P11" i="4"/>
  <c r="P31" i="4"/>
  <c r="V31" i="4"/>
  <c r="P10" i="4"/>
  <c r="P30" i="4"/>
  <c r="V30" i="4"/>
  <c r="P9" i="4"/>
  <c r="P29" i="4"/>
  <c r="V29" i="4"/>
  <c r="P7" i="4"/>
  <c r="P27" i="4"/>
  <c r="V27" i="4"/>
  <c r="P6" i="4"/>
  <c r="P26" i="4"/>
  <c r="V26" i="4"/>
  <c r="O36" i="4"/>
  <c r="U36" i="4"/>
  <c r="O35" i="4"/>
  <c r="U35" i="4"/>
  <c r="O34" i="4"/>
  <c r="U34" i="4"/>
  <c r="O33" i="4"/>
  <c r="U33" i="4"/>
  <c r="O32" i="4"/>
  <c r="U32" i="4"/>
  <c r="O31" i="4"/>
  <c r="U31" i="4"/>
  <c r="O30" i="4"/>
  <c r="U30" i="4"/>
  <c r="O29" i="4"/>
  <c r="U29" i="4"/>
  <c r="O28" i="4"/>
  <c r="U28" i="4"/>
  <c r="O27" i="4"/>
  <c r="U27" i="4"/>
  <c r="O26" i="4"/>
  <c r="U26" i="4"/>
  <c r="O25" i="4"/>
  <c r="U25" i="4"/>
  <c r="O24" i="4"/>
  <c r="U24" i="4"/>
  <c r="S24" i="4"/>
  <c r="R24" i="4"/>
  <c r="D5" i="6"/>
  <c r="K15" i="6"/>
  <c r="D6" i="6"/>
  <c r="K16" i="6"/>
  <c r="D7" i="6"/>
  <c r="K17" i="6"/>
  <c r="D8" i="6"/>
  <c r="K18" i="6"/>
  <c r="L15" i="6"/>
  <c r="M15" i="6"/>
  <c r="N15" i="6"/>
  <c r="L16" i="6"/>
  <c r="M16" i="6"/>
  <c r="N16" i="6"/>
  <c r="L17" i="6"/>
  <c r="M17" i="6"/>
  <c r="N17" i="6"/>
  <c r="L18" i="6"/>
  <c r="M18" i="6"/>
  <c r="N18" i="6"/>
  <c r="N20" i="6" a="1"/>
  <c r="N20" i="6"/>
  <c r="K5" i="6"/>
  <c r="L5" i="6"/>
  <c r="M5" i="6"/>
  <c r="N5" i="6"/>
  <c r="K6" i="6"/>
  <c r="L6" i="6"/>
  <c r="M6" i="6"/>
  <c r="N6" i="6"/>
  <c r="K7" i="6"/>
  <c r="L7" i="6"/>
  <c r="M7" i="6"/>
  <c r="N7" i="6"/>
  <c r="K8" i="6"/>
  <c r="L8" i="6"/>
  <c r="M8" i="6"/>
  <c r="N8" i="6"/>
  <c r="N10" i="6" a="1"/>
  <c r="N10" i="6"/>
  <c r="D11" i="6" a="1"/>
  <c r="D11" i="6"/>
  <c r="D10" i="6" a="1"/>
  <c r="D10" i="6"/>
  <c r="I14" i="6"/>
  <c r="I15" i="6"/>
  <c r="I16" i="6"/>
  <c r="I17" i="6"/>
  <c r="E6" i="6" a="1"/>
  <c r="E6" i="6"/>
  <c r="E7" i="6" a="1"/>
  <c r="E7" i="6"/>
  <c r="E8" i="6" a="1"/>
  <c r="E8" i="6"/>
  <c r="I18" i="6" a="1"/>
  <c r="I18" i="6"/>
  <c r="I6" i="6"/>
  <c r="I4" i="6"/>
  <c r="I5" i="6"/>
  <c r="I7" i="6"/>
  <c r="I8" i="6" a="1"/>
  <c r="I8" i="6"/>
  <c r="I10" i="6"/>
  <c r="E5" i="6"/>
  <c r="T6" i="4"/>
  <c r="T7" i="4"/>
  <c r="T8" i="4"/>
  <c r="T9" i="4"/>
  <c r="T10" i="4"/>
  <c r="T11" i="4"/>
  <c r="T12" i="4"/>
  <c r="T13" i="4"/>
  <c r="T14" i="4"/>
  <c r="T15" i="4"/>
  <c r="T16" i="4"/>
  <c r="T5" i="4"/>
  <c r="T18" i="4"/>
  <c r="G7" i="4" a="1"/>
  <c r="G7" i="4"/>
  <c r="G8" i="4" a="1"/>
  <c r="G8" i="4"/>
  <c r="G9" i="4" a="1"/>
  <c r="G9" i="4"/>
  <c r="G10" i="4" a="1"/>
  <c r="G10" i="4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/>
  <c r="G6" i="4" a="1"/>
  <c r="G6" i="4"/>
  <c r="D5" i="4"/>
  <c r="H5" i="4"/>
  <c r="I5" i="4"/>
  <c r="G5" i="4"/>
  <c r="E5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J5" i="4"/>
  <c r="J6" i="4"/>
  <c r="J7" i="4"/>
  <c r="J8" i="4"/>
  <c r="J9" i="4"/>
  <c r="J10" i="4"/>
  <c r="J11" i="4"/>
  <c r="J12" i="4"/>
  <c r="J13" i="4"/>
  <c r="J14" i="4"/>
  <c r="J15" i="4"/>
  <c r="J16" i="4"/>
  <c r="J18" i="4"/>
  <c r="G18" i="4" a="1"/>
  <c r="G18" i="4"/>
  <c r="D6" i="4"/>
  <c r="H6" i="4"/>
  <c r="D7" i="4"/>
  <c r="H7" i="4"/>
  <c r="D8" i="4"/>
  <c r="H8" i="4"/>
  <c r="D9" i="4"/>
  <c r="H9" i="4"/>
  <c r="D10" i="4"/>
  <c r="H10" i="4"/>
  <c r="D11" i="4"/>
  <c r="H11" i="4"/>
  <c r="D12" i="4"/>
  <c r="H12" i="4"/>
  <c r="D13" i="4"/>
  <c r="H13" i="4"/>
  <c r="D14" i="4"/>
  <c r="H14" i="4"/>
  <c r="D15" i="4"/>
  <c r="H15" i="4"/>
  <c r="D16" i="4"/>
  <c r="H16" i="4"/>
  <c r="G6" i="1"/>
  <c r="J5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C24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M6" i="1"/>
  <c r="H18" i="1"/>
  <c r="I18" i="1"/>
  <c r="J18" i="1"/>
  <c r="C6" i="1"/>
  <c r="C23" i="1"/>
  <c r="C21" i="1"/>
  <c r="C19" i="1"/>
  <c r="C18" i="1"/>
  <c r="C17" i="1"/>
  <c r="C16" i="1"/>
  <c r="C15" i="1"/>
  <c r="C14" i="1"/>
  <c r="C12" i="1"/>
  <c r="C11" i="1"/>
  <c r="C10" i="1"/>
  <c r="C9" i="1"/>
  <c r="C8" i="1"/>
  <c r="C27" i="1"/>
  <c r="C26" i="1"/>
  <c r="I20" i="6" a="1"/>
  <c r="I20" i="6"/>
  <c r="P38" i="4"/>
  <c r="E6" i="4" a="1"/>
  <c r="E6" i="4"/>
  <c r="I6" i="4"/>
  <c r="E16" i="4" a="1"/>
  <c r="E16" i="4"/>
  <c r="I16" i="4"/>
  <c r="E15" i="4" a="1"/>
  <c r="E15" i="4"/>
  <c r="I15" i="4"/>
  <c r="E14" i="4" a="1"/>
  <c r="E14" i="4"/>
  <c r="I14" i="4"/>
  <c r="E13" i="4" a="1"/>
  <c r="E13" i="4"/>
  <c r="I13" i="4"/>
  <c r="E12" i="4" a="1"/>
  <c r="E12" i="4"/>
  <c r="I12" i="4"/>
  <c r="E11" i="4" a="1"/>
  <c r="E11" i="4"/>
  <c r="I11" i="4"/>
  <c r="E10" i="4" a="1"/>
  <c r="E10" i="4"/>
  <c r="I10" i="4"/>
  <c r="E9" i="4" a="1"/>
  <c r="E9" i="4"/>
  <c r="I9" i="4"/>
  <c r="E8" i="4" a="1"/>
  <c r="E8" i="4"/>
  <c r="I8" i="4"/>
  <c r="E7" i="4" a="1"/>
  <c r="E7" i="4"/>
  <c r="I7" i="4"/>
  <c r="P18" i="4"/>
  <c r="E18" i="4" a="1"/>
  <c r="E18" i="4"/>
  <c r="T19" i="4"/>
  <c r="T20" i="4"/>
  <c r="P19" i="4"/>
  <c r="P20" i="4"/>
  <c r="I18" i="4"/>
  <c r="P39" i="4"/>
  <c r="P40" i="4"/>
  <c r="V39" i="4"/>
  <c r="V38" i="4"/>
  <c r="V40" i="4"/>
</calcChain>
</file>

<file path=xl/sharedStrings.xml><?xml version="1.0" encoding="utf-8"?>
<sst xmlns="http://schemas.openxmlformats.org/spreadsheetml/2006/main" count="145" uniqueCount="99">
  <si>
    <t>Loan Schedule</t>
  </si>
  <si>
    <t>Buy It</t>
  </si>
  <si>
    <t>Mortgage</t>
  </si>
  <si>
    <t>Sell It</t>
  </si>
  <si>
    <t>MWRR</t>
  </si>
  <si>
    <t>Capital Apprec</t>
  </si>
  <si>
    <t>Date</t>
  </si>
  <si>
    <t>Fed Funds Rate</t>
  </si>
  <si>
    <t>3-Month LIBOR Rate</t>
  </si>
  <si>
    <t>Dec 31 1986</t>
  </si>
  <si>
    <t>Dec 31 1987</t>
  </si>
  <si>
    <t>Dec 30 1988</t>
  </si>
  <si>
    <t>Dec 29 1989</t>
  </si>
  <si>
    <t>Dec 31 1990</t>
  </si>
  <si>
    <t>Dec 31 1991</t>
  </si>
  <si>
    <t>Dec 31 1992</t>
  </si>
  <si>
    <t>Dec 31 1993</t>
  </si>
  <si>
    <t>Dec 30 1994</t>
  </si>
  <si>
    <t>Dec 29 1995</t>
  </si>
  <si>
    <t>Dec 31 1996</t>
  </si>
  <si>
    <t>Dec 31 1997</t>
  </si>
  <si>
    <t>Dec 31 1998</t>
  </si>
  <si>
    <t>Dec 31 1999</t>
  </si>
  <si>
    <t>Dec 29 2000</t>
  </si>
  <si>
    <t>Dec 31 2001</t>
  </si>
  <si>
    <t>Dec 31 2002</t>
  </si>
  <si>
    <t>Dec 31 2003</t>
  </si>
  <si>
    <t>Dec 31 2004</t>
  </si>
  <si>
    <t>Dec 30 2005</t>
  </si>
  <si>
    <t>Jan 31 2006</t>
  </si>
  <si>
    <t>Mar 28 2006</t>
  </si>
  <si>
    <t>May 10 2006</t>
  </si>
  <si>
    <t>Jun 29 2006</t>
  </si>
  <si>
    <t>Sep 18 2007</t>
  </si>
  <si>
    <t>Oct 31 2007</t>
  </si>
  <si>
    <t>Dec 11 2007</t>
  </si>
  <si>
    <t>Jan 22 2008</t>
  </si>
  <si>
    <t>Jan 30 2008</t>
  </si>
  <si>
    <t>Mar 18 2008</t>
  </si>
  <si>
    <t>Apr 30 2008</t>
  </si>
  <si>
    <t>Oct 8 2008</t>
  </si>
  <si>
    <t>Oct 29 2008</t>
  </si>
  <si>
    <t>Dec 16 2008</t>
  </si>
  <si>
    <t>Mar 31 2009</t>
  </si>
  <si>
    <t>Jun 17 2009</t>
  </si>
  <si>
    <t>Dec 18 2009</t>
  </si>
  <si>
    <t>Dec 31 2010</t>
  </si>
  <si>
    <t>Dec 31 2011</t>
  </si>
  <si>
    <t>Dec 31 2012</t>
  </si>
  <si>
    <t>Dec 31 2013</t>
  </si>
  <si>
    <t>Dec 31 2014</t>
  </si>
  <si>
    <t>Dec 31 2015</t>
  </si>
  <si>
    <t>Dec 31 2016</t>
  </si>
  <si>
    <t>Fixed Floors</t>
  </si>
  <si>
    <t>Council Rates</t>
  </si>
  <si>
    <t>Water Charges</t>
  </si>
  <si>
    <t>Property Purchased for:</t>
  </si>
  <si>
    <t>LTV:</t>
  </si>
  <si>
    <t>Corelogic</t>
  </si>
  <si>
    <t>Est Prop Value</t>
  </si>
  <si>
    <t>Bathroom</t>
  </si>
  <si>
    <t>ASX200</t>
  </si>
  <si>
    <t>Index</t>
  </si>
  <si>
    <t>Active</t>
  </si>
  <si>
    <t>Fund</t>
  </si>
  <si>
    <t>No Cashflows</t>
  </si>
  <si>
    <t>Cashflows</t>
  </si>
  <si>
    <t>Growth Factors</t>
  </si>
  <si>
    <t>F(t)</t>
  </si>
  <si>
    <t>F(t-1)</t>
  </si>
  <si>
    <t>Value</t>
  </si>
  <si>
    <t>Post Cashflows</t>
  </si>
  <si>
    <t>TWRR</t>
  </si>
  <si>
    <t>Initial</t>
  </si>
  <si>
    <t>MWRR Cashflows</t>
  </si>
  <si>
    <t>S&amp;P200</t>
  </si>
  <si>
    <t>Quarterly Returns</t>
  </si>
  <si>
    <t>Accumulation</t>
  </si>
  <si>
    <t>Cashflows A</t>
  </si>
  <si>
    <t>DATES</t>
  </si>
  <si>
    <t>IRR Cashflows</t>
  </si>
  <si>
    <t>First Half</t>
  </si>
  <si>
    <t>Second Half</t>
  </si>
  <si>
    <t>Fund Manager</t>
  </si>
  <si>
    <t>Index Return</t>
  </si>
  <si>
    <t>Manager Return</t>
  </si>
  <si>
    <t>Monthly Active</t>
  </si>
  <si>
    <t>Accumulated Active</t>
  </si>
  <si>
    <t>Manager Accum</t>
  </si>
  <si>
    <t>Index Accum</t>
  </si>
  <si>
    <t>Investor A</t>
  </si>
  <si>
    <t>Investor B</t>
  </si>
  <si>
    <t>A</t>
  </si>
  <si>
    <t>B</t>
  </si>
  <si>
    <t>FV(end)</t>
  </si>
  <si>
    <t>Growth</t>
  </si>
  <si>
    <t>A+B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</si>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</sst>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5" formatCode="&quot;$&quot;#,##0;\-&quot;$&quot;#,##0"/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dd/mm/yy;@"/>
    <numFmt numFmtId="166" formatCode="0.0%"/>
    <numFmt numFmtId="167" formatCode="#,##0.0"/>
    <numFmt numFmtId="168" formatCode="0.000%"/>
    <numFmt numFmtId="169" formatCode="d/mm/yy;@"/>
    <numFmt numFmtId="170" formatCode="#,##0.00000_ ;\-#,##0.00000\ "/>
    <numFmt numFmtId="171" formatCode="[$-C09]dd\-mmm\-yy;@"/>
    <numFmt numFmtId="172" formatCode="0.0"/>
    <numFmt numFmtId="173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6"/>
      <color theme="1"/>
      <name val="Calibri"/>
      <scheme val="minor"/>
    </font>
    <font>
      <sz val="14"/>
      <color rgb="FFFF0000"/>
      <name val="Calibri"/>
      <scheme val="minor"/>
    </font>
    <font>
      <sz val="14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0000FF"/>
      <name val="Calibri"/>
      <scheme val="minor"/>
    </font>
    <font>
      <b/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  <font>
      <b/>
      <sz val="20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0">
    <xf numFmtId="0" fontId="0" fillId="0" borderId="0" xfId="0"/>
    <xf numFmtId="165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164" fontId="5" fillId="2" borderId="0" xfId="1" applyNumberFormat="1" applyFont="1" applyFill="1"/>
    <xf numFmtId="15" fontId="5" fillId="2" borderId="0" xfId="0" applyNumberFormat="1" applyFont="1" applyFill="1"/>
    <xf numFmtId="164" fontId="0" fillId="2" borderId="0" xfId="1" applyNumberFormat="1" applyFont="1" applyFill="1"/>
    <xf numFmtId="44" fontId="0" fillId="2" borderId="0" xfId="1" applyNumberFormat="1" applyFont="1" applyFill="1"/>
    <xf numFmtId="3" fontId="2" fillId="2" borderId="0" xfId="0" applyNumberFormat="1" applyFont="1" applyFill="1"/>
    <xf numFmtId="0" fontId="6" fillId="2" borderId="0" xfId="0" applyFont="1" applyFill="1"/>
    <xf numFmtId="10" fontId="5" fillId="2" borderId="0" xfId="2" applyNumberFormat="1" applyFont="1" applyFill="1"/>
    <xf numFmtId="164" fontId="0" fillId="2" borderId="0" xfId="0" applyNumberFormat="1" applyFill="1"/>
    <xf numFmtId="0" fontId="7" fillId="2" borderId="0" xfId="0" applyFont="1" applyFill="1"/>
    <xf numFmtId="0" fontId="2" fillId="2" borderId="0" xfId="0" applyFont="1" applyFill="1"/>
    <xf numFmtId="0" fontId="8" fillId="2" borderId="0" xfId="0" applyFont="1" applyFill="1"/>
    <xf numFmtId="164" fontId="8" fillId="2" borderId="0" xfId="1" applyNumberFormat="1" applyFont="1" applyFill="1"/>
    <xf numFmtId="9" fontId="8" fillId="2" borderId="0" xfId="2" applyFont="1" applyFill="1"/>
    <xf numFmtId="0" fontId="9" fillId="2" borderId="0" xfId="0" applyFont="1" applyFill="1"/>
    <xf numFmtId="5" fontId="9" fillId="2" borderId="0" xfId="1" applyNumberFormat="1" applyFont="1" applyFill="1"/>
    <xf numFmtId="15" fontId="9" fillId="2" borderId="0" xfId="0" applyNumberFormat="1" applyFont="1" applyFill="1"/>
    <xf numFmtId="0" fontId="10" fillId="2" borderId="0" xfId="0" applyFont="1" applyFill="1"/>
    <xf numFmtId="5" fontId="10" fillId="2" borderId="0" xfId="1" applyNumberFormat="1" applyFont="1" applyFill="1"/>
    <xf numFmtId="15" fontId="10" fillId="2" borderId="0" xfId="0" applyNumberFormat="1" applyFont="1" applyFill="1"/>
    <xf numFmtId="2" fontId="0" fillId="2" borderId="0" xfId="0" applyNumberFormat="1" applyFill="1"/>
    <xf numFmtId="9" fontId="2" fillId="2" borderId="0" xfId="0" applyNumberFormat="1" applyFont="1" applyFill="1"/>
    <xf numFmtId="44" fontId="2" fillId="2" borderId="0" xfId="0" applyNumberFormat="1" applyFont="1" applyFill="1"/>
    <xf numFmtId="44" fontId="5" fillId="2" borderId="0" xfId="1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6" fontId="0" fillId="2" borderId="0" xfId="2" applyNumberFormat="1" applyFont="1" applyFill="1"/>
    <xf numFmtId="10" fontId="0" fillId="2" borderId="0" xfId="2" applyNumberFormat="1" applyFont="1" applyFill="1"/>
    <xf numFmtId="3" fontId="0" fillId="2" borderId="0" xfId="0" applyNumberFormat="1" applyFill="1"/>
    <xf numFmtId="0" fontId="2" fillId="3" borderId="0" xfId="0" applyFont="1" applyFill="1" applyAlignment="1">
      <alignment horizontal="center" wrapText="1"/>
    </xf>
    <xf numFmtId="3" fontId="0" fillId="3" borderId="0" xfId="1" applyNumberFormat="1" applyFont="1" applyFill="1"/>
    <xf numFmtId="0" fontId="0" fillId="3" borderId="0" xfId="0" applyFill="1"/>
    <xf numFmtId="0" fontId="2" fillId="4" borderId="0" xfId="0" applyFont="1" applyFill="1" applyAlignment="1">
      <alignment horizontal="center" wrapText="1"/>
    </xf>
    <xf numFmtId="3" fontId="0" fillId="4" borderId="0" xfId="1" applyNumberFormat="1" applyFont="1" applyFill="1"/>
    <xf numFmtId="0" fontId="0" fillId="4" borderId="0" xfId="0" applyFill="1"/>
    <xf numFmtId="167" fontId="0" fillId="3" borderId="0" xfId="1" applyNumberFormat="1" applyFont="1" applyFill="1"/>
    <xf numFmtId="167" fontId="0" fillId="4" borderId="0" xfId="1" applyNumberFormat="1" applyFont="1" applyFill="1"/>
    <xf numFmtId="0" fontId="2" fillId="3" borderId="0" xfId="0" applyFont="1" applyFill="1" applyAlignment="1">
      <alignment horizontal="right"/>
    </xf>
    <xf numFmtId="10" fontId="2" fillId="3" borderId="0" xfId="2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10" fontId="2" fillId="4" borderId="0" xfId="2" applyNumberFormat="1" applyFont="1" applyFill="1"/>
    <xf numFmtId="169" fontId="2" fillId="2" borderId="0" xfId="0" applyNumberFormat="1" applyFont="1" applyFill="1"/>
    <xf numFmtId="4" fontId="11" fillId="2" borderId="0" xfId="0" applyNumberFormat="1" applyFont="1" applyFill="1"/>
    <xf numFmtId="0" fontId="11" fillId="2" borderId="0" xfId="0" applyFont="1" applyFill="1"/>
    <xf numFmtId="0" fontId="12" fillId="2" borderId="0" xfId="0" applyFont="1" applyFill="1"/>
    <xf numFmtId="17" fontId="2" fillId="2" borderId="0" xfId="0" applyNumberFormat="1" applyFont="1" applyFill="1"/>
    <xf numFmtId="3" fontId="2" fillId="2" borderId="0" xfId="0" applyNumberFormat="1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10" fontId="2" fillId="2" borderId="0" xfId="2" applyNumberFormat="1" applyFont="1" applyFill="1" applyAlignment="1">
      <alignment horizontal="center"/>
    </xf>
    <xf numFmtId="10" fontId="0" fillId="2" borderId="0" xfId="2" applyNumberFormat="1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3" fontId="0" fillId="5" borderId="0" xfId="0" applyNumberFormat="1" applyFill="1"/>
    <xf numFmtId="169" fontId="2" fillId="5" borderId="0" xfId="0" applyNumberFormat="1" applyFont="1" applyFill="1"/>
    <xf numFmtId="0" fontId="0" fillId="5" borderId="0" xfId="0" applyFill="1"/>
    <xf numFmtId="0" fontId="2" fillId="5" borderId="0" xfId="0" applyFont="1" applyFill="1"/>
    <xf numFmtId="10" fontId="2" fillId="5" borderId="0" xfId="2" applyNumberFormat="1" applyFont="1" applyFill="1"/>
    <xf numFmtId="10" fontId="0" fillId="5" borderId="0" xfId="0" applyNumberFormat="1" applyFill="1"/>
    <xf numFmtId="0" fontId="0" fillId="3" borderId="0" xfId="0" applyFill="1" applyAlignment="1">
      <alignment horizontal="center" wrapText="1"/>
    </xf>
    <xf numFmtId="164" fontId="0" fillId="3" borderId="0" xfId="1" applyNumberFormat="1" applyFont="1" applyFill="1"/>
    <xf numFmtId="3" fontId="0" fillId="3" borderId="0" xfId="0" applyNumberFormat="1" applyFill="1"/>
    <xf numFmtId="170" fontId="0" fillId="3" borderId="0" xfId="0" applyNumberFormat="1" applyFill="1"/>
    <xf numFmtId="0" fontId="2" fillId="3" borderId="0" xfId="0" applyFont="1" applyFill="1"/>
    <xf numFmtId="10" fontId="0" fillId="3" borderId="0" xfId="0" applyNumberFormat="1" applyFill="1"/>
    <xf numFmtId="3" fontId="2" fillId="5" borderId="0" xfId="0" applyNumberFormat="1" applyFont="1" applyFill="1"/>
    <xf numFmtId="0" fontId="13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10" fontId="2" fillId="2" borderId="0" xfId="0" applyNumberFormat="1" applyFont="1" applyFill="1" applyAlignment="1">
      <alignment horizontal="center"/>
    </xf>
    <xf numFmtId="10" fontId="2" fillId="5" borderId="0" xfId="0" applyNumberFormat="1" applyFont="1" applyFill="1"/>
    <xf numFmtId="10" fontId="2" fillId="3" borderId="0" xfId="0" applyNumberFormat="1" applyFont="1" applyFill="1"/>
    <xf numFmtId="10" fontId="13" fillId="2" borderId="2" xfId="0" applyNumberFormat="1" applyFont="1" applyFill="1" applyBorder="1" applyAlignment="1">
      <alignment horizontal="center"/>
    </xf>
    <xf numFmtId="10" fontId="13" fillId="2" borderId="3" xfId="0" applyNumberFormat="1" applyFont="1" applyFill="1" applyBorder="1" applyAlignment="1">
      <alignment horizontal="center"/>
    </xf>
    <xf numFmtId="10" fontId="15" fillId="2" borderId="3" xfId="0" applyNumberFormat="1" applyFont="1" applyFill="1" applyBorder="1" applyAlignment="1">
      <alignment horizontal="center"/>
    </xf>
    <xf numFmtId="10" fontId="15" fillId="2" borderId="4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13" fillId="2" borderId="2" xfId="2" applyNumberFormat="1" applyFont="1" applyFill="1" applyBorder="1" applyAlignment="1">
      <alignment horizontal="center"/>
    </xf>
    <xf numFmtId="10" fontId="13" fillId="2" borderId="3" xfId="2" applyNumberFormat="1" applyFont="1" applyFill="1" applyBorder="1" applyAlignment="1">
      <alignment horizontal="center"/>
    </xf>
    <xf numFmtId="10" fontId="13" fillId="2" borderId="4" xfId="2" applyNumberFormat="1" applyFont="1" applyFill="1" applyBorder="1" applyAlignment="1">
      <alignment horizontal="center"/>
    </xf>
    <xf numFmtId="10" fontId="2" fillId="2" borderId="1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2" borderId="0" xfId="2" applyNumberFormat="1" applyFont="1" applyFill="1" applyAlignment="1">
      <alignment horizontal="center"/>
    </xf>
    <xf numFmtId="10" fontId="14" fillId="2" borderId="2" xfId="2" applyNumberFormat="1" applyFont="1" applyFill="1" applyBorder="1" applyAlignment="1">
      <alignment horizontal="center"/>
    </xf>
    <xf numFmtId="10" fontId="14" fillId="2" borderId="3" xfId="2" applyNumberFormat="1" applyFont="1" applyFill="1" applyBorder="1" applyAlignment="1">
      <alignment horizontal="center"/>
    </xf>
    <xf numFmtId="10" fontId="14" fillId="2" borderId="4" xfId="2" applyNumberFormat="1" applyFont="1" applyFill="1" applyBorder="1" applyAlignment="1">
      <alignment horizontal="center"/>
    </xf>
    <xf numFmtId="168" fontId="2" fillId="2" borderId="0" xfId="2" applyNumberFormat="1" applyFont="1" applyFill="1"/>
    <xf numFmtId="171" fontId="0" fillId="2" borderId="0" xfId="0" applyNumberFormat="1" applyFill="1"/>
    <xf numFmtId="3" fontId="2" fillId="4" borderId="0" xfId="0" applyNumberFormat="1" applyFont="1" applyFill="1"/>
    <xf numFmtId="3" fontId="0" fillId="4" borderId="0" xfId="0" applyNumberFormat="1" applyFill="1"/>
    <xf numFmtId="169" fontId="2" fillId="4" borderId="0" xfId="0" applyNumberFormat="1" applyFont="1" applyFill="1"/>
    <xf numFmtId="10" fontId="0" fillId="4" borderId="0" xfId="0" applyNumberFormat="1" applyFill="1"/>
    <xf numFmtId="10" fontId="2" fillId="4" borderId="0" xfId="0" applyNumberFormat="1" applyFont="1" applyFill="1"/>
    <xf numFmtId="0" fontId="8" fillId="4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0" fillId="2" borderId="5" xfId="0" applyFill="1" applyBorder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16" fillId="4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172" fontId="0" fillId="3" borderId="0" xfId="0" applyNumberFormat="1" applyFill="1"/>
    <xf numFmtId="172" fontId="0" fillId="3" borderId="0" xfId="2" applyNumberFormat="1" applyFont="1" applyFill="1"/>
    <xf numFmtId="173" fontId="0" fillId="3" borderId="0" xfId="0" applyNumberFormat="1" applyFill="1"/>
    <xf numFmtId="166" fontId="2" fillId="3" borderId="0" xfId="2" applyNumberFormat="1" applyFont="1" applyFill="1"/>
    <xf numFmtId="0" fontId="2" fillId="3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72" fontId="0" fillId="4" borderId="0" xfId="0" applyNumberFormat="1" applyFill="1"/>
    <xf numFmtId="172" fontId="0" fillId="4" borderId="0" xfId="2" applyNumberFormat="1" applyFont="1" applyFill="1"/>
    <xf numFmtId="173" fontId="0" fillId="4" borderId="0" xfId="0" applyNumberFormat="1" applyFill="1"/>
    <xf numFmtId="166" fontId="2" fillId="4" borderId="0" xfId="2" applyNumberFormat="1" applyFont="1" applyFill="1"/>
    <xf numFmtId="0" fontId="2" fillId="4" borderId="5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 wrapText="1"/>
    </xf>
    <xf numFmtId="3" fontId="0" fillId="6" borderId="0" xfId="0" applyNumberFormat="1" applyFill="1"/>
    <xf numFmtId="169" fontId="0" fillId="6" borderId="0" xfId="0" applyNumberFormat="1" applyFill="1"/>
    <xf numFmtId="10" fontId="2" fillId="6" borderId="0" xfId="2" applyNumberFormat="1" applyFont="1" applyFill="1"/>
    <xf numFmtId="10" fontId="0" fillId="6" borderId="0" xfId="0" applyNumberFormat="1" applyFill="1"/>
    <xf numFmtId="0" fontId="2" fillId="6" borderId="0" xfId="0" applyFont="1" applyFill="1"/>
    <xf numFmtId="0" fontId="2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10" fontId="2" fillId="6" borderId="0" xfId="0" applyNumberFormat="1" applyFont="1" applyFill="1"/>
    <xf numFmtId="3" fontId="2" fillId="6" borderId="0" xfId="0" applyNumberFormat="1" applyFont="1" applyFill="1"/>
    <xf numFmtId="0" fontId="17" fillId="3" borderId="0" xfId="0" applyFont="1" applyFill="1"/>
    <xf numFmtId="3" fontId="2" fillId="4" borderId="0" xfId="0" applyNumberFormat="1" applyFont="1" applyFill="1" applyAlignment="1">
      <alignment vertical="center"/>
    </xf>
    <xf numFmtId="3" fontId="0" fillId="4" borderId="0" xfId="0" applyNumberFormat="1" applyFill="1" applyAlignment="1">
      <alignment vertical="center"/>
    </xf>
    <xf numFmtId="169" fontId="2" fillId="4" borderId="0" xfId="0" applyNumberFormat="1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3" fontId="2" fillId="6" borderId="0" xfId="0" applyNumberFormat="1" applyFont="1" applyFill="1" applyAlignment="1">
      <alignment vertical="center"/>
    </xf>
    <xf numFmtId="3" fontId="0" fillId="6" borderId="0" xfId="0" applyNumberFormat="1" applyFill="1" applyAlignment="1">
      <alignment vertical="center"/>
    </xf>
    <xf numFmtId="169" fontId="0" fillId="6" borderId="0" xfId="0" applyNumberFormat="1" applyFill="1" applyAlignment="1">
      <alignment vertical="center"/>
    </xf>
    <xf numFmtId="0" fontId="1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87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</a:t>
            </a:r>
            <a:r>
              <a:rPr lang="en-US" baseline="0"/>
              <a:t> of Returns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11479381877348"/>
          <c:y val="0.103268750539418"/>
          <c:w val="0.903539618684928"/>
          <c:h val="0.839329644722117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'Funds Manager'!$D$3</c:f>
              <c:strCache>
                <c:ptCount val="1"/>
                <c:pt idx="0">
                  <c:v>Index Return</c:v>
                </c:pt>
              </c:strCache>
            </c:strRef>
          </c:tx>
          <c:invertIfNegative val="0"/>
          <c:cat>
            <c:numRef>
              <c:f>'Funds Manager'!$B$4:$B$16</c:f>
              <c:numCache>
                <c:formatCode>d/mm/yy;@</c:formatCode>
                <c:ptCount val="13"/>
                <c:pt idx="0">
                  <c:v>42613.0</c:v>
                </c:pt>
                <c:pt idx="1">
                  <c:v>42643.0</c:v>
                </c:pt>
                <c:pt idx="2">
                  <c:v>42674.0</c:v>
                </c:pt>
                <c:pt idx="3">
                  <c:v>42704.0</c:v>
                </c:pt>
                <c:pt idx="4">
                  <c:v>42735.0</c:v>
                </c:pt>
                <c:pt idx="5">
                  <c:v>42766.0</c:v>
                </c:pt>
                <c:pt idx="6">
                  <c:v>42794.0</c:v>
                </c:pt>
                <c:pt idx="7">
                  <c:v>42825.0</c:v>
                </c:pt>
                <c:pt idx="8">
                  <c:v>42855.0</c:v>
                </c:pt>
                <c:pt idx="9">
                  <c:v>42886.0</c:v>
                </c:pt>
                <c:pt idx="10">
                  <c:v>42916.0</c:v>
                </c:pt>
                <c:pt idx="11">
                  <c:v>42947.0</c:v>
                </c:pt>
                <c:pt idx="12">
                  <c:v>42978.0</c:v>
                </c:pt>
              </c:numCache>
            </c:numRef>
          </c:cat>
          <c:val>
            <c:numRef>
              <c:f>'Funds Manager'!$D$4:$D$16</c:f>
              <c:numCache>
                <c:formatCode>0.00%</c:formatCode>
                <c:ptCount val="13"/>
                <c:pt idx="1">
                  <c:v>0.00443237060337442</c:v>
                </c:pt>
                <c:pt idx="2">
                  <c:v>-0.0214946619217082</c:v>
                </c:pt>
                <c:pt idx="3">
                  <c:v>0.0297393906646162</c:v>
                </c:pt>
                <c:pt idx="4">
                  <c:v>0.0430886597105895</c:v>
                </c:pt>
                <c:pt idx="5">
                  <c:v>-0.00791347418930421</c:v>
                </c:pt>
                <c:pt idx="6">
                  <c:v>0.022213554363725</c:v>
                </c:pt>
                <c:pt idx="7">
                  <c:v>0.0327965810661273</c:v>
                </c:pt>
                <c:pt idx="8">
                  <c:v>0.0103448912862765</c:v>
                </c:pt>
                <c:pt idx="9">
                  <c:v>-0.0277183551825645</c:v>
                </c:pt>
                <c:pt idx="10">
                  <c:v>0.00112830735092229</c:v>
                </c:pt>
                <c:pt idx="11">
                  <c:v>-0.000112703570824824</c:v>
                </c:pt>
                <c:pt idx="12">
                  <c:v>0.0142548514963086</c:v>
                </c:pt>
              </c:numCache>
            </c:numRef>
          </c:val>
        </c:ser>
        <c:ser>
          <c:idx val="1"/>
          <c:order val="4"/>
          <c:tx>
            <c:strRef>
              <c:f>'Funds Manager'!$F$3</c:f>
              <c:strCache>
                <c:ptCount val="1"/>
                <c:pt idx="0">
                  <c:v>Manager Return</c:v>
                </c:pt>
              </c:strCache>
            </c:strRef>
          </c:tx>
          <c:invertIfNegative val="0"/>
          <c:cat>
            <c:numRef>
              <c:f>'Funds Manager'!$B$4:$B$16</c:f>
              <c:numCache>
                <c:formatCode>d/mm/yy;@</c:formatCode>
                <c:ptCount val="13"/>
                <c:pt idx="0">
                  <c:v>42613.0</c:v>
                </c:pt>
                <c:pt idx="1">
                  <c:v>42643.0</c:v>
                </c:pt>
                <c:pt idx="2">
                  <c:v>42674.0</c:v>
                </c:pt>
                <c:pt idx="3">
                  <c:v>42704.0</c:v>
                </c:pt>
                <c:pt idx="4">
                  <c:v>42735.0</c:v>
                </c:pt>
                <c:pt idx="5">
                  <c:v>42766.0</c:v>
                </c:pt>
                <c:pt idx="6">
                  <c:v>42794.0</c:v>
                </c:pt>
                <c:pt idx="7">
                  <c:v>42825.0</c:v>
                </c:pt>
                <c:pt idx="8">
                  <c:v>42855.0</c:v>
                </c:pt>
                <c:pt idx="9">
                  <c:v>42886.0</c:v>
                </c:pt>
                <c:pt idx="10">
                  <c:v>42916.0</c:v>
                </c:pt>
                <c:pt idx="11">
                  <c:v>42947.0</c:v>
                </c:pt>
                <c:pt idx="12">
                  <c:v>42978.0</c:v>
                </c:pt>
              </c:numCache>
            </c:numRef>
          </c:cat>
          <c:val>
            <c:numRef>
              <c:f>'Funds Manager'!$F$4:$F$16</c:f>
              <c:numCache>
                <c:formatCode>0.00%</c:formatCode>
                <c:ptCount val="13"/>
                <c:pt idx="1">
                  <c:v>0.007</c:v>
                </c:pt>
                <c:pt idx="2">
                  <c:v>-0.01</c:v>
                </c:pt>
                <c:pt idx="3">
                  <c:v>0.046</c:v>
                </c:pt>
                <c:pt idx="4">
                  <c:v>0.0435</c:v>
                </c:pt>
                <c:pt idx="5">
                  <c:v>-0.007</c:v>
                </c:pt>
                <c:pt idx="6">
                  <c:v>0.021</c:v>
                </c:pt>
                <c:pt idx="7">
                  <c:v>0.05</c:v>
                </c:pt>
                <c:pt idx="8">
                  <c:v>0.011</c:v>
                </c:pt>
                <c:pt idx="9">
                  <c:v>-0.025</c:v>
                </c:pt>
                <c:pt idx="10">
                  <c:v>0.005</c:v>
                </c:pt>
                <c:pt idx="11">
                  <c:v>-0.03</c:v>
                </c:pt>
                <c:pt idx="12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213688"/>
        <c:axId val="2080217080"/>
      </c:barChart>
      <c:lineChart>
        <c:grouping val="standard"/>
        <c:varyColors val="0"/>
        <c:ser>
          <c:idx val="2"/>
          <c:order val="0"/>
          <c:tx>
            <c:strRef>
              <c:f>'Funds Manager'!$E$3</c:f>
              <c:strCache>
                <c:ptCount val="1"/>
                <c:pt idx="0">
                  <c:v>Index Accum</c:v>
                </c:pt>
              </c:strCache>
            </c:strRef>
          </c:tx>
          <c:marker>
            <c:symbol val="none"/>
          </c:marker>
          <c:cat>
            <c:numRef>
              <c:f>'Funds Manager'!$B$4:$B$16</c:f>
              <c:numCache>
                <c:formatCode>d/mm/yy;@</c:formatCode>
                <c:ptCount val="13"/>
                <c:pt idx="0">
                  <c:v>42613.0</c:v>
                </c:pt>
                <c:pt idx="1">
                  <c:v>42643.0</c:v>
                </c:pt>
                <c:pt idx="2">
                  <c:v>42674.0</c:v>
                </c:pt>
                <c:pt idx="3">
                  <c:v>42704.0</c:v>
                </c:pt>
                <c:pt idx="4">
                  <c:v>42735.0</c:v>
                </c:pt>
                <c:pt idx="5">
                  <c:v>42766.0</c:v>
                </c:pt>
                <c:pt idx="6">
                  <c:v>42794.0</c:v>
                </c:pt>
                <c:pt idx="7">
                  <c:v>42825.0</c:v>
                </c:pt>
                <c:pt idx="8">
                  <c:v>42855.0</c:v>
                </c:pt>
                <c:pt idx="9">
                  <c:v>42886.0</c:v>
                </c:pt>
                <c:pt idx="10">
                  <c:v>42916.0</c:v>
                </c:pt>
                <c:pt idx="11">
                  <c:v>42947.0</c:v>
                </c:pt>
                <c:pt idx="12">
                  <c:v>42978.0</c:v>
                </c:pt>
              </c:numCache>
            </c:numRef>
          </c:cat>
          <c:val>
            <c:numRef>
              <c:f>'Funds Manager'!$E$4:$E$16</c:f>
              <c:numCache>
                <c:formatCode>0.00%</c:formatCode>
                <c:ptCount val="13"/>
                <c:pt idx="1">
                  <c:v>0.00443237060337442</c:v>
                </c:pt>
                <c:pt idx="2">
                  <c:v>-0.0171575636259651</c:v>
                </c:pt>
                <c:pt idx="3">
                  <c:v>0.0120715715511255</c:v>
                </c:pt>
                <c:pt idx="4">
                  <c:v>0.0556803791004534</c:v>
                </c:pt>
                <c:pt idx="5">
                  <c:v>0.0473262796682872</c:v>
                </c:pt>
                <c:pt idx="6">
                  <c:v>0.0705911189182564</c:v>
                </c:pt>
                <c:pt idx="7">
                  <c:v>0.105702847338535</c:v>
                </c:pt>
                <c:pt idx="8">
                  <c:v>0.117141223089178</c:v>
                </c:pt>
                <c:pt idx="9">
                  <c:v>0.0861759058785081</c:v>
                </c:pt>
                <c:pt idx="10">
                  <c:v>0.0874014461375054</c:v>
                </c:pt>
                <c:pt idx="11">
                  <c:v>0.0872788921116056</c:v>
                </c:pt>
                <c:pt idx="12">
                  <c:v>0.102777891253728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'Funds Manager'!$G$3</c:f>
              <c:strCache>
                <c:ptCount val="1"/>
                <c:pt idx="0">
                  <c:v>Manager Accum</c:v>
                </c:pt>
              </c:strCache>
            </c:strRef>
          </c:tx>
          <c:marker>
            <c:symbol val="none"/>
          </c:marker>
          <c:cat>
            <c:numRef>
              <c:f>'Funds Manager'!$B$4:$B$16</c:f>
              <c:numCache>
                <c:formatCode>d/mm/yy;@</c:formatCode>
                <c:ptCount val="13"/>
                <c:pt idx="0">
                  <c:v>42613.0</c:v>
                </c:pt>
                <c:pt idx="1">
                  <c:v>42643.0</c:v>
                </c:pt>
                <c:pt idx="2">
                  <c:v>42674.0</c:v>
                </c:pt>
                <c:pt idx="3">
                  <c:v>42704.0</c:v>
                </c:pt>
                <c:pt idx="4">
                  <c:v>42735.0</c:v>
                </c:pt>
                <c:pt idx="5">
                  <c:v>42766.0</c:v>
                </c:pt>
                <c:pt idx="6">
                  <c:v>42794.0</c:v>
                </c:pt>
                <c:pt idx="7">
                  <c:v>42825.0</c:v>
                </c:pt>
                <c:pt idx="8">
                  <c:v>42855.0</c:v>
                </c:pt>
                <c:pt idx="9">
                  <c:v>42886.0</c:v>
                </c:pt>
                <c:pt idx="10">
                  <c:v>42916.0</c:v>
                </c:pt>
                <c:pt idx="11">
                  <c:v>42947.0</c:v>
                </c:pt>
                <c:pt idx="12">
                  <c:v>42978.0</c:v>
                </c:pt>
              </c:numCache>
            </c:numRef>
          </c:cat>
          <c:val>
            <c:numRef>
              <c:f>'Funds Manager'!$G$4:$G$16</c:f>
              <c:numCache>
                <c:formatCode>0.00%</c:formatCode>
                <c:ptCount val="13"/>
                <c:pt idx="1">
                  <c:v>0.007</c:v>
                </c:pt>
                <c:pt idx="2">
                  <c:v>-0.00307000000000013</c:v>
                </c:pt>
                <c:pt idx="3">
                  <c:v>0.04278878</c:v>
                </c:pt>
                <c:pt idx="4">
                  <c:v>0.08815009193</c:v>
                </c:pt>
                <c:pt idx="5">
                  <c:v>0.08053304128649</c:v>
                </c:pt>
                <c:pt idx="6">
                  <c:v>0.103224235153506</c:v>
                </c:pt>
                <c:pt idx="7">
                  <c:v>0.158385446911182</c:v>
                </c:pt>
                <c:pt idx="8">
                  <c:v>0.171127686827204</c:v>
                </c:pt>
                <c:pt idx="9">
                  <c:v>0.141849494656524</c:v>
                </c:pt>
                <c:pt idx="10">
                  <c:v>0.147558742129807</c:v>
                </c:pt>
                <c:pt idx="11">
                  <c:v>0.113131979865912</c:v>
                </c:pt>
                <c:pt idx="12">
                  <c:v>0.124263299664572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'Funds Manager'!$I$3</c:f>
              <c:strCache>
                <c:ptCount val="1"/>
                <c:pt idx="0">
                  <c:v>Accumulated Active</c:v>
                </c:pt>
              </c:strCache>
            </c:strRef>
          </c:tx>
          <c:marker>
            <c:symbol val="none"/>
          </c:marker>
          <c:cat>
            <c:numRef>
              <c:f>'Funds Manager'!$B$4:$B$16</c:f>
              <c:numCache>
                <c:formatCode>d/mm/yy;@</c:formatCode>
                <c:ptCount val="13"/>
                <c:pt idx="0">
                  <c:v>42613.0</c:v>
                </c:pt>
                <c:pt idx="1">
                  <c:v>42643.0</c:v>
                </c:pt>
                <c:pt idx="2">
                  <c:v>42674.0</c:v>
                </c:pt>
                <c:pt idx="3">
                  <c:v>42704.0</c:v>
                </c:pt>
                <c:pt idx="4">
                  <c:v>42735.0</c:v>
                </c:pt>
                <c:pt idx="5">
                  <c:v>42766.0</c:v>
                </c:pt>
                <c:pt idx="6">
                  <c:v>42794.0</c:v>
                </c:pt>
                <c:pt idx="7">
                  <c:v>42825.0</c:v>
                </c:pt>
                <c:pt idx="8">
                  <c:v>42855.0</c:v>
                </c:pt>
                <c:pt idx="9">
                  <c:v>42886.0</c:v>
                </c:pt>
                <c:pt idx="10">
                  <c:v>42916.0</c:v>
                </c:pt>
                <c:pt idx="11">
                  <c:v>42947.0</c:v>
                </c:pt>
                <c:pt idx="12">
                  <c:v>42978.0</c:v>
                </c:pt>
              </c:numCache>
            </c:numRef>
          </c:cat>
          <c:val>
            <c:numRef>
              <c:f>'Funds Manager'!$I$4:$I$16</c:f>
              <c:numCache>
                <c:formatCode>0.00%</c:formatCode>
                <c:ptCount val="13"/>
                <c:pt idx="1">
                  <c:v>0.00256762939662557</c:v>
                </c:pt>
                <c:pt idx="2">
                  <c:v>0.014087563625965</c:v>
                </c:pt>
                <c:pt idx="3">
                  <c:v>0.0307172084488745</c:v>
                </c:pt>
                <c:pt idx="4">
                  <c:v>0.0324697128295466</c:v>
                </c:pt>
                <c:pt idx="5">
                  <c:v>0.0332067616182028</c:v>
                </c:pt>
                <c:pt idx="6">
                  <c:v>0.0326331162352498</c:v>
                </c:pt>
                <c:pt idx="7">
                  <c:v>0.0526825995726467</c:v>
                </c:pt>
                <c:pt idx="8">
                  <c:v>0.0539864637380261</c:v>
                </c:pt>
                <c:pt idx="9">
                  <c:v>0.0556735887780162</c:v>
                </c:pt>
                <c:pt idx="10">
                  <c:v>0.0601572959923013</c:v>
                </c:pt>
                <c:pt idx="11">
                  <c:v>0.0258530877543068</c:v>
                </c:pt>
                <c:pt idx="12">
                  <c:v>0.021485408410844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213688"/>
        <c:axId val="2080217080"/>
      </c:lineChart>
      <c:dateAx>
        <c:axId val="2080213688"/>
        <c:scaling>
          <c:orientation val="minMax"/>
        </c:scaling>
        <c:delete val="0"/>
        <c:axPos val="b"/>
        <c:numFmt formatCode="d/mm/yy;@" sourceLinked="1"/>
        <c:majorTickMark val="out"/>
        <c:minorTickMark val="none"/>
        <c:tickLblPos val="low"/>
        <c:crossAx val="2080217080"/>
        <c:crosses val="autoZero"/>
        <c:auto val="1"/>
        <c:lblOffset val="100"/>
        <c:baseTimeUnit val="months"/>
      </c:dateAx>
      <c:valAx>
        <c:axId val="2080217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213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019880645503"/>
          <c:y val="0.162774711067902"/>
          <c:w val="0.155571008320046"/>
          <c:h val="0.227405413656326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36149690205271"/>
          <c:y val="0.0294406525660623"/>
          <c:w val="0.880907463594705"/>
          <c:h val="0.913157742695473"/>
        </c:manualLayout>
      </c:layout>
      <c:lineChart>
        <c:grouping val="standard"/>
        <c:varyColors val="0"/>
        <c:ser>
          <c:idx val="0"/>
          <c:order val="0"/>
          <c:tx>
            <c:strRef>
              <c:f>'Libor Rates'!$B$1</c:f>
              <c:strCache>
                <c:ptCount val="1"/>
                <c:pt idx="0">
                  <c:v>Fed Funds Rate</c:v>
                </c:pt>
              </c:strCache>
            </c:strRef>
          </c:tx>
          <c:spPr>
            <a:ln w="22225">
              <a:prstDash val="lgDash"/>
            </a:ln>
          </c:spPr>
          <c:marker>
            <c:symbol val="none"/>
          </c:marker>
          <c:cat>
            <c:strRef>
              <c:f>'Libor Rates'!$A$2:$A$45</c:f>
              <c:strCache>
                <c:ptCount val="44"/>
                <c:pt idx="0">
                  <c:v>Dec 31 1986</c:v>
                </c:pt>
                <c:pt idx="1">
                  <c:v>Dec 31 1987</c:v>
                </c:pt>
                <c:pt idx="2">
                  <c:v>Dec 30 1988</c:v>
                </c:pt>
                <c:pt idx="3">
                  <c:v>Dec 29 1989</c:v>
                </c:pt>
                <c:pt idx="4">
                  <c:v>Dec 31 1990</c:v>
                </c:pt>
                <c:pt idx="5">
                  <c:v>Dec 31 1991</c:v>
                </c:pt>
                <c:pt idx="6">
                  <c:v>Dec 31 1992</c:v>
                </c:pt>
                <c:pt idx="7">
                  <c:v>Dec 31 1993</c:v>
                </c:pt>
                <c:pt idx="8">
                  <c:v>Dec 30 1994</c:v>
                </c:pt>
                <c:pt idx="9">
                  <c:v>Dec 29 1995</c:v>
                </c:pt>
                <c:pt idx="10">
                  <c:v>Dec 31 1996</c:v>
                </c:pt>
                <c:pt idx="11">
                  <c:v>Dec 31 1997</c:v>
                </c:pt>
                <c:pt idx="12">
                  <c:v>Dec 31 1998</c:v>
                </c:pt>
                <c:pt idx="13">
                  <c:v>Dec 31 1999</c:v>
                </c:pt>
                <c:pt idx="14">
                  <c:v>Dec 29 2000</c:v>
                </c:pt>
                <c:pt idx="15">
                  <c:v>Dec 31 2001</c:v>
                </c:pt>
                <c:pt idx="16">
                  <c:v>Dec 31 2002</c:v>
                </c:pt>
                <c:pt idx="17">
                  <c:v>Dec 31 2003</c:v>
                </c:pt>
                <c:pt idx="18">
                  <c:v>Dec 31 2004</c:v>
                </c:pt>
                <c:pt idx="19">
                  <c:v>Dec 30 2005</c:v>
                </c:pt>
                <c:pt idx="20">
                  <c:v>Jan 31 2006</c:v>
                </c:pt>
                <c:pt idx="21">
                  <c:v>Mar 28 2006</c:v>
                </c:pt>
                <c:pt idx="22">
                  <c:v>May 10 2006</c:v>
                </c:pt>
                <c:pt idx="23">
                  <c:v>Jun 29 2006</c:v>
                </c:pt>
                <c:pt idx="24">
                  <c:v>Sep 18 2007</c:v>
                </c:pt>
                <c:pt idx="25">
                  <c:v>Oct 31 2007</c:v>
                </c:pt>
                <c:pt idx="26">
                  <c:v>Dec 11 2007</c:v>
                </c:pt>
                <c:pt idx="27">
                  <c:v>Jan 22 2008</c:v>
                </c:pt>
                <c:pt idx="28">
                  <c:v>Jan 30 2008</c:v>
                </c:pt>
                <c:pt idx="29">
                  <c:v>Mar 18 2008</c:v>
                </c:pt>
                <c:pt idx="30">
                  <c:v>Apr 30 2008</c:v>
                </c:pt>
                <c:pt idx="31">
                  <c:v>Oct 8 2008</c:v>
                </c:pt>
                <c:pt idx="32">
                  <c:v>Oct 29 2008</c:v>
                </c:pt>
                <c:pt idx="33">
                  <c:v>Dec 16 2008</c:v>
                </c:pt>
                <c:pt idx="34">
                  <c:v>Mar 31 2009</c:v>
                </c:pt>
                <c:pt idx="35">
                  <c:v>Jun 17 2009</c:v>
                </c:pt>
                <c:pt idx="36">
                  <c:v>Dec 18 2009</c:v>
                </c:pt>
                <c:pt idx="37">
                  <c:v>Dec 31 2010</c:v>
                </c:pt>
                <c:pt idx="38">
                  <c:v>Dec 31 2011</c:v>
                </c:pt>
                <c:pt idx="39">
                  <c:v>Dec 31 2012</c:v>
                </c:pt>
                <c:pt idx="40">
                  <c:v>Dec 31 2013</c:v>
                </c:pt>
                <c:pt idx="41">
                  <c:v>Dec 31 2014</c:v>
                </c:pt>
                <c:pt idx="42">
                  <c:v>Dec 31 2015</c:v>
                </c:pt>
                <c:pt idx="43">
                  <c:v>Dec 31 2016</c:v>
                </c:pt>
              </c:strCache>
            </c:strRef>
          </c:cat>
          <c:val>
            <c:numRef>
              <c:f>'Libor Rates'!$B$2:$B$45</c:f>
              <c:numCache>
                <c:formatCode>General</c:formatCode>
                <c:ptCount val="44"/>
                <c:pt idx="0">
                  <c:v>6.0</c:v>
                </c:pt>
                <c:pt idx="1">
                  <c:v>6.88</c:v>
                </c:pt>
                <c:pt idx="2">
                  <c:v>9.75</c:v>
                </c:pt>
                <c:pt idx="3">
                  <c:v>8.25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5.5</c:v>
                </c:pt>
                <c:pt idx="9">
                  <c:v>5.5</c:v>
                </c:pt>
                <c:pt idx="10">
                  <c:v>5.25</c:v>
                </c:pt>
                <c:pt idx="11">
                  <c:v>5.5</c:v>
                </c:pt>
                <c:pt idx="12">
                  <c:v>4.75</c:v>
                </c:pt>
                <c:pt idx="13">
                  <c:v>5.5</c:v>
                </c:pt>
                <c:pt idx="14">
                  <c:v>6.5</c:v>
                </c:pt>
                <c:pt idx="15">
                  <c:v>1.75</c:v>
                </c:pt>
                <c:pt idx="16">
                  <c:v>1.25</c:v>
                </c:pt>
                <c:pt idx="17">
                  <c:v>1.0</c:v>
                </c:pt>
                <c:pt idx="18">
                  <c:v>2.25</c:v>
                </c:pt>
                <c:pt idx="19">
                  <c:v>4.25</c:v>
                </c:pt>
                <c:pt idx="20">
                  <c:v>4.5</c:v>
                </c:pt>
                <c:pt idx="21">
                  <c:v>4.75</c:v>
                </c:pt>
                <c:pt idx="22">
                  <c:v>5.0</c:v>
                </c:pt>
                <c:pt idx="23">
                  <c:v>5.25</c:v>
                </c:pt>
                <c:pt idx="24">
                  <c:v>4.75</c:v>
                </c:pt>
                <c:pt idx="25">
                  <c:v>4.5</c:v>
                </c:pt>
                <c:pt idx="26">
                  <c:v>4.25</c:v>
                </c:pt>
                <c:pt idx="27">
                  <c:v>3.5</c:v>
                </c:pt>
                <c:pt idx="28">
                  <c:v>3.0</c:v>
                </c:pt>
                <c:pt idx="29">
                  <c:v>2.25</c:v>
                </c:pt>
                <c:pt idx="30">
                  <c:v>2.0</c:v>
                </c:pt>
                <c:pt idx="31">
                  <c:v>1.5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0.5</c:v>
                </c:pt>
                <c:pt idx="43">
                  <c:v>0.75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'Libor Rates'!$C$1</c:f>
              <c:strCache>
                <c:ptCount val="1"/>
                <c:pt idx="0">
                  <c:v>3-Month LIBOR Rate</c:v>
                </c:pt>
              </c:strCache>
            </c:strRef>
          </c:tx>
          <c:spPr>
            <a:ln w="22225"/>
          </c:spPr>
          <c:marker>
            <c:symbol val="none"/>
          </c:marker>
          <c:cat>
            <c:strRef>
              <c:f>'Libor Rates'!$A$2:$A$45</c:f>
              <c:strCache>
                <c:ptCount val="44"/>
                <c:pt idx="0">
                  <c:v>Dec 31 1986</c:v>
                </c:pt>
                <c:pt idx="1">
                  <c:v>Dec 31 1987</c:v>
                </c:pt>
                <c:pt idx="2">
                  <c:v>Dec 30 1988</c:v>
                </c:pt>
                <c:pt idx="3">
                  <c:v>Dec 29 1989</c:v>
                </c:pt>
                <c:pt idx="4">
                  <c:v>Dec 31 1990</c:v>
                </c:pt>
                <c:pt idx="5">
                  <c:v>Dec 31 1991</c:v>
                </c:pt>
                <c:pt idx="6">
                  <c:v>Dec 31 1992</c:v>
                </c:pt>
                <c:pt idx="7">
                  <c:v>Dec 31 1993</c:v>
                </c:pt>
                <c:pt idx="8">
                  <c:v>Dec 30 1994</c:v>
                </c:pt>
                <c:pt idx="9">
                  <c:v>Dec 29 1995</c:v>
                </c:pt>
                <c:pt idx="10">
                  <c:v>Dec 31 1996</c:v>
                </c:pt>
                <c:pt idx="11">
                  <c:v>Dec 31 1997</c:v>
                </c:pt>
                <c:pt idx="12">
                  <c:v>Dec 31 1998</c:v>
                </c:pt>
                <c:pt idx="13">
                  <c:v>Dec 31 1999</c:v>
                </c:pt>
                <c:pt idx="14">
                  <c:v>Dec 29 2000</c:v>
                </c:pt>
                <c:pt idx="15">
                  <c:v>Dec 31 2001</c:v>
                </c:pt>
                <c:pt idx="16">
                  <c:v>Dec 31 2002</c:v>
                </c:pt>
                <c:pt idx="17">
                  <c:v>Dec 31 2003</c:v>
                </c:pt>
                <c:pt idx="18">
                  <c:v>Dec 31 2004</c:v>
                </c:pt>
                <c:pt idx="19">
                  <c:v>Dec 30 2005</c:v>
                </c:pt>
                <c:pt idx="20">
                  <c:v>Jan 31 2006</c:v>
                </c:pt>
                <c:pt idx="21">
                  <c:v>Mar 28 2006</c:v>
                </c:pt>
                <c:pt idx="22">
                  <c:v>May 10 2006</c:v>
                </c:pt>
                <c:pt idx="23">
                  <c:v>Jun 29 2006</c:v>
                </c:pt>
                <c:pt idx="24">
                  <c:v>Sep 18 2007</c:v>
                </c:pt>
                <c:pt idx="25">
                  <c:v>Oct 31 2007</c:v>
                </c:pt>
                <c:pt idx="26">
                  <c:v>Dec 11 2007</c:v>
                </c:pt>
                <c:pt idx="27">
                  <c:v>Jan 22 2008</c:v>
                </c:pt>
                <c:pt idx="28">
                  <c:v>Jan 30 2008</c:v>
                </c:pt>
                <c:pt idx="29">
                  <c:v>Mar 18 2008</c:v>
                </c:pt>
                <c:pt idx="30">
                  <c:v>Apr 30 2008</c:v>
                </c:pt>
                <c:pt idx="31">
                  <c:v>Oct 8 2008</c:v>
                </c:pt>
                <c:pt idx="32">
                  <c:v>Oct 29 2008</c:v>
                </c:pt>
                <c:pt idx="33">
                  <c:v>Dec 16 2008</c:v>
                </c:pt>
                <c:pt idx="34">
                  <c:v>Mar 31 2009</c:v>
                </c:pt>
                <c:pt idx="35">
                  <c:v>Jun 17 2009</c:v>
                </c:pt>
                <c:pt idx="36">
                  <c:v>Dec 18 2009</c:v>
                </c:pt>
                <c:pt idx="37">
                  <c:v>Dec 31 2010</c:v>
                </c:pt>
                <c:pt idx="38">
                  <c:v>Dec 31 2011</c:v>
                </c:pt>
                <c:pt idx="39">
                  <c:v>Dec 31 2012</c:v>
                </c:pt>
                <c:pt idx="40">
                  <c:v>Dec 31 2013</c:v>
                </c:pt>
                <c:pt idx="41">
                  <c:v>Dec 31 2014</c:v>
                </c:pt>
                <c:pt idx="42">
                  <c:v>Dec 31 2015</c:v>
                </c:pt>
                <c:pt idx="43">
                  <c:v>Dec 31 2016</c:v>
                </c:pt>
              </c:strCache>
            </c:strRef>
          </c:cat>
          <c:val>
            <c:numRef>
              <c:f>'Libor Rates'!$C$2:$C$45</c:f>
              <c:numCache>
                <c:formatCode>General</c:formatCode>
                <c:ptCount val="44"/>
                <c:pt idx="0">
                  <c:v>6.4375</c:v>
                </c:pt>
                <c:pt idx="1">
                  <c:v>7.4375</c:v>
                </c:pt>
                <c:pt idx="2">
                  <c:v>9.3125</c:v>
                </c:pt>
                <c:pt idx="3">
                  <c:v>8.375</c:v>
                </c:pt>
                <c:pt idx="4">
                  <c:v>7.57813</c:v>
                </c:pt>
                <c:pt idx="5">
                  <c:v>4.25</c:v>
                </c:pt>
                <c:pt idx="6">
                  <c:v>3.4375</c:v>
                </c:pt>
                <c:pt idx="7">
                  <c:v>3.375</c:v>
                </c:pt>
                <c:pt idx="8">
                  <c:v>6.5</c:v>
                </c:pt>
                <c:pt idx="9">
                  <c:v>5.625</c:v>
                </c:pt>
                <c:pt idx="10">
                  <c:v>5.5625</c:v>
                </c:pt>
                <c:pt idx="11">
                  <c:v>5.8125</c:v>
                </c:pt>
                <c:pt idx="12">
                  <c:v>5.06563</c:v>
                </c:pt>
                <c:pt idx="13">
                  <c:v>6.00375</c:v>
                </c:pt>
                <c:pt idx="14">
                  <c:v>6.39875</c:v>
                </c:pt>
                <c:pt idx="15">
                  <c:v>1.88125</c:v>
                </c:pt>
                <c:pt idx="16">
                  <c:v>1.38</c:v>
                </c:pt>
                <c:pt idx="17">
                  <c:v>1.15188</c:v>
                </c:pt>
                <c:pt idx="18">
                  <c:v>2.56438</c:v>
                </c:pt>
                <c:pt idx="19">
                  <c:v>4.53625</c:v>
                </c:pt>
                <c:pt idx="20">
                  <c:v>4.68</c:v>
                </c:pt>
                <c:pt idx="21">
                  <c:v>4.96</c:v>
                </c:pt>
                <c:pt idx="22">
                  <c:v>5.16438</c:v>
                </c:pt>
                <c:pt idx="23">
                  <c:v>5.50813</c:v>
                </c:pt>
                <c:pt idx="24">
                  <c:v>5.5875</c:v>
                </c:pt>
                <c:pt idx="25">
                  <c:v>4.89375</c:v>
                </c:pt>
                <c:pt idx="26">
                  <c:v>5.11125</c:v>
                </c:pt>
                <c:pt idx="27">
                  <c:v>3.7175</c:v>
                </c:pt>
                <c:pt idx="28">
                  <c:v>3.23938</c:v>
                </c:pt>
                <c:pt idx="29">
                  <c:v>2.54188</c:v>
                </c:pt>
                <c:pt idx="30">
                  <c:v>2.85</c:v>
                </c:pt>
                <c:pt idx="31">
                  <c:v>4.52375</c:v>
                </c:pt>
                <c:pt idx="32">
                  <c:v>3.42</c:v>
                </c:pt>
                <c:pt idx="33">
                  <c:v>2.18563</c:v>
                </c:pt>
                <c:pt idx="34">
                  <c:v>1.19188</c:v>
                </c:pt>
                <c:pt idx="35">
                  <c:v>0.61</c:v>
                </c:pt>
                <c:pt idx="36">
                  <c:v>0.25125</c:v>
                </c:pt>
                <c:pt idx="37">
                  <c:v>0.30281</c:v>
                </c:pt>
                <c:pt idx="38">
                  <c:v>0.581</c:v>
                </c:pt>
                <c:pt idx="39">
                  <c:v>0.306</c:v>
                </c:pt>
                <c:pt idx="40">
                  <c:v>0.2442</c:v>
                </c:pt>
                <c:pt idx="41">
                  <c:v>0.2556</c:v>
                </c:pt>
                <c:pt idx="42">
                  <c:v>0.62</c:v>
                </c:pt>
                <c:pt idx="43">
                  <c:v>0.99789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396040"/>
        <c:axId val="-2084403064"/>
      </c:lineChart>
      <c:catAx>
        <c:axId val="-2084396040"/>
        <c:scaling>
          <c:orientation val="minMax"/>
        </c:scaling>
        <c:delete val="0"/>
        <c:axPos val="b"/>
        <c:majorTickMark val="out"/>
        <c:minorTickMark val="none"/>
        <c:tickLblPos val="low"/>
        <c:crossAx val="-2084403064"/>
        <c:crosses val="autoZero"/>
        <c:auto val="1"/>
        <c:lblAlgn val="ctr"/>
        <c:lblOffset val="100"/>
        <c:tickLblSkip val="5"/>
        <c:noMultiLvlLbl val="0"/>
      </c:catAx>
      <c:valAx>
        <c:axId val="-2084403064"/>
        <c:scaling>
          <c:orientation val="minMax"/>
          <c:max val="10.0"/>
        </c:scaling>
        <c:delete val="0"/>
        <c:axPos val="l"/>
        <c:majorGridlines>
          <c:spPr>
            <a:ln w="3175" cmpd="sng">
              <a:prstDash val="sysDot"/>
            </a:ln>
          </c:spPr>
        </c:majorGridlines>
        <c:numFmt formatCode="General" sourceLinked="1"/>
        <c:majorTickMark val="in"/>
        <c:minorTickMark val="none"/>
        <c:tickLblPos val="nextTo"/>
        <c:crossAx val="-2084396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62368510404811"/>
          <c:y val="0.180494381846155"/>
          <c:w val="0.215023238000038"/>
          <c:h val="0.112844541228683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3765" cy="56104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3765" cy="56104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workbookViewId="0">
      <selection activeCell="M15" sqref="M15"/>
    </sheetView>
  </sheetViews>
  <sheetFormatPr baseColWidth="10" defaultRowHeight="15" x14ac:dyDescent="0"/>
  <cols>
    <col min="1" max="1" width="3" style="2" customWidth="1"/>
    <col min="2" max="2" width="9.1640625" style="2" customWidth="1"/>
    <col min="3" max="3" width="10.83203125" style="2"/>
    <col min="4" max="4" width="11.33203125" style="2" customWidth="1"/>
    <col min="5" max="5" width="8.83203125" style="2" customWidth="1"/>
    <col min="6" max="6" width="10.83203125" style="2"/>
    <col min="7" max="7" width="10" style="2" customWidth="1"/>
    <col min="8" max="8" width="9.5" style="2" customWidth="1"/>
    <col min="9" max="9" width="12.6640625" style="2" customWidth="1"/>
    <col min="10" max="10" width="0.5" style="2" hidden="1" customWidth="1"/>
    <col min="11" max="11" width="2.33203125" style="2" customWidth="1"/>
    <col min="12" max="12" width="11.1640625" style="2" customWidth="1"/>
    <col min="13" max="13" width="12.83203125" style="2" customWidth="1"/>
    <col min="14" max="14" width="12.83203125" style="2" bestFit="1" customWidth="1"/>
    <col min="15" max="15" width="9.6640625" style="2" customWidth="1"/>
    <col min="16" max="16" width="13.5" style="2" bestFit="1" customWidth="1"/>
    <col min="17" max="17" width="5.33203125" style="2" customWidth="1"/>
    <col min="18" max="18" width="17.1640625" style="2" customWidth="1"/>
    <col min="19" max="19" width="13.1640625" style="2" customWidth="1"/>
    <col min="20" max="20" width="13.83203125" style="2" customWidth="1"/>
    <col min="21" max="21" width="10.83203125" style="2"/>
    <col min="22" max="22" width="13.1640625" style="2" customWidth="1"/>
    <col min="23" max="16384" width="10.83203125" style="2"/>
  </cols>
  <sheetData>
    <row r="1" spans="2:20" ht="13" customHeight="1" thickBot="1"/>
    <row r="2" spans="2:20" ht="41" thickBot="1">
      <c r="J2" s="4" t="s">
        <v>65</v>
      </c>
      <c r="K2" s="4"/>
      <c r="L2" s="98" t="s">
        <v>90</v>
      </c>
      <c r="M2" s="57"/>
      <c r="N2" s="57" t="s">
        <v>70</v>
      </c>
      <c r="O2" s="57"/>
      <c r="P2" s="57"/>
      <c r="Q2" s="30"/>
      <c r="R2" s="139" t="s">
        <v>83</v>
      </c>
      <c r="S2" s="64"/>
      <c r="T2" s="129"/>
    </row>
    <row r="3" spans="2:20" ht="30">
      <c r="B3" s="29" t="s">
        <v>6</v>
      </c>
      <c r="C3" s="71" t="s">
        <v>61</v>
      </c>
      <c r="D3" s="71" t="s">
        <v>84</v>
      </c>
      <c r="E3" s="71" t="s">
        <v>89</v>
      </c>
      <c r="F3" s="72" t="s">
        <v>85</v>
      </c>
      <c r="G3" s="72" t="s">
        <v>88</v>
      </c>
      <c r="H3" s="31" t="s">
        <v>86</v>
      </c>
      <c r="I3" s="31" t="s">
        <v>87</v>
      </c>
      <c r="J3" s="4" t="s">
        <v>64</v>
      </c>
      <c r="K3" s="29"/>
      <c r="L3" s="57" t="s">
        <v>73</v>
      </c>
      <c r="M3" s="57" t="s">
        <v>66</v>
      </c>
      <c r="N3" s="57" t="s">
        <v>71</v>
      </c>
      <c r="O3" s="57" t="s">
        <v>6</v>
      </c>
      <c r="P3" s="57" t="s">
        <v>74</v>
      </c>
      <c r="Q3" s="30"/>
      <c r="R3" s="35" t="s">
        <v>68</v>
      </c>
      <c r="S3" s="35" t="s">
        <v>69</v>
      </c>
      <c r="T3" s="35" t="s">
        <v>67</v>
      </c>
    </row>
    <row r="4" spans="2:20" ht="16" thickBot="1">
      <c r="B4" s="48">
        <v>42613</v>
      </c>
      <c r="C4" s="49">
        <v>48958</v>
      </c>
      <c r="D4" s="50"/>
      <c r="E4" s="50"/>
      <c r="F4" s="51"/>
      <c r="G4" s="51"/>
      <c r="H4" s="15"/>
      <c r="I4" s="52"/>
      <c r="J4" s="53">
        <v>10000000</v>
      </c>
      <c r="K4" s="54"/>
      <c r="L4" s="70">
        <v>80000000</v>
      </c>
      <c r="M4" s="70">
        <v>0</v>
      </c>
      <c r="N4" s="58">
        <f>L4</f>
        <v>80000000</v>
      </c>
      <c r="O4" s="59">
        <f>B4</f>
        <v>42613</v>
      </c>
      <c r="P4" s="70">
        <f>L4</f>
        <v>80000000</v>
      </c>
      <c r="R4" s="65"/>
      <c r="S4" s="66"/>
      <c r="T4" s="37"/>
    </row>
    <row r="5" spans="2:20">
      <c r="B5" s="48">
        <v>42643</v>
      </c>
      <c r="C5" s="49">
        <v>49175</v>
      </c>
      <c r="D5" s="85">
        <f>C5/C4-1</f>
        <v>4.4323706033744248E-3</v>
      </c>
      <c r="E5" s="81">
        <f>D5</f>
        <v>4.4323706033744248E-3</v>
      </c>
      <c r="F5" s="86">
        <v>7.0000000000000001E-3</v>
      </c>
      <c r="G5" s="87">
        <f>F5</f>
        <v>7.0000000000000001E-3</v>
      </c>
      <c r="H5" s="73">
        <f>F5-D5</f>
        <v>2.5676293966255754E-3</v>
      </c>
      <c r="I5" s="76">
        <f>H5</f>
        <v>2.5676293966255754E-3</v>
      </c>
      <c r="J5" s="53">
        <f>J4*(1+F5)</f>
        <v>10069999.999999998</v>
      </c>
      <c r="K5" s="54"/>
      <c r="L5" s="70"/>
      <c r="M5" s="70">
        <v>0</v>
      </c>
      <c r="N5" s="58">
        <f>N4*(1+F5)+M5</f>
        <v>80559999.999999985</v>
      </c>
      <c r="O5" s="59">
        <f t="shared" ref="O5:O16" si="0">B5</f>
        <v>42643</v>
      </c>
      <c r="P5" s="70">
        <f>M5</f>
        <v>0</v>
      </c>
      <c r="R5" s="65">
        <f>T25-S25</f>
        <v>120840000</v>
      </c>
      <c r="S5" s="66">
        <f>T24</f>
        <v>120000000</v>
      </c>
      <c r="T5" s="67">
        <f t="shared" ref="T5:T7" si="1">R5/S5</f>
        <v>1.0069999999999999</v>
      </c>
    </row>
    <row r="6" spans="2:20">
      <c r="B6" s="48">
        <v>42674</v>
      </c>
      <c r="C6" s="49">
        <v>48118</v>
      </c>
      <c r="D6" s="85">
        <f t="shared" ref="D6:D16" si="2">C6/C5-1</f>
        <v>-2.1494661921708236E-2</v>
      </c>
      <c r="E6" s="82">
        <f t="array" ref="E6">PRODUCT(1+$D$5:D6)-1</f>
        <v>-1.71575636259651E-2</v>
      </c>
      <c r="F6" s="86">
        <v>-0.01</v>
      </c>
      <c r="G6" s="88">
        <f t="array" ref="G6">PRODUCT(1+$F$5:F6)-1</f>
        <v>-3.0700000000001282E-3</v>
      </c>
      <c r="H6" s="73">
        <f t="shared" ref="H6:H16" si="3">F6-D6</f>
        <v>1.1494661921708236E-2</v>
      </c>
      <c r="I6" s="77">
        <f>G6-E6</f>
        <v>1.4087563625964972E-2</v>
      </c>
      <c r="J6" s="53">
        <f t="shared" ref="J6:J16" si="4">J5*(1+F6)</f>
        <v>9969299.9999999981</v>
      </c>
      <c r="K6" s="54"/>
      <c r="L6" s="70"/>
      <c r="M6" s="70">
        <v>0</v>
      </c>
      <c r="N6" s="58">
        <f t="shared" ref="N6:N16" si="5">N5*(1+F6)+M6</f>
        <v>79754399.999999985</v>
      </c>
      <c r="O6" s="59">
        <f t="shared" si="0"/>
        <v>42674</v>
      </c>
      <c r="P6" s="70">
        <f t="shared" ref="P6:P15" si="6">M6</f>
        <v>0</v>
      </c>
      <c r="R6" s="65">
        <f t="shared" ref="R6:R16" si="7">T26-S26</f>
        <v>218631600</v>
      </c>
      <c r="S6" s="66">
        <f t="shared" ref="S6:S16" si="8">T25</f>
        <v>220840000</v>
      </c>
      <c r="T6" s="67">
        <f t="shared" si="1"/>
        <v>0.99</v>
      </c>
    </row>
    <row r="7" spans="2:20">
      <c r="B7" s="48">
        <v>42704</v>
      </c>
      <c r="C7" s="49">
        <v>49549</v>
      </c>
      <c r="D7" s="85">
        <f t="shared" si="2"/>
        <v>2.9739390664616172E-2</v>
      </c>
      <c r="E7" s="82">
        <f t="array" ref="E7">PRODUCT(1+$D$5:D7)-1</f>
        <v>1.2071571551125482E-2</v>
      </c>
      <c r="F7" s="86">
        <v>4.5999999999999999E-2</v>
      </c>
      <c r="G7" s="88">
        <f t="array" ref="G7">PRODUCT(1+$F$5:F7)-1</f>
        <v>4.2788779999999971E-2</v>
      </c>
      <c r="H7" s="73">
        <f t="shared" si="3"/>
        <v>1.6260609335383827E-2</v>
      </c>
      <c r="I7" s="77">
        <f t="shared" ref="I7:I16" si="9">G7-E7</f>
        <v>3.0717208448874489E-2</v>
      </c>
      <c r="J7" s="53">
        <f t="shared" si="4"/>
        <v>10427887.799999999</v>
      </c>
      <c r="K7" s="54"/>
      <c r="L7" s="70"/>
      <c r="M7" s="70">
        <v>0</v>
      </c>
      <c r="N7" s="58">
        <f t="shared" si="5"/>
        <v>83423102.399999991</v>
      </c>
      <c r="O7" s="59">
        <f t="shared" si="0"/>
        <v>42704</v>
      </c>
      <c r="P7" s="70">
        <f t="shared" si="6"/>
        <v>0</v>
      </c>
      <c r="R7" s="65">
        <f t="shared" si="7"/>
        <v>228688653.60000002</v>
      </c>
      <c r="S7" s="66">
        <f t="shared" si="8"/>
        <v>218631600</v>
      </c>
      <c r="T7" s="67">
        <f t="shared" si="1"/>
        <v>1.046</v>
      </c>
    </row>
    <row r="8" spans="2:20">
      <c r="B8" s="48">
        <v>42735</v>
      </c>
      <c r="C8" s="49">
        <v>51684</v>
      </c>
      <c r="D8" s="85">
        <f t="shared" si="2"/>
        <v>4.3088659710589505E-2</v>
      </c>
      <c r="E8" s="82">
        <f t="array" ref="E8">PRODUCT(1+$D$5:D8)-1</f>
        <v>5.5680379100453425E-2</v>
      </c>
      <c r="F8" s="86">
        <v>4.3499999999999997E-2</v>
      </c>
      <c r="G8" s="88">
        <f t="array" ref="G8">PRODUCT(1+$F$5:F8)-1</f>
        <v>8.8150091930000007E-2</v>
      </c>
      <c r="H8" s="73">
        <f t="shared" si="3"/>
        <v>4.1134028941049172E-4</v>
      </c>
      <c r="I8" s="77">
        <f t="shared" si="9"/>
        <v>3.2469712829546582E-2</v>
      </c>
      <c r="J8" s="53">
        <f t="shared" si="4"/>
        <v>10881500.919299999</v>
      </c>
      <c r="K8" s="54"/>
      <c r="L8" s="70"/>
      <c r="M8" s="70">
        <v>0</v>
      </c>
      <c r="N8" s="58">
        <f t="shared" si="5"/>
        <v>87052007.354399994</v>
      </c>
      <c r="O8" s="59">
        <f t="shared" si="0"/>
        <v>42735</v>
      </c>
      <c r="P8" s="70">
        <f t="shared" si="6"/>
        <v>0</v>
      </c>
      <c r="R8" s="65">
        <f t="shared" si="7"/>
        <v>238636610.0316</v>
      </c>
      <c r="S8" s="66">
        <f t="shared" si="8"/>
        <v>228688653.60000002</v>
      </c>
      <c r="T8" s="67">
        <f>R8/S8</f>
        <v>1.0434999999999999</v>
      </c>
    </row>
    <row r="9" spans="2:20">
      <c r="B9" s="48">
        <v>42766</v>
      </c>
      <c r="C9" s="49">
        <v>51275</v>
      </c>
      <c r="D9" s="85">
        <f t="shared" si="2"/>
        <v>-7.9134741893042149E-3</v>
      </c>
      <c r="E9" s="82">
        <f t="array" ref="E9">PRODUCT(1+$D$5:D9)-1</f>
        <v>4.7326279668287174E-2</v>
      </c>
      <c r="F9" s="86">
        <v>-7.0000000000000001E-3</v>
      </c>
      <c r="G9" s="88">
        <f t="array" ref="G9">PRODUCT(1+$F$5:F9)-1</f>
        <v>8.053304128648997E-2</v>
      </c>
      <c r="H9" s="73">
        <f t="shared" si="3"/>
        <v>9.1347418930421472E-4</v>
      </c>
      <c r="I9" s="77">
        <f t="shared" si="9"/>
        <v>3.3206761618202796E-2</v>
      </c>
      <c r="J9" s="53">
        <f t="shared" si="4"/>
        <v>10805330.412864899</v>
      </c>
      <c r="K9" s="54"/>
      <c r="L9" s="70"/>
      <c r="M9" s="70">
        <v>0</v>
      </c>
      <c r="N9" s="58">
        <f t="shared" si="5"/>
        <v>86442643.302919194</v>
      </c>
      <c r="O9" s="59">
        <f t="shared" si="0"/>
        <v>42766</v>
      </c>
      <c r="P9" s="70">
        <f t="shared" si="6"/>
        <v>0</v>
      </c>
      <c r="R9" s="65">
        <f t="shared" si="7"/>
        <v>187316153.76137882</v>
      </c>
      <c r="S9" s="66">
        <f t="shared" si="8"/>
        <v>188636610.0316</v>
      </c>
      <c r="T9" s="67">
        <f t="shared" ref="T9:T16" si="10">R9/S9</f>
        <v>0.9930000000000001</v>
      </c>
    </row>
    <row r="10" spans="2:20">
      <c r="B10" s="48">
        <v>42794</v>
      </c>
      <c r="C10" s="49">
        <v>52414</v>
      </c>
      <c r="D10" s="85">
        <f t="shared" si="2"/>
        <v>2.2213554363724963E-2</v>
      </c>
      <c r="E10" s="82">
        <f t="array" ref="E10">PRODUCT(1+$D$5:D10)-1</f>
        <v>7.0591118918256424E-2</v>
      </c>
      <c r="F10" s="86">
        <v>2.1000000000000001E-2</v>
      </c>
      <c r="G10" s="88">
        <f t="array" ref="G10">PRODUCT(1+$F$5:F10)-1</f>
        <v>0.10322423515350621</v>
      </c>
      <c r="H10" s="73">
        <f t="shared" si="3"/>
        <v>-1.213554363724962E-3</v>
      </c>
      <c r="I10" s="77">
        <f t="shared" si="9"/>
        <v>3.2633116235249782E-2</v>
      </c>
      <c r="J10" s="53">
        <f t="shared" si="4"/>
        <v>11032242.351535061</v>
      </c>
      <c r="K10" s="54"/>
      <c r="L10" s="70"/>
      <c r="M10" s="70">
        <v>0</v>
      </c>
      <c r="N10" s="58">
        <f t="shared" si="5"/>
        <v>88257938.812280491</v>
      </c>
      <c r="O10" s="59">
        <f t="shared" si="0"/>
        <v>42794</v>
      </c>
      <c r="P10" s="70">
        <f t="shared" si="6"/>
        <v>0</v>
      </c>
      <c r="R10" s="65">
        <f t="shared" si="7"/>
        <v>191249792.99036777</v>
      </c>
      <c r="S10" s="66">
        <f t="shared" si="8"/>
        <v>187316153.76137882</v>
      </c>
      <c r="T10" s="67">
        <f t="shared" si="10"/>
        <v>1.0209999999999999</v>
      </c>
    </row>
    <row r="11" spans="2:20">
      <c r="B11" s="48">
        <v>42825</v>
      </c>
      <c r="C11" s="49">
        <v>54133</v>
      </c>
      <c r="D11" s="85">
        <f t="shared" si="2"/>
        <v>3.2796581066127262E-2</v>
      </c>
      <c r="E11" s="82">
        <f t="array" ref="E11">PRODUCT(1+$D$5:D11)-1</f>
        <v>0.10570284733853486</v>
      </c>
      <c r="F11" s="86">
        <v>0.05</v>
      </c>
      <c r="G11" s="88">
        <f t="array" ref="G11">PRODUCT(1+$F$5:F11)-1</f>
        <v>0.15838544691118162</v>
      </c>
      <c r="H11" s="73">
        <f t="shared" si="3"/>
        <v>1.7203418933872741E-2</v>
      </c>
      <c r="I11" s="77">
        <f t="shared" si="9"/>
        <v>5.268259957264676E-2</v>
      </c>
      <c r="J11" s="53">
        <f t="shared" si="4"/>
        <v>11583854.469111815</v>
      </c>
      <c r="K11" s="54"/>
      <c r="L11" s="70"/>
      <c r="M11" s="70">
        <v>0</v>
      </c>
      <c r="N11" s="58">
        <f t="shared" si="5"/>
        <v>92670835.752894521</v>
      </c>
      <c r="O11" s="59">
        <f t="shared" si="0"/>
        <v>42825</v>
      </c>
      <c r="P11" s="70">
        <f t="shared" si="6"/>
        <v>0</v>
      </c>
      <c r="R11" s="65">
        <f t="shared" si="7"/>
        <v>200812282.63988614</v>
      </c>
      <c r="S11" s="66">
        <f t="shared" si="8"/>
        <v>191249792.99036777</v>
      </c>
      <c r="T11" s="67">
        <f t="shared" si="10"/>
        <v>1.0499999999999998</v>
      </c>
    </row>
    <row r="12" spans="2:20">
      <c r="B12" s="48">
        <v>42855</v>
      </c>
      <c r="C12" s="49">
        <v>54693</v>
      </c>
      <c r="D12" s="85">
        <f t="shared" si="2"/>
        <v>1.034489128627647E-2</v>
      </c>
      <c r="E12" s="82">
        <f t="array" ref="E12">PRODUCT(1+$D$5:D12)-1</f>
        <v>0.1171412230891784</v>
      </c>
      <c r="F12" s="86">
        <v>1.0999999999999999E-2</v>
      </c>
      <c r="G12" s="88">
        <f t="array" ref="G12">PRODUCT(1+$F$5:F12)-1</f>
        <v>0.17112768682720447</v>
      </c>
      <c r="H12" s="73">
        <f t="shared" si="3"/>
        <v>6.5510871372352966E-4</v>
      </c>
      <c r="I12" s="77">
        <f t="shared" si="9"/>
        <v>5.3986463738026069E-2</v>
      </c>
      <c r="J12" s="53">
        <f t="shared" si="4"/>
        <v>11711276.868272044</v>
      </c>
      <c r="K12" s="54"/>
      <c r="L12" s="70"/>
      <c r="M12" s="70">
        <v>0</v>
      </c>
      <c r="N12" s="58">
        <f t="shared" si="5"/>
        <v>93690214.94617635</v>
      </c>
      <c r="O12" s="59">
        <f t="shared" si="0"/>
        <v>42855</v>
      </c>
      <c r="P12" s="70">
        <f t="shared" si="6"/>
        <v>0</v>
      </c>
      <c r="R12" s="65">
        <f t="shared" si="7"/>
        <v>203021217.74892488</v>
      </c>
      <c r="S12" s="66">
        <f t="shared" si="8"/>
        <v>200812282.63988614</v>
      </c>
      <c r="T12" s="67">
        <f t="shared" si="10"/>
        <v>1.0109999999999999</v>
      </c>
    </row>
    <row r="13" spans="2:20">
      <c r="B13" s="48">
        <v>42886</v>
      </c>
      <c r="C13" s="49">
        <v>53177</v>
      </c>
      <c r="D13" s="85">
        <f t="shared" si="2"/>
        <v>-2.7718355182564491E-2</v>
      </c>
      <c r="E13" s="82">
        <f t="array" ref="E13">PRODUCT(1+$D$5:D13)-1</f>
        <v>8.6175905878508097E-2</v>
      </c>
      <c r="F13" s="86">
        <v>-2.5000000000000001E-2</v>
      </c>
      <c r="G13" s="88">
        <f t="array" ref="G13">PRODUCT(1+$F$5:F13)-1</f>
        <v>0.1418494946565243</v>
      </c>
      <c r="H13" s="73">
        <f t="shared" si="3"/>
        <v>2.71835518256449E-3</v>
      </c>
      <c r="I13" s="77">
        <f t="shared" si="9"/>
        <v>5.5673588778016203E-2</v>
      </c>
      <c r="J13" s="53">
        <f t="shared" si="4"/>
        <v>11418494.946565242</v>
      </c>
      <c r="K13" s="54"/>
      <c r="L13" s="70"/>
      <c r="M13" s="70">
        <v>0</v>
      </c>
      <c r="N13" s="58">
        <f t="shared" si="5"/>
        <v>91347959.57252194</v>
      </c>
      <c r="O13" s="59">
        <f t="shared" si="0"/>
        <v>42886</v>
      </c>
      <c r="P13" s="70">
        <f t="shared" si="6"/>
        <v>0</v>
      </c>
      <c r="R13" s="65">
        <f t="shared" si="7"/>
        <v>197945687.30520177</v>
      </c>
      <c r="S13" s="66">
        <f t="shared" si="8"/>
        <v>203021217.74892488</v>
      </c>
      <c r="T13" s="67">
        <f t="shared" si="10"/>
        <v>0.97500000000000009</v>
      </c>
    </row>
    <row r="14" spans="2:20">
      <c r="B14" s="48">
        <v>42916</v>
      </c>
      <c r="C14" s="49">
        <v>53237</v>
      </c>
      <c r="D14" s="85">
        <f t="shared" si="2"/>
        <v>1.1283073509222863E-3</v>
      </c>
      <c r="E14" s="82">
        <f t="array" ref="E14">PRODUCT(1+$D$5:D14)-1</f>
        <v>8.7401446137505445E-2</v>
      </c>
      <c r="F14" s="86">
        <v>5.0000000000000001E-3</v>
      </c>
      <c r="G14" s="88">
        <f t="array" ref="G14">PRODUCT(1+$F$5:F14)-1</f>
        <v>0.1475587421298068</v>
      </c>
      <c r="H14" s="73">
        <f t="shared" si="3"/>
        <v>3.8716926490777138E-3</v>
      </c>
      <c r="I14" s="77">
        <f t="shared" si="9"/>
        <v>6.0157295992301352E-2</v>
      </c>
      <c r="J14" s="53">
        <f t="shared" si="4"/>
        <v>11475587.421298068</v>
      </c>
      <c r="K14" s="54"/>
      <c r="L14" s="70"/>
      <c r="M14" s="70">
        <v>-70000000</v>
      </c>
      <c r="N14" s="58">
        <f t="shared" si="5"/>
        <v>21804699.370384544</v>
      </c>
      <c r="O14" s="59">
        <f t="shared" si="0"/>
        <v>42916</v>
      </c>
      <c r="P14" s="70">
        <f t="shared" si="6"/>
        <v>-70000000</v>
      </c>
      <c r="R14" s="65">
        <f t="shared" si="7"/>
        <v>198935415.74172774</v>
      </c>
      <c r="S14" s="66">
        <f t="shared" si="8"/>
        <v>197945687.30520177</v>
      </c>
      <c r="T14" s="67">
        <f t="shared" si="10"/>
        <v>1.0049999999999999</v>
      </c>
    </row>
    <row r="15" spans="2:20">
      <c r="B15" s="48">
        <v>42947</v>
      </c>
      <c r="C15" s="49">
        <v>53231</v>
      </c>
      <c r="D15" s="85">
        <f t="shared" si="2"/>
        <v>-1.1270357082482363E-4</v>
      </c>
      <c r="E15" s="82">
        <f t="array" ref="E15">PRODUCT(1+$D$5:D15)-1</f>
        <v>8.7278892111605666E-2</v>
      </c>
      <c r="F15" s="86">
        <v>-0.03</v>
      </c>
      <c r="G15" s="88">
        <f t="array" ref="G15">PRODUCT(1+$F$5:F15)-1</f>
        <v>0.1131319798659125</v>
      </c>
      <c r="H15" s="73">
        <f t="shared" si="3"/>
        <v>-2.9887296429175175E-2</v>
      </c>
      <c r="I15" s="78">
        <f t="shared" si="9"/>
        <v>2.5853087754306836E-2</v>
      </c>
      <c r="J15" s="53">
        <f t="shared" si="4"/>
        <v>11131319.798659125</v>
      </c>
      <c r="K15" s="54"/>
      <c r="L15" s="70"/>
      <c r="M15" s="70">
        <v>0</v>
      </c>
      <c r="N15" s="58">
        <f t="shared" si="5"/>
        <v>21150558.389273006</v>
      </c>
      <c r="O15" s="59">
        <f t="shared" si="0"/>
        <v>42947</v>
      </c>
      <c r="P15" s="70">
        <f t="shared" si="6"/>
        <v>0</v>
      </c>
      <c r="R15" s="65">
        <f t="shared" si="7"/>
        <v>125067353.26947589</v>
      </c>
      <c r="S15" s="66">
        <f t="shared" si="8"/>
        <v>128935415.74172774</v>
      </c>
      <c r="T15" s="67">
        <f t="shared" si="10"/>
        <v>0.96999999999999986</v>
      </c>
    </row>
    <row r="16" spans="2:20" ht="16" thickBot="1">
      <c r="B16" s="48">
        <v>42978</v>
      </c>
      <c r="C16" s="49">
        <v>53989.8</v>
      </c>
      <c r="D16" s="85">
        <f t="shared" si="2"/>
        <v>1.4254851496308563E-2</v>
      </c>
      <c r="E16" s="83">
        <f t="array" ref="E16">PRODUCT(1+$D$5:D16)-1</f>
        <v>0.1027778912537276</v>
      </c>
      <c r="F16" s="86">
        <v>0.01</v>
      </c>
      <c r="G16" s="89">
        <f t="array" ref="G16">PRODUCT(1+$F$5:F16)-1</f>
        <v>0.12426329966457161</v>
      </c>
      <c r="H16" s="73">
        <f t="shared" si="3"/>
        <v>-4.2548514963085624E-3</v>
      </c>
      <c r="I16" s="79">
        <f t="shared" si="9"/>
        <v>2.1485408410844009E-2</v>
      </c>
      <c r="J16" s="53">
        <f t="shared" si="4"/>
        <v>11242632.996645717</v>
      </c>
      <c r="K16" s="54"/>
      <c r="L16" s="70"/>
      <c r="M16" s="70">
        <v>0</v>
      </c>
      <c r="N16" s="58">
        <f t="shared" si="5"/>
        <v>21362063.973165736</v>
      </c>
      <c r="O16" s="59">
        <f t="shared" si="0"/>
        <v>42978</v>
      </c>
      <c r="P16" s="70">
        <f>-N16</f>
        <v>-21362063.973165736</v>
      </c>
      <c r="R16" s="65">
        <f t="shared" si="7"/>
        <v>75818026.802170664</v>
      </c>
      <c r="S16" s="66">
        <f t="shared" si="8"/>
        <v>75067353.269475892</v>
      </c>
      <c r="T16" s="67">
        <f t="shared" si="10"/>
        <v>1.0100000000000002</v>
      </c>
    </row>
    <row r="17" spans="4:22" ht="16" thickBot="1">
      <c r="D17" s="29"/>
      <c r="E17" s="29"/>
      <c r="F17" s="29"/>
      <c r="G17" s="29"/>
      <c r="H17" s="29"/>
      <c r="I17" s="29"/>
      <c r="J17" s="4"/>
      <c r="K17" s="29"/>
      <c r="L17" s="60"/>
      <c r="M17" s="60"/>
      <c r="N17" s="60"/>
      <c r="O17" s="60"/>
      <c r="P17" s="60"/>
      <c r="R17" s="37"/>
      <c r="S17" s="37"/>
      <c r="T17" s="37"/>
    </row>
    <row r="18" spans="4:22" ht="16" thickBot="1">
      <c r="D18" s="29"/>
      <c r="E18" s="84">
        <f t="array" ref="E18">PRODUCT(1+D5:D16)-1</f>
        <v>0.1027778912537276</v>
      </c>
      <c r="F18" s="55"/>
      <c r="G18" s="84">
        <f t="array" ref="G18">PRODUCT(1+F5:F16)-1</f>
        <v>0.12426329966457161</v>
      </c>
      <c r="H18" s="55"/>
      <c r="I18" s="80">
        <f>G18-E18</f>
        <v>2.1485408410844009E-2</v>
      </c>
      <c r="J18" s="55">
        <f>J16/J4-1</f>
        <v>0.12426329966457161</v>
      </c>
      <c r="K18" s="56"/>
      <c r="L18" s="60"/>
      <c r="M18" s="60"/>
      <c r="N18" s="60"/>
      <c r="O18" s="61" t="s">
        <v>4</v>
      </c>
      <c r="P18" s="62">
        <f>XIRR(P4:P16,O4:O16,0.1)</f>
        <v>0.16502501368522646</v>
      </c>
      <c r="R18" s="37"/>
      <c r="S18" s="68" t="s">
        <v>72</v>
      </c>
      <c r="T18" s="44">
        <f>PRODUCT(T5:T16)-1</f>
        <v>0.12426329966457184</v>
      </c>
    </row>
    <row r="19" spans="4:22">
      <c r="L19" s="60"/>
      <c r="M19" s="60"/>
      <c r="N19" s="60"/>
      <c r="O19" s="60" t="s">
        <v>62</v>
      </c>
      <c r="P19" s="63">
        <f>E18</f>
        <v>0.1027778912537276</v>
      </c>
      <c r="R19" s="37"/>
      <c r="S19" s="37" t="s">
        <v>62</v>
      </c>
      <c r="T19" s="69">
        <f>E18</f>
        <v>0.1027778912537276</v>
      </c>
    </row>
    <row r="20" spans="4:22">
      <c r="L20" s="60"/>
      <c r="M20" s="60"/>
      <c r="N20" s="60"/>
      <c r="O20" s="61" t="s">
        <v>63</v>
      </c>
      <c r="P20" s="74">
        <f>P18-P19</f>
        <v>6.2247122431498852E-2</v>
      </c>
      <c r="R20" s="37"/>
      <c r="S20" s="68" t="s">
        <v>63</v>
      </c>
      <c r="T20" s="75">
        <f>T18-T19</f>
        <v>2.1485408410844231E-2</v>
      </c>
    </row>
    <row r="21" spans="4:22" ht="24" thickBot="1">
      <c r="N21" s="117" t="s">
        <v>97</v>
      </c>
    </row>
    <row r="22" spans="4:22" ht="41" thickBot="1">
      <c r="L22" s="97" t="s">
        <v>91</v>
      </c>
      <c r="M22" s="38"/>
      <c r="N22" s="38" t="s">
        <v>70</v>
      </c>
      <c r="O22" s="38"/>
      <c r="P22" s="38"/>
      <c r="R22" s="138" t="s">
        <v>96</v>
      </c>
      <c r="S22" s="118"/>
      <c r="T22" s="118"/>
      <c r="U22" s="118"/>
      <c r="V22" s="118"/>
    </row>
    <row r="23" spans="4:22" ht="30">
      <c r="L23" s="38" t="s">
        <v>73</v>
      </c>
      <c r="M23" s="38" t="s">
        <v>66</v>
      </c>
      <c r="N23" s="38" t="s">
        <v>71</v>
      </c>
      <c r="O23" s="38" t="s">
        <v>6</v>
      </c>
      <c r="P23" s="38" t="s">
        <v>74</v>
      </c>
      <c r="R23" s="119" t="s">
        <v>73</v>
      </c>
      <c r="S23" s="119" t="s">
        <v>66</v>
      </c>
      <c r="T23" s="119" t="s">
        <v>71</v>
      </c>
      <c r="U23" s="119" t="s">
        <v>6</v>
      </c>
      <c r="V23" s="119" t="s">
        <v>74</v>
      </c>
    </row>
    <row r="24" spans="4:22">
      <c r="L24" s="92">
        <v>40000000</v>
      </c>
      <c r="M24" s="92">
        <v>0</v>
      </c>
      <c r="N24" s="93">
        <f>L24</f>
        <v>40000000</v>
      </c>
      <c r="O24" s="94">
        <f t="shared" ref="O24:O36" si="11">B4</f>
        <v>42613</v>
      </c>
      <c r="P24" s="92">
        <f>L24</f>
        <v>40000000</v>
      </c>
      <c r="R24" s="128">
        <f>L4+L24</f>
        <v>120000000</v>
      </c>
      <c r="S24" s="128">
        <f>M4+M24</f>
        <v>0</v>
      </c>
      <c r="T24" s="120">
        <f>N4+N24</f>
        <v>120000000</v>
      </c>
      <c r="U24" s="121">
        <f>O24</f>
        <v>42613</v>
      </c>
      <c r="V24" s="120">
        <f t="shared" ref="V24:V36" si="12">P4+P24</f>
        <v>120000000</v>
      </c>
    </row>
    <row r="25" spans="4:22">
      <c r="L25" s="92"/>
      <c r="M25" s="92">
        <v>100000000</v>
      </c>
      <c r="N25" s="93">
        <f t="shared" ref="N25:N36" si="13">N24*(1+F5)+M25</f>
        <v>140280000</v>
      </c>
      <c r="O25" s="94">
        <f t="shared" si="11"/>
        <v>42643</v>
      </c>
      <c r="P25" s="92">
        <f>M25</f>
        <v>100000000</v>
      </c>
      <c r="R25" s="124"/>
      <c r="S25" s="128">
        <f t="shared" ref="S25:S36" si="14">M5+M25</f>
        <v>100000000</v>
      </c>
      <c r="T25" s="120">
        <f t="shared" ref="T25:T36" si="15">N5+N25</f>
        <v>220840000</v>
      </c>
      <c r="U25" s="121">
        <f t="shared" ref="U25:U36" si="16">O25</f>
        <v>42643</v>
      </c>
      <c r="V25" s="120">
        <f t="shared" si="12"/>
        <v>100000000</v>
      </c>
    </row>
    <row r="26" spans="4:22">
      <c r="L26" s="92"/>
      <c r="M26" s="92">
        <v>0</v>
      </c>
      <c r="N26" s="93">
        <f t="shared" si="13"/>
        <v>138877200</v>
      </c>
      <c r="O26" s="94">
        <f t="shared" si="11"/>
        <v>42674</v>
      </c>
      <c r="P26" s="92">
        <f t="shared" ref="P26:P35" si="17">M26</f>
        <v>0</v>
      </c>
      <c r="R26" s="124"/>
      <c r="S26" s="128">
        <f t="shared" si="14"/>
        <v>0</v>
      </c>
      <c r="T26" s="120">
        <f t="shared" si="15"/>
        <v>218631600</v>
      </c>
      <c r="U26" s="121">
        <f t="shared" si="16"/>
        <v>42674</v>
      </c>
      <c r="V26" s="120">
        <f t="shared" si="12"/>
        <v>0</v>
      </c>
    </row>
    <row r="27" spans="4:22" ht="15" customHeight="1">
      <c r="L27" s="92"/>
      <c r="M27" s="92">
        <v>0</v>
      </c>
      <c r="N27" s="93">
        <f t="shared" si="13"/>
        <v>145265551.20000002</v>
      </c>
      <c r="O27" s="94">
        <f t="shared" si="11"/>
        <v>42704</v>
      </c>
      <c r="P27" s="92">
        <f t="shared" si="17"/>
        <v>0</v>
      </c>
      <c r="R27" s="124"/>
      <c r="S27" s="128">
        <f t="shared" si="14"/>
        <v>0</v>
      </c>
      <c r="T27" s="120">
        <f t="shared" si="15"/>
        <v>228688653.60000002</v>
      </c>
      <c r="U27" s="121">
        <f t="shared" si="16"/>
        <v>42704</v>
      </c>
      <c r="V27" s="120">
        <f t="shared" si="12"/>
        <v>0</v>
      </c>
    </row>
    <row r="28" spans="4:22" ht="15" customHeight="1">
      <c r="L28" s="92"/>
      <c r="M28" s="92">
        <v>-50000000</v>
      </c>
      <c r="N28" s="93">
        <f t="shared" si="13"/>
        <v>101584602.67720002</v>
      </c>
      <c r="O28" s="94">
        <f t="shared" si="11"/>
        <v>42735</v>
      </c>
      <c r="P28" s="92">
        <f t="shared" si="17"/>
        <v>-50000000</v>
      </c>
      <c r="R28" s="124"/>
      <c r="S28" s="128">
        <f t="shared" si="14"/>
        <v>-50000000</v>
      </c>
      <c r="T28" s="120">
        <f t="shared" si="15"/>
        <v>188636610.0316</v>
      </c>
      <c r="U28" s="121">
        <f t="shared" si="16"/>
        <v>42735</v>
      </c>
      <c r="V28" s="120">
        <f t="shared" si="12"/>
        <v>-50000000</v>
      </c>
    </row>
    <row r="29" spans="4:22" ht="15" customHeight="1">
      <c r="L29" s="92"/>
      <c r="M29" s="92">
        <v>0</v>
      </c>
      <c r="N29" s="93">
        <f t="shared" si="13"/>
        <v>100873510.45845962</v>
      </c>
      <c r="O29" s="94">
        <f t="shared" si="11"/>
        <v>42766</v>
      </c>
      <c r="P29" s="92">
        <f t="shared" si="17"/>
        <v>0</v>
      </c>
      <c r="R29" s="124"/>
      <c r="S29" s="128">
        <f t="shared" si="14"/>
        <v>0</v>
      </c>
      <c r="T29" s="120">
        <f t="shared" si="15"/>
        <v>187316153.76137882</v>
      </c>
      <c r="U29" s="121">
        <f t="shared" si="16"/>
        <v>42766</v>
      </c>
      <c r="V29" s="120">
        <f t="shared" si="12"/>
        <v>0</v>
      </c>
    </row>
    <row r="30" spans="4:22" ht="15" customHeight="1">
      <c r="L30" s="92"/>
      <c r="M30" s="130">
        <v>0</v>
      </c>
      <c r="N30" s="131">
        <f t="shared" si="13"/>
        <v>102991854.17808726</v>
      </c>
      <c r="O30" s="132">
        <f t="shared" si="11"/>
        <v>42794</v>
      </c>
      <c r="P30" s="130">
        <f t="shared" si="17"/>
        <v>0</v>
      </c>
      <c r="Q30" s="133" t="s">
        <v>98</v>
      </c>
      <c r="R30" s="134"/>
      <c r="S30" s="135">
        <f t="shared" si="14"/>
        <v>0</v>
      </c>
      <c r="T30" s="136">
        <f t="shared" si="15"/>
        <v>191249792.99036777</v>
      </c>
      <c r="U30" s="137">
        <f t="shared" si="16"/>
        <v>42794</v>
      </c>
      <c r="V30" s="136">
        <f t="shared" si="12"/>
        <v>0</v>
      </c>
    </row>
    <row r="31" spans="4:22" ht="15" customHeight="1">
      <c r="L31" s="92"/>
      <c r="M31" s="92">
        <v>0</v>
      </c>
      <c r="N31" s="93">
        <f t="shared" si="13"/>
        <v>108141446.88699163</v>
      </c>
      <c r="O31" s="94">
        <f t="shared" si="11"/>
        <v>42825</v>
      </c>
      <c r="P31" s="92">
        <f t="shared" si="17"/>
        <v>0</v>
      </c>
      <c r="R31" s="124"/>
      <c r="S31" s="128">
        <f t="shared" si="14"/>
        <v>0</v>
      </c>
      <c r="T31" s="120">
        <f t="shared" si="15"/>
        <v>200812282.63988614</v>
      </c>
      <c r="U31" s="121">
        <f t="shared" si="16"/>
        <v>42825</v>
      </c>
      <c r="V31" s="120">
        <f t="shared" si="12"/>
        <v>0</v>
      </c>
    </row>
    <row r="32" spans="4:22" ht="15" customHeight="1">
      <c r="L32" s="92"/>
      <c r="M32" s="92">
        <v>0</v>
      </c>
      <c r="N32" s="93">
        <f t="shared" si="13"/>
        <v>109331002.80274853</v>
      </c>
      <c r="O32" s="94">
        <f t="shared" si="11"/>
        <v>42855</v>
      </c>
      <c r="P32" s="92">
        <f t="shared" si="17"/>
        <v>0</v>
      </c>
      <c r="R32" s="124"/>
      <c r="S32" s="128">
        <f t="shared" si="14"/>
        <v>0</v>
      </c>
      <c r="T32" s="120">
        <f t="shared" si="15"/>
        <v>203021217.74892488</v>
      </c>
      <c r="U32" s="121">
        <f t="shared" si="16"/>
        <v>42855</v>
      </c>
      <c r="V32" s="120">
        <f t="shared" si="12"/>
        <v>0</v>
      </c>
    </row>
    <row r="33" spans="12:22">
      <c r="L33" s="92"/>
      <c r="M33" s="92">
        <v>0</v>
      </c>
      <c r="N33" s="93">
        <f t="shared" si="13"/>
        <v>106597727.73267981</v>
      </c>
      <c r="O33" s="94">
        <f t="shared" si="11"/>
        <v>42886</v>
      </c>
      <c r="P33" s="92">
        <f t="shared" si="17"/>
        <v>0</v>
      </c>
      <c r="R33" s="124"/>
      <c r="S33" s="128">
        <f t="shared" si="14"/>
        <v>0</v>
      </c>
      <c r="T33" s="120">
        <f t="shared" si="15"/>
        <v>197945687.30520177</v>
      </c>
      <c r="U33" s="121">
        <f t="shared" si="16"/>
        <v>42886</v>
      </c>
      <c r="V33" s="120">
        <f t="shared" si="12"/>
        <v>0</v>
      </c>
    </row>
    <row r="34" spans="12:22">
      <c r="L34" s="92"/>
      <c r="M34" s="92">
        <v>0</v>
      </c>
      <c r="N34" s="93">
        <f t="shared" si="13"/>
        <v>107130716.3713432</v>
      </c>
      <c r="O34" s="94">
        <f t="shared" si="11"/>
        <v>42916</v>
      </c>
      <c r="P34" s="92">
        <f t="shared" si="17"/>
        <v>0</v>
      </c>
      <c r="R34" s="124"/>
      <c r="S34" s="128">
        <f t="shared" si="14"/>
        <v>-70000000</v>
      </c>
      <c r="T34" s="120">
        <f t="shared" si="15"/>
        <v>128935415.74172774</v>
      </c>
      <c r="U34" s="121">
        <f t="shared" si="16"/>
        <v>42916</v>
      </c>
      <c r="V34" s="120">
        <f t="shared" si="12"/>
        <v>-70000000</v>
      </c>
    </row>
    <row r="35" spans="12:22">
      <c r="L35" s="92"/>
      <c r="M35" s="92">
        <v>-50000000</v>
      </c>
      <c r="N35" s="93">
        <f t="shared" si="13"/>
        <v>53916794.880202889</v>
      </c>
      <c r="O35" s="94">
        <f t="shared" si="11"/>
        <v>42947</v>
      </c>
      <c r="P35" s="92">
        <f t="shared" si="17"/>
        <v>-50000000</v>
      </c>
      <c r="R35" s="124"/>
      <c r="S35" s="128">
        <f t="shared" si="14"/>
        <v>-50000000</v>
      </c>
      <c r="T35" s="120">
        <f t="shared" si="15"/>
        <v>75067353.269475892</v>
      </c>
      <c r="U35" s="121">
        <f t="shared" si="16"/>
        <v>42947</v>
      </c>
      <c r="V35" s="120">
        <f t="shared" si="12"/>
        <v>-50000000</v>
      </c>
    </row>
    <row r="36" spans="12:22">
      <c r="L36" s="92"/>
      <c r="M36" s="92">
        <v>0</v>
      </c>
      <c r="N36" s="93">
        <f t="shared" si="13"/>
        <v>54455962.829004921</v>
      </c>
      <c r="O36" s="94">
        <f t="shared" si="11"/>
        <v>42978</v>
      </c>
      <c r="P36" s="92">
        <f>-N36</f>
        <v>-54455962.829004921</v>
      </c>
      <c r="R36" s="124"/>
      <c r="S36" s="128">
        <f t="shared" si="14"/>
        <v>0</v>
      </c>
      <c r="T36" s="120">
        <f t="shared" si="15"/>
        <v>75818026.802170664</v>
      </c>
      <c r="U36" s="121">
        <f t="shared" si="16"/>
        <v>42978</v>
      </c>
      <c r="V36" s="120">
        <f t="shared" si="12"/>
        <v>-75818026.802170664</v>
      </c>
    </row>
    <row r="37" spans="12:22">
      <c r="L37" s="40"/>
      <c r="M37" s="40"/>
      <c r="N37" s="40"/>
      <c r="O37" s="40"/>
      <c r="P37" s="40"/>
      <c r="R37" s="118"/>
      <c r="S37" s="118"/>
      <c r="T37" s="118"/>
      <c r="U37" s="118"/>
      <c r="V37" s="118"/>
    </row>
    <row r="38" spans="12:22">
      <c r="L38" s="40"/>
      <c r="M38" s="40"/>
      <c r="N38" s="40"/>
      <c r="O38" s="45" t="s">
        <v>4</v>
      </c>
      <c r="P38" s="47">
        <f>XIRR(P24:P36,O24:O36,0.1)</f>
        <v>0.15254270434379574</v>
      </c>
      <c r="R38" s="118"/>
      <c r="S38" s="118"/>
      <c r="T38" s="118"/>
      <c r="U38" s="125" t="s">
        <v>4</v>
      </c>
      <c r="V38" s="122">
        <f>XIRR(V24:V36,U24:U36,0.1)</f>
        <v>0.15780810713768009</v>
      </c>
    </row>
    <row r="39" spans="12:22">
      <c r="L39" s="40"/>
      <c r="M39" s="40"/>
      <c r="N39" s="40"/>
      <c r="O39" s="40" t="s">
        <v>62</v>
      </c>
      <c r="P39" s="95">
        <f>E18</f>
        <v>0.1027778912537276</v>
      </c>
      <c r="R39" s="118"/>
      <c r="S39" s="118"/>
      <c r="T39" s="118"/>
      <c r="U39" s="126" t="s">
        <v>62</v>
      </c>
      <c r="V39" s="123">
        <f>E18</f>
        <v>0.1027778912537276</v>
      </c>
    </row>
    <row r="40" spans="12:22">
      <c r="L40" s="40"/>
      <c r="M40" s="40"/>
      <c r="N40" s="40"/>
      <c r="O40" s="45" t="s">
        <v>63</v>
      </c>
      <c r="P40" s="96">
        <f>P38-P39</f>
        <v>4.9764813090068138E-2</v>
      </c>
      <c r="R40" s="118"/>
      <c r="S40" s="118"/>
      <c r="T40" s="118"/>
      <c r="U40" s="125" t="s">
        <v>63</v>
      </c>
      <c r="V40" s="127">
        <f>V38-V39</f>
        <v>5.5030215883952488E-2</v>
      </c>
    </row>
  </sheetData>
  <sortState ref="I3:J15">
    <sortCondition ref="I3:I1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workbookViewId="0">
      <selection activeCell="C13" sqref="C13"/>
    </sheetView>
  </sheetViews>
  <sheetFormatPr baseColWidth="10" defaultRowHeight="15" x14ac:dyDescent="0"/>
  <cols>
    <col min="1" max="1" width="10.83203125" style="2"/>
    <col min="2" max="3" width="15.33203125" style="2" customWidth="1"/>
    <col min="4" max="4" width="16.83203125" style="2" customWidth="1"/>
    <col min="5" max="5" width="4.5" style="2" customWidth="1"/>
    <col min="6" max="6" width="10.83203125" style="2"/>
    <col min="7" max="7" width="14" style="2" customWidth="1"/>
    <col min="8" max="9" width="10.83203125" style="2"/>
    <col min="10" max="10" width="15.1640625" style="2" customWidth="1"/>
    <col min="11" max="11" width="3.1640625" style="2" customWidth="1"/>
    <col min="12" max="12" width="13.1640625" style="2" customWidth="1"/>
    <col min="13" max="13" width="14.83203125" style="2" customWidth="1"/>
    <col min="14" max="16384" width="10.83203125" style="2"/>
  </cols>
  <sheetData>
    <row r="2" spans="2:13" ht="20">
      <c r="B2" s="16" t="s">
        <v>56</v>
      </c>
      <c r="C2" s="16"/>
      <c r="D2" s="17">
        <v>1300000</v>
      </c>
    </row>
    <row r="3" spans="2:13" ht="20">
      <c r="B3" s="16" t="s">
        <v>57</v>
      </c>
      <c r="C3" s="16"/>
      <c r="D3" s="18">
        <v>0.5</v>
      </c>
    </row>
    <row r="4" spans="2:13">
      <c r="M4" s="3">
        <v>0.15</v>
      </c>
    </row>
    <row r="5" spans="2:13">
      <c r="G5" s="14" t="s">
        <v>0</v>
      </c>
      <c r="I5" s="26">
        <v>0.04</v>
      </c>
      <c r="J5" s="27">
        <f>interest_rate*G6/12</f>
        <v>2166.6666666666665</v>
      </c>
      <c r="K5" s="15"/>
      <c r="L5" s="15" t="s">
        <v>58</v>
      </c>
      <c r="M5" s="4" t="s">
        <v>59</v>
      </c>
    </row>
    <row r="6" spans="2:13" ht="18">
      <c r="B6" s="5" t="s">
        <v>1</v>
      </c>
      <c r="C6" s="6">
        <f>-(D2-G6)</f>
        <v>-650000</v>
      </c>
      <c r="D6" s="7">
        <v>42675</v>
      </c>
      <c r="F6" s="15">
        <v>0</v>
      </c>
      <c r="G6" s="8">
        <f>D3*D2</f>
        <v>650000</v>
      </c>
      <c r="H6" s="9">
        <f t="shared" ref="H6:H18" si="0">G6*interest_rate/12</f>
        <v>2166.6666666666665</v>
      </c>
      <c r="I6" s="8">
        <f t="shared" ref="I6:I18" si="1">repayment-H6</f>
        <v>0</v>
      </c>
      <c r="J6" s="8">
        <f>G6-I6</f>
        <v>650000</v>
      </c>
      <c r="L6" s="25">
        <v>1000</v>
      </c>
      <c r="M6" s="10">
        <f t="shared" ref="M6:M18" si="2">Purchase_price*L6/1000</f>
        <v>1300000</v>
      </c>
    </row>
    <row r="7" spans="2:13" ht="18">
      <c r="B7" s="19" t="s">
        <v>53</v>
      </c>
      <c r="C7" s="20">
        <v>-2500</v>
      </c>
      <c r="D7" s="21">
        <v>42689</v>
      </c>
      <c r="F7" s="15">
        <v>1</v>
      </c>
      <c r="G7" s="8">
        <f>J6</f>
        <v>650000</v>
      </c>
      <c r="H7" s="9">
        <f t="shared" si="0"/>
        <v>2166.6666666666665</v>
      </c>
      <c r="I7" s="8">
        <f t="shared" si="1"/>
        <v>0</v>
      </c>
      <c r="J7" s="8">
        <f>G7-I7</f>
        <v>650000</v>
      </c>
      <c r="L7" s="25">
        <f t="shared" ref="L7:L18" si="3">L6*(1+corelogic)^(1/12)</f>
        <v>1011.7149169198534</v>
      </c>
      <c r="M7" s="10">
        <f t="shared" si="2"/>
        <v>1315229.3919958093</v>
      </c>
    </row>
    <row r="8" spans="2:13" ht="18">
      <c r="B8" s="22" t="s">
        <v>2</v>
      </c>
      <c r="C8" s="23">
        <f>-repayment</f>
        <v>-2166.6666666666665</v>
      </c>
      <c r="D8" s="24">
        <v>42705</v>
      </c>
      <c r="F8" s="15">
        <v>2</v>
      </c>
      <c r="G8" s="8">
        <f t="shared" ref="G8:G18" si="4">J7</f>
        <v>650000</v>
      </c>
      <c r="H8" s="9">
        <f t="shared" si="0"/>
        <v>2166.6666666666665</v>
      </c>
      <c r="I8" s="8">
        <f t="shared" si="1"/>
        <v>0</v>
      </c>
      <c r="J8" s="8">
        <f t="shared" ref="J8:J18" si="5">G8-I8</f>
        <v>650000</v>
      </c>
      <c r="L8" s="25">
        <f t="shared" si="3"/>
        <v>1023.5670731181458</v>
      </c>
      <c r="M8" s="10">
        <f t="shared" si="2"/>
        <v>1330637.1950535895</v>
      </c>
    </row>
    <row r="9" spans="2:13" ht="18">
      <c r="B9" s="22" t="s">
        <v>2</v>
      </c>
      <c r="C9" s="23">
        <f>-repayment</f>
        <v>-2166.6666666666665</v>
      </c>
      <c r="D9" s="24">
        <v>42736</v>
      </c>
      <c r="F9" s="15">
        <v>3</v>
      </c>
      <c r="G9" s="8">
        <f t="shared" si="4"/>
        <v>650000</v>
      </c>
      <c r="H9" s="9">
        <f t="shared" si="0"/>
        <v>2166.6666666666665</v>
      </c>
      <c r="I9" s="8">
        <f t="shared" si="1"/>
        <v>0</v>
      </c>
      <c r="J9" s="8">
        <f t="shared" si="5"/>
        <v>650000</v>
      </c>
      <c r="L9" s="25">
        <f t="shared" si="3"/>
        <v>1035.5580763416224</v>
      </c>
      <c r="M9" s="10">
        <f t="shared" si="2"/>
        <v>1346225.4992441093</v>
      </c>
    </row>
    <row r="10" spans="2:13" ht="18">
      <c r="B10" s="22" t="s">
        <v>2</v>
      </c>
      <c r="C10" s="23">
        <f>-repayment</f>
        <v>-2166.6666666666665</v>
      </c>
      <c r="D10" s="24">
        <v>42767</v>
      </c>
      <c r="F10" s="15">
        <v>4</v>
      </c>
      <c r="G10" s="8">
        <f t="shared" si="4"/>
        <v>650000</v>
      </c>
      <c r="H10" s="9">
        <f t="shared" si="0"/>
        <v>2166.6666666666665</v>
      </c>
      <c r="I10" s="8">
        <f t="shared" si="1"/>
        <v>0</v>
      </c>
      <c r="J10" s="8">
        <f t="shared" si="5"/>
        <v>650000</v>
      </c>
      <c r="L10" s="25">
        <f t="shared" si="3"/>
        <v>1047.6895531716477</v>
      </c>
      <c r="M10" s="10">
        <f t="shared" si="2"/>
        <v>1361996.419123142</v>
      </c>
    </row>
    <row r="11" spans="2:13" ht="18">
      <c r="B11" s="22" t="s">
        <v>2</v>
      </c>
      <c r="C11" s="23">
        <f>-repayment</f>
        <v>-2166.6666666666665</v>
      </c>
      <c r="D11" s="24">
        <v>42795</v>
      </c>
      <c r="F11" s="15">
        <v>5</v>
      </c>
      <c r="G11" s="8">
        <f t="shared" si="4"/>
        <v>650000</v>
      </c>
      <c r="H11" s="9">
        <f t="shared" si="0"/>
        <v>2166.6666666666665</v>
      </c>
      <c r="I11" s="8">
        <f t="shared" si="1"/>
        <v>0</v>
      </c>
      <c r="J11" s="8">
        <f t="shared" si="5"/>
        <v>650000</v>
      </c>
      <c r="L11" s="25">
        <f t="shared" si="3"/>
        <v>1059.9631492448518</v>
      </c>
      <c r="M11" s="10">
        <f t="shared" si="2"/>
        <v>1377952.0940183075</v>
      </c>
    </row>
    <row r="12" spans="2:13" ht="18">
      <c r="B12" s="22" t="s">
        <v>2</v>
      </c>
      <c r="C12" s="23">
        <f>-repayment</f>
        <v>-2166.6666666666665</v>
      </c>
      <c r="D12" s="24">
        <v>42826</v>
      </c>
      <c r="F12" s="15">
        <v>6</v>
      </c>
      <c r="G12" s="8">
        <f t="shared" si="4"/>
        <v>650000</v>
      </c>
      <c r="H12" s="9">
        <f t="shared" si="0"/>
        <v>2166.6666666666665</v>
      </c>
      <c r="I12" s="8">
        <f t="shared" si="1"/>
        <v>0</v>
      </c>
      <c r="J12" s="8">
        <f t="shared" si="5"/>
        <v>650000</v>
      </c>
      <c r="L12" s="25">
        <f t="shared" si="3"/>
        <v>1072.3805294763615</v>
      </c>
      <c r="M12" s="10">
        <f t="shared" si="2"/>
        <v>1394094.6883192698</v>
      </c>
    </row>
    <row r="13" spans="2:13" ht="18">
      <c r="B13" s="19" t="s">
        <v>60</v>
      </c>
      <c r="C13" s="20">
        <v>-20000</v>
      </c>
      <c r="D13" s="21">
        <v>42840</v>
      </c>
      <c r="F13" s="15">
        <v>7</v>
      </c>
      <c r="G13" s="8">
        <f t="shared" si="4"/>
        <v>650000</v>
      </c>
      <c r="H13" s="9">
        <f t="shared" si="0"/>
        <v>2166.6666666666665</v>
      </c>
      <c r="I13" s="8">
        <f t="shared" si="1"/>
        <v>0</v>
      </c>
      <c r="J13" s="8">
        <f t="shared" si="5"/>
        <v>650000</v>
      </c>
      <c r="L13" s="25">
        <f t="shared" si="3"/>
        <v>1084.9433782856454</v>
      </c>
      <c r="M13" s="10">
        <f t="shared" si="2"/>
        <v>1410426.3917713389</v>
      </c>
    </row>
    <row r="14" spans="2:13" ht="18">
      <c r="B14" s="22" t="s">
        <v>2</v>
      </c>
      <c r="C14" s="23">
        <f t="shared" ref="C14:C19" si="6">-repayment</f>
        <v>-2166.6666666666665</v>
      </c>
      <c r="D14" s="24">
        <v>42856</v>
      </c>
      <c r="F14" s="15">
        <v>8</v>
      </c>
      <c r="G14" s="8">
        <f t="shared" si="4"/>
        <v>650000</v>
      </c>
      <c r="H14" s="9">
        <f t="shared" si="0"/>
        <v>2166.6666666666665</v>
      </c>
      <c r="I14" s="8">
        <f t="shared" si="1"/>
        <v>0</v>
      </c>
      <c r="J14" s="8">
        <f t="shared" si="5"/>
        <v>650000</v>
      </c>
      <c r="L14" s="25">
        <f t="shared" si="3"/>
        <v>1097.6533998250068</v>
      </c>
      <c r="M14" s="10">
        <f t="shared" si="2"/>
        <v>1426949.4197725088</v>
      </c>
    </row>
    <row r="15" spans="2:13" ht="18">
      <c r="B15" s="22" t="s">
        <v>2</v>
      </c>
      <c r="C15" s="23">
        <f t="shared" si="6"/>
        <v>-2166.6666666666665</v>
      </c>
      <c r="D15" s="24">
        <v>42887</v>
      </c>
      <c r="F15" s="15">
        <v>9</v>
      </c>
      <c r="G15" s="8">
        <f t="shared" si="4"/>
        <v>650000</v>
      </c>
      <c r="H15" s="9">
        <f t="shared" si="0"/>
        <v>2166.6666666666665</v>
      </c>
      <c r="I15" s="8">
        <f t="shared" si="1"/>
        <v>0</v>
      </c>
      <c r="J15" s="8">
        <f t="shared" si="5"/>
        <v>650000</v>
      </c>
      <c r="L15" s="25">
        <f t="shared" si="3"/>
        <v>1110.5123182107513</v>
      </c>
      <c r="M15" s="10">
        <f t="shared" si="2"/>
        <v>1443666.0136739768</v>
      </c>
    </row>
    <row r="16" spans="2:13" ht="18">
      <c r="B16" s="22" t="s">
        <v>2</v>
      </c>
      <c r="C16" s="23">
        <f t="shared" si="6"/>
        <v>-2166.6666666666665</v>
      </c>
      <c r="D16" s="24">
        <v>42917</v>
      </c>
      <c r="F16" s="15">
        <v>10</v>
      </c>
      <c r="G16" s="8">
        <f t="shared" si="4"/>
        <v>650000</v>
      </c>
      <c r="H16" s="9">
        <f t="shared" si="0"/>
        <v>2166.6666666666665</v>
      </c>
      <c r="I16" s="8">
        <f t="shared" si="1"/>
        <v>0</v>
      </c>
      <c r="J16" s="8">
        <f t="shared" si="5"/>
        <v>650000</v>
      </c>
      <c r="L16" s="25">
        <f t="shared" si="3"/>
        <v>1123.521877757064</v>
      </c>
      <c r="M16" s="10">
        <f t="shared" si="2"/>
        <v>1460578.4410841833</v>
      </c>
    </row>
    <row r="17" spans="2:13" ht="18">
      <c r="B17" s="22" t="s">
        <v>2</v>
      </c>
      <c r="C17" s="23">
        <f t="shared" si="6"/>
        <v>-2166.6666666666665</v>
      </c>
      <c r="D17" s="24">
        <v>42948</v>
      </c>
      <c r="F17" s="15">
        <v>11</v>
      </c>
      <c r="G17" s="8">
        <f t="shared" si="4"/>
        <v>650000</v>
      </c>
      <c r="H17" s="9">
        <f t="shared" si="0"/>
        <v>2166.6666666666665</v>
      </c>
      <c r="I17" s="8">
        <f t="shared" si="1"/>
        <v>0</v>
      </c>
      <c r="J17" s="8">
        <f t="shared" si="5"/>
        <v>650000</v>
      </c>
      <c r="L17" s="25">
        <f t="shared" si="3"/>
        <v>1136.6838432126256</v>
      </c>
      <c r="M17" s="10">
        <f t="shared" si="2"/>
        <v>1477688.9961764133</v>
      </c>
    </row>
    <row r="18" spans="2:13" ht="18">
      <c r="B18" s="22" t="s">
        <v>2</v>
      </c>
      <c r="C18" s="23">
        <f t="shared" si="6"/>
        <v>-2166.6666666666665</v>
      </c>
      <c r="D18" s="24">
        <v>42979</v>
      </c>
      <c r="F18" s="15">
        <v>12</v>
      </c>
      <c r="G18" s="8">
        <f t="shared" si="4"/>
        <v>650000</v>
      </c>
      <c r="H18" s="9">
        <f t="shared" si="0"/>
        <v>2166.6666666666665</v>
      </c>
      <c r="I18" s="8">
        <f t="shared" si="1"/>
        <v>0</v>
      </c>
      <c r="J18" s="8">
        <f t="shared" si="5"/>
        <v>650000</v>
      </c>
      <c r="L18" s="25">
        <f t="shared" si="3"/>
        <v>1150.0000000000011</v>
      </c>
      <c r="M18" s="10">
        <f t="shared" si="2"/>
        <v>1495000.0000000014</v>
      </c>
    </row>
    <row r="19" spans="2:13" ht="18">
      <c r="B19" s="22" t="s">
        <v>2</v>
      </c>
      <c r="C19" s="23">
        <f t="shared" si="6"/>
        <v>-2166.6666666666665</v>
      </c>
      <c r="D19" s="24">
        <v>43009</v>
      </c>
    </row>
    <row r="20" spans="2:13" ht="18">
      <c r="B20" s="19" t="s">
        <v>54</v>
      </c>
      <c r="C20" s="20">
        <v>-2700</v>
      </c>
      <c r="D20" s="21">
        <v>43023</v>
      </c>
    </row>
    <row r="21" spans="2:13" ht="18">
      <c r="B21" s="22" t="s">
        <v>2</v>
      </c>
      <c r="C21" s="23">
        <f>-repayment</f>
        <v>-2166.6666666666665</v>
      </c>
      <c r="D21" s="24">
        <v>43040</v>
      </c>
    </row>
    <row r="22" spans="2:13" ht="18">
      <c r="B22" s="19" t="s">
        <v>55</v>
      </c>
      <c r="C22" s="20">
        <v>-900</v>
      </c>
      <c r="D22" s="21">
        <v>43054</v>
      </c>
    </row>
    <row r="23" spans="2:13" ht="18">
      <c r="B23" s="22" t="s">
        <v>2</v>
      </c>
      <c r="C23" s="23">
        <f>-repayment</f>
        <v>-2166.6666666666665</v>
      </c>
      <c r="D23" s="24">
        <v>43070</v>
      </c>
    </row>
    <row r="24" spans="2:13" ht="18">
      <c r="B24" s="5" t="s">
        <v>3</v>
      </c>
      <c r="C24" s="28">
        <f>M18-G18</f>
        <v>845000.0000000014</v>
      </c>
      <c r="D24" s="7">
        <v>43084</v>
      </c>
    </row>
    <row r="25" spans="2:13" ht="18">
      <c r="B25" s="11"/>
      <c r="C25" s="11"/>
      <c r="D25" s="11"/>
    </row>
    <row r="26" spans="2:13" ht="18">
      <c r="B26" s="5" t="s">
        <v>4</v>
      </c>
      <c r="C26" s="12">
        <f>XIRR(C6:C24,D6:D24,0.1)</f>
        <v>0.183476322889328</v>
      </c>
      <c r="D26" s="11"/>
      <c r="F26" s="13"/>
    </row>
    <row r="27" spans="2:13" ht="18">
      <c r="B27" s="5" t="s">
        <v>5</v>
      </c>
      <c r="C27" s="12">
        <f>M18/M6-1</f>
        <v>0.15000000000000102</v>
      </c>
      <c r="D27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0" sqref="C20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>
      <c r="A2" s="1" t="s">
        <v>9</v>
      </c>
      <c r="B2">
        <v>6</v>
      </c>
      <c r="C2">
        <v>6.4375</v>
      </c>
    </row>
    <row r="3" spans="1:3">
      <c r="A3" s="1" t="s">
        <v>10</v>
      </c>
      <c r="B3">
        <v>6.88</v>
      </c>
      <c r="C3">
        <v>7.4375</v>
      </c>
    </row>
    <row r="4" spans="1:3">
      <c r="A4" s="1" t="s">
        <v>11</v>
      </c>
      <c r="B4">
        <v>9.75</v>
      </c>
      <c r="C4">
        <v>9.3125</v>
      </c>
    </row>
    <row r="5" spans="1:3">
      <c r="A5" s="1" t="s">
        <v>12</v>
      </c>
      <c r="B5">
        <v>8.25</v>
      </c>
      <c r="C5">
        <v>8.375</v>
      </c>
    </row>
    <row r="6" spans="1:3">
      <c r="A6" s="1" t="s">
        <v>13</v>
      </c>
      <c r="B6">
        <v>7</v>
      </c>
      <c r="C6">
        <v>7.5781299999999998</v>
      </c>
    </row>
    <row r="7" spans="1:3">
      <c r="A7" s="1" t="s">
        <v>14</v>
      </c>
      <c r="B7">
        <v>4</v>
      </c>
      <c r="C7">
        <v>4.25</v>
      </c>
    </row>
    <row r="8" spans="1:3">
      <c r="A8" s="1" t="s">
        <v>15</v>
      </c>
      <c r="B8">
        <v>3</v>
      </c>
      <c r="C8">
        <v>3.4375</v>
      </c>
    </row>
    <row r="9" spans="1:3">
      <c r="A9" s="1" t="s">
        <v>16</v>
      </c>
      <c r="B9">
        <v>3</v>
      </c>
      <c r="C9">
        <v>3.375</v>
      </c>
    </row>
    <row r="10" spans="1:3">
      <c r="A10" s="1" t="s">
        <v>17</v>
      </c>
      <c r="B10">
        <v>5.5</v>
      </c>
      <c r="C10">
        <v>6.5</v>
      </c>
    </row>
    <row r="11" spans="1:3">
      <c r="A11" s="1" t="s">
        <v>18</v>
      </c>
      <c r="B11">
        <v>5.5</v>
      </c>
      <c r="C11">
        <v>5.625</v>
      </c>
    </row>
    <row r="12" spans="1:3">
      <c r="A12" s="1" t="s">
        <v>19</v>
      </c>
      <c r="B12">
        <v>5.25</v>
      </c>
      <c r="C12">
        <v>5.5625</v>
      </c>
    </row>
    <row r="13" spans="1:3">
      <c r="A13" s="1" t="s">
        <v>20</v>
      </c>
      <c r="B13">
        <v>5.5</v>
      </c>
      <c r="C13">
        <v>5.8125</v>
      </c>
    </row>
    <row r="14" spans="1:3">
      <c r="A14" s="1" t="s">
        <v>21</v>
      </c>
      <c r="B14">
        <v>4.75</v>
      </c>
      <c r="C14">
        <v>5.0656299999999996</v>
      </c>
    </row>
    <row r="15" spans="1:3">
      <c r="A15" s="1" t="s">
        <v>22</v>
      </c>
      <c r="B15">
        <v>5.5</v>
      </c>
      <c r="C15">
        <v>6.0037500000000001</v>
      </c>
    </row>
    <row r="16" spans="1:3">
      <c r="A16" s="1" t="s">
        <v>23</v>
      </c>
      <c r="B16">
        <v>6.5</v>
      </c>
      <c r="C16">
        <v>6.3987499999999997</v>
      </c>
    </row>
    <row r="17" spans="1:3">
      <c r="A17" s="1" t="s">
        <v>24</v>
      </c>
      <c r="B17">
        <v>1.75</v>
      </c>
      <c r="C17">
        <v>1.8812500000000001</v>
      </c>
    </row>
    <row r="18" spans="1:3">
      <c r="A18" s="1" t="s">
        <v>25</v>
      </c>
      <c r="B18">
        <v>1.25</v>
      </c>
      <c r="C18">
        <v>1.38</v>
      </c>
    </row>
    <row r="19" spans="1:3">
      <c r="A19" s="1" t="s">
        <v>26</v>
      </c>
      <c r="B19">
        <v>1</v>
      </c>
      <c r="C19">
        <v>1.15188</v>
      </c>
    </row>
    <row r="20" spans="1:3">
      <c r="A20" s="1" t="s">
        <v>27</v>
      </c>
      <c r="B20">
        <v>2.25</v>
      </c>
      <c r="C20">
        <v>2.5643799999999999</v>
      </c>
    </row>
    <row r="21" spans="1:3">
      <c r="A21" s="1" t="s">
        <v>28</v>
      </c>
      <c r="B21">
        <v>4.25</v>
      </c>
      <c r="C21">
        <v>4.5362499999999999</v>
      </c>
    </row>
    <row r="22" spans="1:3">
      <c r="A22" s="1" t="s">
        <v>29</v>
      </c>
      <c r="B22">
        <v>4.5</v>
      </c>
      <c r="C22">
        <v>4.68</v>
      </c>
    </row>
    <row r="23" spans="1:3">
      <c r="A23" s="1" t="s">
        <v>30</v>
      </c>
      <c r="B23">
        <v>4.75</v>
      </c>
      <c r="C23">
        <v>4.96</v>
      </c>
    </row>
    <row r="24" spans="1:3">
      <c r="A24" s="1" t="s">
        <v>31</v>
      </c>
      <c r="B24">
        <v>5</v>
      </c>
      <c r="C24">
        <v>5.1643800000000004</v>
      </c>
    </row>
    <row r="25" spans="1:3">
      <c r="A25" s="1" t="s">
        <v>32</v>
      </c>
      <c r="B25">
        <v>5.25</v>
      </c>
      <c r="C25">
        <v>5.5081300000000004</v>
      </c>
    </row>
    <row r="26" spans="1:3">
      <c r="A26" s="1" t="s">
        <v>33</v>
      </c>
      <c r="B26">
        <v>4.75</v>
      </c>
      <c r="C26">
        <v>5.5875000000000004</v>
      </c>
    </row>
    <row r="27" spans="1:3">
      <c r="A27" s="1" t="s">
        <v>34</v>
      </c>
      <c r="B27">
        <v>4.5</v>
      </c>
      <c r="C27">
        <v>4.8937499999999998</v>
      </c>
    </row>
    <row r="28" spans="1:3">
      <c r="A28" s="1" t="s">
        <v>35</v>
      </c>
      <c r="B28">
        <v>4.25</v>
      </c>
      <c r="C28">
        <v>5.1112500000000001</v>
      </c>
    </row>
    <row r="29" spans="1:3">
      <c r="A29" s="1" t="s">
        <v>36</v>
      </c>
      <c r="B29">
        <v>3.5</v>
      </c>
      <c r="C29">
        <v>3.7174999999999998</v>
      </c>
    </row>
    <row r="30" spans="1:3">
      <c r="A30" s="1" t="s">
        <v>37</v>
      </c>
      <c r="B30">
        <v>3</v>
      </c>
      <c r="C30">
        <v>3.2393800000000001</v>
      </c>
    </row>
    <row r="31" spans="1:3">
      <c r="A31" s="1" t="s">
        <v>38</v>
      </c>
      <c r="B31">
        <v>2.25</v>
      </c>
      <c r="C31">
        <v>2.5418799999999999</v>
      </c>
    </row>
    <row r="32" spans="1:3">
      <c r="A32" s="1" t="s">
        <v>39</v>
      </c>
      <c r="B32">
        <v>2</v>
      </c>
      <c r="C32">
        <v>2.85</v>
      </c>
    </row>
    <row r="33" spans="1:3">
      <c r="A33" s="1" t="s">
        <v>40</v>
      </c>
      <c r="B33">
        <v>1.5</v>
      </c>
      <c r="C33">
        <v>4.5237499999999997</v>
      </c>
    </row>
    <row r="34" spans="1:3">
      <c r="A34" s="1" t="s">
        <v>41</v>
      </c>
      <c r="B34">
        <v>1</v>
      </c>
      <c r="C34">
        <v>3.42</v>
      </c>
    </row>
    <row r="35" spans="1:3">
      <c r="A35" s="1" t="s">
        <v>42</v>
      </c>
      <c r="B35">
        <v>0</v>
      </c>
      <c r="C35">
        <v>2.1856300000000002</v>
      </c>
    </row>
    <row r="36" spans="1:3">
      <c r="A36" s="1" t="s">
        <v>43</v>
      </c>
      <c r="B36">
        <v>0</v>
      </c>
      <c r="C36">
        <v>1.1918800000000001</v>
      </c>
    </row>
    <row r="37" spans="1:3">
      <c r="A37" s="1" t="s">
        <v>44</v>
      </c>
      <c r="B37">
        <v>0</v>
      </c>
      <c r="C37">
        <v>0.61</v>
      </c>
    </row>
    <row r="38" spans="1:3">
      <c r="A38" s="1" t="s">
        <v>45</v>
      </c>
      <c r="B38">
        <v>0</v>
      </c>
      <c r="C38">
        <v>0.25124999999999997</v>
      </c>
    </row>
    <row r="39" spans="1:3">
      <c r="A39" s="1" t="s">
        <v>46</v>
      </c>
      <c r="B39">
        <v>0</v>
      </c>
      <c r="C39">
        <v>0.30281000000000002</v>
      </c>
    </row>
    <row r="40" spans="1:3">
      <c r="A40" s="1" t="s">
        <v>47</v>
      </c>
      <c r="B40">
        <v>0</v>
      </c>
      <c r="C40">
        <v>0.58099999999999996</v>
      </c>
    </row>
    <row r="41" spans="1:3">
      <c r="A41" s="1" t="s">
        <v>48</v>
      </c>
      <c r="B41">
        <v>0</v>
      </c>
      <c r="C41">
        <v>0.30599999999999999</v>
      </c>
    </row>
    <row r="42" spans="1:3">
      <c r="A42" s="1" t="s">
        <v>49</v>
      </c>
      <c r="B42">
        <v>0</v>
      </c>
      <c r="C42">
        <v>0.2442</v>
      </c>
    </row>
    <row r="43" spans="1:3">
      <c r="A43" s="1" t="s">
        <v>50</v>
      </c>
      <c r="B43">
        <v>0</v>
      </c>
      <c r="C43">
        <v>0.25559999999999999</v>
      </c>
    </row>
    <row r="44" spans="1:3">
      <c r="A44" s="1" t="s">
        <v>51</v>
      </c>
      <c r="B44">
        <v>0.5</v>
      </c>
      <c r="C44">
        <v>0.62</v>
      </c>
    </row>
    <row r="45" spans="1:3">
      <c r="A45" s="1" t="s">
        <v>52</v>
      </c>
      <c r="B45">
        <v>0.75</v>
      </c>
      <c r="C45">
        <v>0.99789000000000005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0"/>
  <sheetViews>
    <sheetView tabSelected="1" workbookViewId="0">
      <selection activeCell="F40" sqref="F40"/>
    </sheetView>
  </sheetViews>
  <sheetFormatPr baseColWidth="10" defaultRowHeight="15" x14ac:dyDescent="0"/>
  <cols>
    <col min="1" max="1" width="3.6640625" style="2" customWidth="1"/>
    <col min="2" max="4" width="10.83203125" style="2"/>
    <col min="5" max="5" width="13" style="2" customWidth="1"/>
    <col min="6" max="6" width="4.1640625" style="2" customWidth="1"/>
    <col min="7" max="7" width="7" style="2" customWidth="1"/>
    <col min="8" max="8" width="10.83203125" style="2" customWidth="1"/>
    <col min="9" max="9" width="10.1640625" style="2" customWidth="1"/>
    <col min="10" max="10" width="4.33203125" style="2" customWidth="1"/>
    <col min="11" max="14" width="10.83203125" style="2"/>
    <col min="15" max="15" width="4" style="2" customWidth="1"/>
    <col min="16" max="18" width="9.5" style="2" customWidth="1"/>
    <col min="19" max="19" width="4.6640625" style="2" customWidth="1"/>
    <col min="20" max="16384" width="10.83203125" style="2"/>
  </cols>
  <sheetData>
    <row r="3" spans="2:14" ht="32">
      <c r="B3" s="99" t="s">
        <v>79</v>
      </c>
      <c r="C3" s="100" t="s">
        <v>75</v>
      </c>
      <c r="D3" s="101" t="s">
        <v>76</v>
      </c>
      <c r="E3" s="100" t="s">
        <v>77</v>
      </c>
      <c r="G3" s="102" t="s">
        <v>92</v>
      </c>
      <c r="H3" s="103" t="s">
        <v>78</v>
      </c>
      <c r="I3" s="103" t="s">
        <v>80</v>
      </c>
      <c r="J3" s="31"/>
      <c r="K3" s="110" t="s">
        <v>94</v>
      </c>
      <c r="L3" s="110" t="s">
        <v>68</v>
      </c>
      <c r="M3" s="110" t="s">
        <v>69</v>
      </c>
      <c r="N3" s="110" t="s">
        <v>95</v>
      </c>
    </row>
    <row r="4" spans="2:14">
      <c r="B4" s="91">
        <v>42735</v>
      </c>
      <c r="C4" s="2">
        <v>1000</v>
      </c>
      <c r="G4" s="36">
        <v>100</v>
      </c>
      <c r="H4" s="41"/>
      <c r="I4" s="41">
        <f>G4</f>
        <v>100</v>
      </c>
      <c r="J4" s="34"/>
      <c r="K4" s="37"/>
      <c r="L4" s="37"/>
      <c r="M4" s="37"/>
      <c r="N4" s="37"/>
    </row>
    <row r="5" spans="2:14">
      <c r="B5" s="91">
        <v>42825</v>
      </c>
      <c r="C5" s="2">
        <v>1100</v>
      </c>
      <c r="D5" s="32">
        <f>C5/C4-1</f>
        <v>0.10000000000000009</v>
      </c>
      <c r="E5" s="33">
        <f>D5</f>
        <v>0.10000000000000009</v>
      </c>
      <c r="G5" s="36"/>
      <c r="H5" s="41">
        <v>0</v>
      </c>
      <c r="I5" s="41">
        <f>H5</f>
        <v>0</v>
      </c>
      <c r="J5" s="34"/>
      <c r="K5" s="106">
        <f>G4*(1+D5)+H5</f>
        <v>110.00000000000001</v>
      </c>
      <c r="L5" s="106">
        <f>K5-H5</f>
        <v>110.00000000000001</v>
      </c>
      <c r="M5" s="107">
        <f>G4</f>
        <v>100</v>
      </c>
      <c r="N5" s="108">
        <f>L5/M5</f>
        <v>1.1000000000000001</v>
      </c>
    </row>
    <row r="6" spans="2:14">
      <c r="B6" s="91">
        <v>42916</v>
      </c>
      <c r="C6" s="2">
        <v>1210</v>
      </c>
      <c r="D6" s="32">
        <f t="shared" ref="D6:D8" si="0">C6/C5-1</f>
        <v>0.10000000000000009</v>
      </c>
      <c r="E6" s="33">
        <f t="array" ref="E6">PRODUCT(1+$D$5:D6)-1</f>
        <v>0.21000000000000019</v>
      </c>
      <c r="G6" s="36"/>
      <c r="H6" s="41">
        <v>50</v>
      </c>
      <c r="I6" s="41">
        <f t="shared" ref="I6:I7" si="1">H6</f>
        <v>50</v>
      </c>
      <c r="J6" s="34"/>
      <c r="K6" s="106">
        <f>K5*(1+D6)+H6</f>
        <v>171.00000000000003</v>
      </c>
      <c r="L6" s="106">
        <f>K6-H6</f>
        <v>121.00000000000003</v>
      </c>
      <c r="M6" s="107">
        <f>K5</f>
        <v>110.00000000000001</v>
      </c>
      <c r="N6" s="108">
        <f t="shared" ref="N6:N8" si="2">L6/M6</f>
        <v>1.1000000000000001</v>
      </c>
    </row>
    <row r="7" spans="2:14">
      <c r="B7" s="91">
        <v>43008</v>
      </c>
      <c r="C7" s="2">
        <v>1600</v>
      </c>
      <c r="D7" s="32">
        <f t="shared" si="0"/>
        <v>0.3223140495867769</v>
      </c>
      <c r="E7" s="33">
        <f t="array" ref="E7">PRODUCT(1+$D$5:D7)-1</f>
        <v>0.60000000000000031</v>
      </c>
      <c r="G7" s="36"/>
      <c r="H7" s="41">
        <v>0</v>
      </c>
      <c r="I7" s="41">
        <f t="shared" si="1"/>
        <v>0</v>
      </c>
      <c r="J7" s="34"/>
      <c r="K7" s="106">
        <f>K6*(1+D7)+H7</f>
        <v>226.11570247933889</v>
      </c>
      <c r="L7" s="106">
        <f>K7-H7</f>
        <v>226.11570247933889</v>
      </c>
      <c r="M7" s="107">
        <f>K6</f>
        <v>171.00000000000003</v>
      </c>
      <c r="N7" s="108">
        <f t="shared" si="2"/>
        <v>1.3223140495867769</v>
      </c>
    </row>
    <row r="8" spans="2:14">
      <c r="B8" s="91">
        <v>43100</v>
      </c>
      <c r="C8" s="2">
        <v>1464</v>
      </c>
      <c r="D8" s="32">
        <f t="shared" si="0"/>
        <v>-8.4999999999999964E-2</v>
      </c>
      <c r="E8" s="33">
        <f t="array" ref="E8">PRODUCT(1+$D$5:D8)-1</f>
        <v>0.46400000000000041</v>
      </c>
      <c r="G8" s="36"/>
      <c r="H8" s="41">
        <v>0</v>
      </c>
      <c r="I8" s="41">
        <f t="array" ref="I8">-1*(I4*(PRODUCT(1+$D5:$D$8))+I5*PRODUCT(1+B$6:$D$8)+I6*PRODUCT(1+$D$7:$D$8)+I7*(1+$D$8))</f>
        <v>-206.89586776859508</v>
      </c>
      <c r="J8" s="34"/>
      <c r="K8" s="106">
        <f>K7*(1+D8)+H8</f>
        <v>206.89586776859508</v>
      </c>
      <c r="L8" s="106">
        <f>K8-H8</f>
        <v>206.89586776859508</v>
      </c>
      <c r="M8" s="107">
        <f>K7</f>
        <v>226.11570247933889</v>
      </c>
      <c r="N8" s="108">
        <f t="shared" si="2"/>
        <v>0.91499999999999992</v>
      </c>
    </row>
    <row r="9" spans="2:14">
      <c r="G9" s="37"/>
      <c r="H9" s="37"/>
      <c r="I9" s="37"/>
      <c r="K9" s="37"/>
      <c r="L9" s="37"/>
      <c r="M9" s="37"/>
      <c r="N9" s="37"/>
    </row>
    <row r="10" spans="2:14">
      <c r="B10" s="15" t="s">
        <v>81</v>
      </c>
      <c r="D10" s="90">
        <f t="array" ref="D10">PRODUCT(1+D5:D6)-1</f>
        <v>0.21000000000000019</v>
      </c>
      <c r="G10" s="37"/>
      <c r="H10" s="43" t="s">
        <v>4</v>
      </c>
      <c r="I10" s="44">
        <f>XIRR(I4:I8,B4:B8,0.4)</f>
        <v>0.46319822669029243</v>
      </c>
      <c r="J10" s="15"/>
      <c r="K10" s="68"/>
      <c r="L10" s="68"/>
      <c r="M10" s="43" t="s">
        <v>72</v>
      </c>
      <c r="N10" s="109">
        <f t="array" ref="N10">PRODUCT(N5:N8)-1</f>
        <v>0.46400000000000019</v>
      </c>
    </row>
    <row r="11" spans="2:14">
      <c r="B11" s="15" t="s">
        <v>82</v>
      </c>
      <c r="D11" s="90">
        <f t="array" ref="D11">PRODUCT(1+D7:D8)-1</f>
        <v>0.20991735537190093</v>
      </c>
    </row>
    <row r="13" spans="2:14" ht="32">
      <c r="G13" s="104" t="s">
        <v>93</v>
      </c>
      <c r="H13" s="105" t="s">
        <v>78</v>
      </c>
      <c r="I13" s="105" t="s">
        <v>80</v>
      </c>
      <c r="K13" s="111" t="s">
        <v>94</v>
      </c>
      <c r="L13" s="116" t="s">
        <v>68</v>
      </c>
      <c r="M13" s="111" t="s">
        <v>69</v>
      </c>
      <c r="N13" s="111" t="s">
        <v>95</v>
      </c>
    </row>
    <row r="14" spans="2:14">
      <c r="G14" s="39">
        <v>100</v>
      </c>
      <c r="H14" s="39"/>
      <c r="I14" s="42">
        <f>G14</f>
        <v>100</v>
      </c>
      <c r="K14" s="40"/>
      <c r="L14" s="40"/>
      <c r="M14" s="40"/>
      <c r="N14" s="40"/>
    </row>
    <row r="15" spans="2:14">
      <c r="G15" s="39"/>
      <c r="H15" s="39">
        <v>0</v>
      </c>
      <c r="I15" s="42">
        <f>H15</f>
        <v>0</v>
      </c>
      <c r="K15" s="112">
        <f>G14*(1+D5)+H15</f>
        <v>110.00000000000001</v>
      </c>
      <c r="L15" s="112">
        <f>K15-H15</f>
        <v>110.00000000000001</v>
      </c>
      <c r="M15" s="113">
        <f>G14</f>
        <v>100</v>
      </c>
      <c r="N15" s="114">
        <f>L15/M15</f>
        <v>1.1000000000000001</v>
      </c>
    </row>
    <row r="16" spans="2:14">
      <c r="G16" s="39"/>
      <c r="H16" s="39">
        <v>-20</v>
      </c>
      <c r="I16" s="42">
        <f t="shared" ref="I16:I17" si="3">H16</f>
        <v>-20</v>
      </c>
      <c r="K16" s="112">
        <f>K15*(1+D6)+H16</f>
        <v>101.00000000000003</v>
      </c>
      <c r="L16" s="112">
        <f>K16-H16</f>
        <v>121.00000000000003</v>
      </c>
      <c r="M16" s="113">
        <f>K15</f>
        <v>110.00000000000001</v>
      </c>
      <c r="N16" s="114">
        <f t="shared" ref="N16:N18" si="4">L16/M16</f>
        <v>1.1000000000000001</v>
      </c>
    </row>
    <row r="17" spans="7:14">
      <c r="G17" s="39"/>
      <c r="H17" s="39">
        <v>50</v>
      </c>
      <c r="I17" s="42">
        <f t="shared" si="3"/>
        <v>50</v>
      </c>
      <c r="K17" s="112">
        <f t="shared" ref="K17:K18" si="5">K16*(1+D7)+H17</f>
        <v>183.55371900826449</v>
      </c>
      <c r="L17" s="112">
        <f>K17-H17</f>
        <v>133.55371900826449</v>
      </c>
      <c r="M17" s="113">
        <f>K16</f>
        <v>101.00000000000003</v>
      </c>
      <c r="N17" s="114">
        <f t="shared" si="4"/>
        <v>1.3223140495867769</v>
      </c>
    </row>
    <row r="18" spans="7:14">
      <c r="G18" s="39"/>
      <c r="H18" s="39">
        <v>0</v>
      </c>
      <c r="I18" s="42">
        <f t="array" ref="I18">-1*(I14*(PRODUCT(1+$D5:$D$8))+I15*PRODUCT(1+$D$6:F$8)+I16*PRODUCT(1+$D$7:$D$8)+I17*(1+$D$8))</f>
        <v>-167.95165289256201</v>
      </c>
      <c r="K18" s="112">
        <f t="shared" si="5"/>
        <v>167.95165289256201</v>
      </c>
      <c r="L18" s="112">
        <f>K18-H18</f>
        <v>167.95165289256201</v>
      </c>
      <c r="M18" s="113">
        <f>K17</f>
        <v>183.55371900826449</v>
      </c>
      <c r="N18" s="114">
        <f t="shared" si="4"/>
        <v>0.91500000000000004</v>
      </c>
    </row>
    <row r="19" spans="7:14">
      <c r="G19" s="40"/>
      <c r="H19" s="40"/>
      <c r="I19" s="40"/>
      <c r="K19" s="40"/>
      <c r="L19" s="40"/>
      <c r="M19" s="40"/>
      <c r="N19" s="40"/>
    </row>
    <row r="20" spans="7:14">
      <c r="G20" s="45"/>
      <c r="H20" s="46" t="s">
        <v>4</v>
      </c>
      <c r="I20" s="47">
        <f t="array" ref="I20">XIRR(I14:I18,B4:B8,0.1)</f>
        <v>0.3725878059864044</v>
      </c>
      <c r="K20" s="45"/>
      <c r="L20" s="45"/>
      <c r="M20" s="46" t="s">
        <v>72</v>
      </c>
      <c r="N20" s="115">
        <f t="array" ref="N20">PRODUCT(N15:N18)-1</f>
        <v>0.46400000000000041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Funds Manager</vt:lpstr>
      <vt:lpstr>Property Returns</vt:lpstr>
      <vt:lpstr>Libor Rates</vt:lpstr>
      <vt:lpstr>Question 1</vt:lpstr>
      <vt:lpstr>Mgr v Index</vt:lpstr>
      <vt:lpstr>Fed v LIBOR</vt:lpstr>
    </vt:vector>
  </TitlesOfParts>
  <Company>Jason Davis Images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2017-08-17T06:09:26Z</dcterms:created>
  <dcterms:modified xsi:type="dcterms:W3CDTF">2017-09-21T22:38:52Z</dcterms:modified>
</cp:coreProperties>
</file>