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Senior Design\Control Panel\"/>
    </mc:Choice>
  </mc:AlternateContent>
  <xr:revisionPtr revIDLastSave="0" documentId="13_ncr:1_{F6C1C753-7B2F-486B-98FC-7D4790BB725D}" xr6:coauthVersionLast="47" xr6:coauthVersionMax="47" xr10:uidLastSave="{00000000-0000-0000-0000-000000000000}"/>
  <bookViews>
    <workbookView xWindow="-120" yWindow="-120" windowWidth="29040" windowHeight="15720" activeTab="1" xr2:uid="{F90C01A0-AA3D-45EF-82AC-EE674863D80D}"/>
  </bookViews>
  <sheets>
    <sheet name="PLC_Diag_distributed_netlist" sheetId="1" r:id="rId1"/>
    <sheet name="BOM" sheetId="2" r:id="rId2"/>
    <sheet name="Connecto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R3" i="1"/>
  <c r="Q8" i="1"/>
  <c r="Q4" i="1"/>
  <c r="Q5" i="1"/>
  <c r="Q6" i="1"/>
  <c r="Q7" i="1"/>
  <c r="P10" i="1"/>
  <c r="P11" i="1" s="1"/>
  <c r="N6" i="1"/>
  <c r="N7" i="1"/>
  <c r="N8" i="1"/>
  <c r="N5" i="1"/>
  <c r="M4" i="1"/>
  <c r="O4" i="1" s="1"/>
  <c r="M5" i="1"/>
  <c r="O5" i="1" s="1"/>
  <c r="M6" i="1"/>
  <c r="O6" i="1" s="1"/>
  <c r="M7" i="1"/>
  <c r="O7" i="1" s="1"/>
  <c r="M8" i="1"/>
  <c r="O8" i="1" s="1"/>
  <c r="M3" i="1"/>
  <c r="O3" i="1" s="1"/>
  <c r="F2" i="1"/>
  <c r="F3" i="1"/>
  <c r="G29" i="1"/>
  <c r="E30" i="2"/>
  <c r="E28" i="2"/>
  <c r="E27" i="2"/>
  <c r="E26" i="2"/>
  <c r="E25" i="2"/>
  <c r="Q10" i="1" l="1"/>
  <c r="O10" i="1"/>
  <c r="O11" i="1" s="1"/>
  <c r="E18" i="2"/>
  <c r="E19" i="2"/>
  <c r="E20" i="2"/>
  <c r="E21" i="2"/>
  <c r="E22" i="2"/>
  <c r="E23" i="2"/>
  <c r="E17" i="2"/>
  <c r="I23" i="3"/>
  <c r="R2" i="3"/>
  <c r="M2" i="3"/>
  <c r="H2" i="3"/>
  <c r="C2" i="3"/>
  <c r="I2" i="1"/>
  <c r="I25" i="1"/>
  <c r="H14" i="1"/>
  <c r="G11" i="1"/>
  <c r="H11" i="1" s="1"/>
  <c r="F52" i="1" a="1"/>
  <c r="F52" i="1" s="1"/>
  <c r="G2" i="1"/>
  <c r="H2" i="1" s="1"/>
  <c r="E15" i="2"/>
  <c r="D14" i="2"/>
  <c r="E14" i="2" s="1"/>
  <c r="J39" i="1"/>
  <c r="D13" i="2" s="1"/>
  <c r="E13" i="2" s="1"/>
  <c r="K43" i="1"/>
  <c r="E4" i="2"/>
  <c r="C3" i="2"/>
  <c r="E3" i="2" s="1"/>
  <c r="C2" i="2"/>
  <c r="E2" i="2" s="1"/>
  <c r="I39" i="1"/>
  <c r="J37" i="1"/>
  <c r="D11" i="2" s="1"/>
  <c r="E11" i="2" s="1"/>
  <c r="J38" i="1"/>
  <c r="J36" i="1"/>
  <c r="I37" i="1"/>
  <c r="I38" i="1"/>
  <c r="I36" i="1"/>
  <c r="I24" i="1"/>
  <c r="K30" i="1"/>
  <c r="I27" i="1"/>
  <c r="J27" i="1"/>
  <c r="I26" i="1" a="1"/>
  <c r="I26" i="1" s="1"/>
  <c r="J25" i="1"/>
  <c r="G20" i="1"/>
  <c r="G3" i="1"/>
  <c r="H3" i="1" s="1"/>
  <c r="I3" i="1" s="1"/>
  <c r="M39" i="1" l="1"/>
  <c r="N39" i="1" s="1"/>
  <c r="H7" i="1"/>
  <c r="H8" i="1" s="1"/>
  <c r="M38" i="1"/>
  <c r="N38" i="1" s="1"/>
  <c r="M37" i="1"/>
  <c r="N37" i="1" s="1"/>
  <c r="D9" i="2"/>
  <c r="E9" i="2" s="1"/>
  <c r="D10" i="2"/>
  <c r="E10" i="2" s="1"/>
  <c r="D12" i="2"/>
  <c r="E12" i="2" s="1"/>
  <c r="I43" i="1"/>
  <c r="D6" i="2"/>
  <c r="E6" i="2" s="1"/>
  <c r="D8" i="2"/>
  <c r="E8" i="2" s="1"/>
  <c r="D7" i="2"/>
  <c r="E7" i="2" s="1"/>
  <c r="J43" i="1"/>
  <c r="M36" i="1"/>
  <c r="N36" i="1" s="1"/>
  <c r="J30" i="1"/>
  <c r="I30" i="1"/>
  <c r="I14" i="1"/>
  <c r="H17" i="1"/>
  <c r="J14" i="1"/>
  <c r="G7" i="1"/>
  <c r="G8" i="1" s="1"/>
  <c r="K3" i="2" l="1"/>
  <c r="N41" i="1"/>
  <c r="J17" i="1"/>
  <c r="I15" i="1"/>
  <c r="I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<sst xmlns="http://schemas.openxmlformats.org/spreadsheetml/2006/main" count="305" uniqueCount="185">
  <si>
    <t>Net Name</t>
  </si>
  <si>
    <t># Nodes</t>
  </si>
  <si>
    <t>External?</t>
  </si>
  <si>
    <t>AUX PSU C1 -24</t>
  </si>
  <si>
    <t>AUX PSU C2 +24</t>
  </si>
  <si>
    <t>AUX PSU C2 -24</t>
  </si>
  <si>
    <t>Level Switch -</t>
  </si>
  <si>
    <t>PLC I-05</t>
  </si>
  <si>
    <t>PLC O-10</t>
  </si>
  <si>
    <t>PLC O-09</t>
  </si>
  <si>
    <t>PLC O-08</t>
  </si>
  <si>
    <t>PLC O-07</t>
  </si>
  <si>
    <t>PLC O-06</t>
  </si>
  <si>
    <t>Waste Pump Contactor +</t>
  </si>
  <si>
    <t>MAV RL PA1</t>
  </si>
  <si>
    <t>MWV RL PA1</t>
  </si>
  <si>
    <t>PLC O-03</t>
  </si>
  <si>
    <t>PLC O-04</t>
  </si>
  <si>
    <t>PLC O-05</t>
  </si>
  <si>
    <t>PLC O-00</t>
  </si>
  <si>
    <t>PLC O-02</t>
  </si>
  <si>
    <t>Pressure Washer Contactor +</t>
  </si>
  <si>
    <t>PLC O-01</t>
  </si>
  <si>
    <t>MAV PLC RL P12</t>
  </si>
  <si>
    <t>Stop Button -</t>
  </si>
  <si>
    <t>Pause Button -</t>
  </si>
  <si>
    <t>Start Button -</t>
  </si>
  <si>
    <t>Pumping Indicator +</t>
  </si>
  <si>
    <t>Drying Indicator +</t>
  </si>
  <si>
    <t>Washing Indicator +</t>
  </si>
  <si>
    <t>Error Light +</t>
  </si>
  <si>
    <t>Start Light +</t>
  </si>
  <si>
    <t>Pause Light +</t>
  </si>
  <si>
    <t>Stop Light +</t>
  </si>
  <si>
    <t>PLC  PSU C1 -24</t>
  </si>
  <si>
    <t>PLC  PSU C1 +24</t>
  </si>
  <si>
    <t>Valve 2-4 p3</t>
  </si>
  <si>
    <t>Valve 2-4 p1</t>
  </si>
  <si>
    <t>Valve 2-3 p3</t>
  </si>
  <si>
    <t>Valve 2-3 p1</t>
  </si>
  <si>
    <t>Valve 2-2 p3</t>
  </si>
  <si>
    <t>Valve 2-2 p1</t>
  </si>
  <si>
    <t>Valve 2-1 p3</t>
  </si>
  <si>
    <t>Valve 2-1 p1</t>
  </si>
  <si>
    <t>Valve 1-4 p3</t>
  </si>
  <si>
    <t>Valve 1-4 p1</t>
  </si>
  <si>
    <t>Water Valve p3</t>
  </si>
  <si>
    <t>Water Valve p1</t>
  </si>
  <si>
    <t>Air Valve p3</t>
  </si>
  <si>
    <t>Air Valve p1</t>
  </si>
  <si>
    <t>Valve 1-3 p3</t>
  </si>
  <si>
    <t>Valve 1-3 p1</t>
  </si>
  <si>
    <t>Valve 1-2 p3</t>
  </si>
  <si>
    <t>Valve 1-2 p1</t>
  </si>
  <si>
    <t>Valve 1-1 p3</t>
  </si>
  <si>
    <t>Valve 1-1 p1</t>
  </si>
  <si>
    <t>Part</t>
  </si>
  <si>
    <t>Part #</t>
  </si>
  <si>
    <t>Cost</t>
  </si>
  <si>
    <t>Qty</t>
  </si>
  <si>
    <t>Total Cost</t>
  </si>
  <si>
    <t>Link</t>
  </si>
  <si>
    <t>1529T11</t>
  </si>
  <si>
    <t>1529T32</t>
  </si>
  <si>
    <t>Bus Bar Mount</t>
  </si>
  <si>
    <t>Bus Bar Rod</t>
  </si>
  <si>
    <t>1529T21</t>
  </si>
  <si>
    <t>Bus Rod Length</t>
  </si>
  <si>
    <t>Bus bar length</t>
  </si>
  <si>
    <t>Bus Terminals</t>
  </si>
  <si>
    <t>2 port terminal blocks</t>
  </si>
  <si>
    <t>Single Circuit</t>
  </si>
  <si>
    <t>Jumped</t>
  </si>
  <si>
    <t>3 Port TB</t>
  </si>
  <si>
    <t>4 Port TB</t>
  </si>
  <si>
    <t>Total</t>
  </si>
  <si>
    <t>Color</t>
  </si>
  <si>
    <t>2 Port</t>
  </si>
  <si>
    <t>3 port</t>
  </si>
  <si>
    <t>4 Port</t>
  </si>
  <si>
    <t>Meaning</t>
  </si>
  <si>
    <t>Logical Output</t>
  </si>
  <si>
    <t>PLC Output</t>
  </si>
  <si>
    <t>Blue</t>
  </si>
  <si>
    <t>PLC Input</t>
  </si>
  <si>
    <t>Grey</t>
  </si>
  <si>
    <t>Interconnection</t>
  </si>
  <si>
    <t>Orange</t>
  </si>
  <si>
    <t>Type</t>
  </si>
  <si>
    <t>Yellow</t>
  </si>
  <si>
    <t>9473T173</t>
  </si>
  <si>
    <t>9473T177</t>
  </si>
  <si>
    <t>https://www.mcmaster.com/9473T173/</t>
  </si>
  <si>
    <t>https://www.mcmaster.com/9473T177/</t>
  </si>
  <si>
    <t>https://www.mcmaster.com/9473T182/</t>
  </si>
  <si>
    <t>9473T182</t>
  </si>
  <si>
    <t>9473T194</t>
  </si>
  <si>
    <t>https://www.mcmaster.com/9473T194/</t>
  </si>
  <si>
    <t>Jumper</t>
  </si>
  <si>
    <t xml:space="preserve">Total Cost </t>
  </si>
  <si>
    <t>Yellow 2 port Terminal Block</t>
  </si>
  <si>
    <t>Blue 2 port Terminal Block</t>
  </si>
  <si>
    <t>Orange 2 Port Terminal Block</t>
  </si>
  <si>
    <t>Grey 2 Port Terminal Block</t>
  </si>
  <si>
    <t>Yellow 3 port Terminal Block</t>
  </si>
  <si>
    <t>Blue 3 port Terminal Block</t>
  </si>
  <si>
    <t>Orange 3 Port Terminal Block</t>
  </si>
  <si>
    <t>Grey 3 Port Terminal Block</t>
  </si>
  <si>
    <t>Grey 4 Port Terminal Block</t>
  </si>
  <si>
    <t>Bus Bar Terminal Block</t>
  </si>
  <si>
    <t>Worked from 3-8:55 9/4</t>
  </si>
  <si>
    <t>Length of Blocks</t>
  </si>
  <si>
    <t>In</t>
  </si>
  <si>
    <t>Cm</t>
  </si>
  <si>
    <t>Pin list</t>
  </si>
  <si>
    <t>Pin Count</t>
  </si>
  <si>
    <t>Destination</t>
  </si>
  <si>
    <t>Electrical Box</t>
  </si>
  <si>
    <t>PLC PSU +</t>
  </si>
  <si>
    <t>PLC PSU -</t>
  </si>
  <si>
    <t>AUX PSU C1+</t>
  </si>
  <si>
    <t>AUX PSU C1-</t>
  </si>
  <si>
    <t>AUX PSU C2+</t>
  </si>
  <si>
    <t>AUX PSU C2-</t>
  </si>
  <si>
    <t>WP CT +</t>
  </si>
  <si>
    <t>WP CT -</t>
  </si>
  <si>
    <t>PW CT +</t>
  </si>
  <si>
    <t>PW CT -</t>
  </si>
  <si>
    <t>Valves</t>
  </si>
  <si>
    <t>Button Panel</t>
  </si>
  <si>
    <t>Washing Light +</t>
  </si>
  <si>
    <t>Drying Light +</t>
  </si>
  <si>
    <t>Pumping Light +</t>
  </si>
  <si>
    <t>Button Panel +</t>
  </si>
  <si>
    <t>Button Panel -</t>
  </si>
  <si>
    <t>Basin</t>
  </si>
  <si>
    <t>Level Switch +</t>
  </si>
  <si>
    <t>16 Pin Connector Male</t>
  </si>
  <si>
    <t>16 Pin Connector Female</t>
  </si>
  <si>
    <t>16 Pin Connector Hood</t>
  </si>
  <si>
    <t>16 Pin Connector Base</t>
  </si>
  <si>
    <t>Code Pins</t>
  </si>
  <si>
    <t>https://www.automationdirect.com/adc/shopping/catalog/wiring_solutions/multi-wire_connectors/code_pins_-z-_polarization_keys/zp-mc-codepin-2</t>
  </si>
  <si>
    <t>ZP-MC-CODEPIN-2</t>
  </si>
  <si>
    <t>https://www.automationdirect.com/adc/shopping/catalog/wiring_solutions/multi-wire_connectors/housings/zp-mc16b-2-ste21m</t>
  </si>
  <si>
    <t>https://www.automationdirect.com/adc/shopping/catalog/wiring_solutions/multi-wire_connectors/inserts/zp-mc16b-1-mc016-2</t>
  </si>
  <si>
    <t>ZP-MC16B-1-MC016-2</t>
  </si>
  <si>
    <t>ZP-MC16B-1-FC016-2</t>
  </si>
  <si>
    <t>https://www.automationdirect.com/adc/shopping/catalog/wiring_solutions/multi-wire_connectors/inserts/zp-mc16b-1-fc016-2</t>
  </si>
  <si>
    <t>https://www.automationdirect.com/adc/shopping/catalog/wiring_solutions/multi-wire_connectors/housings/zp-mc16b-2-sbhc</t>
  </si>
  <si>
    <t>ZP-MC16B-2-STE21M</t>
  </si>
  <si>
    <t>ZP-MC16B-2-SBHC</t>
  </si>
  <si>
    <t>Crimp Contacts Male</t>
  </si>
  <si>
    <t>Crimp Contacts Female</t>
  </si>
  <si>
    <t>ZP-MC-CC-F16A-18</t>
  </si>
  <si>
    <t>https://www.automationdirect.com/adc/shopping/catalog/wiring_solutions/multi-wire_connectors/crimp_contacts/zp-mc-cc-f16a-18</t>
  </si>
  <si>
    <t>ZP-MC-CC-M16A-18</t>
  </si>
  <si>
    <t>https://www.automationdirect.com/adc/shopping/catalog/wiring_solutions/multi-wire_connectors/crimp_contacts/zp-mc-cc-m16a-18</t>
  </si>
  <si>
    <t>https://www.automationdirect.com/adc/shopping/catalog/enclosures_-a-_racks/wall-mount_enclosures/sce-36n2408lp</t>
  </si>
  <si>
    <t>SCE-36N2408LP</t>
  </si>
  <si>
    <t>https://www.automationdirect.com/adc/shopping/catalog/enclosures_-a-_racks/subpanels/sce-36n24mpp</t>
  </si>
  <si>
    <t>SCE-36N24MPP</t>
  </si>
  <si>
    <t>HMI/Button Enclosure</t>
  </si>
  <si>
    <t>https://www.automationdirect.com/adc/shopping/catalog/enclosures_-a-_racks/wall-mount_enclosures/sce-8n804lp</t>
  </si>
  <si>
    <t>SCE-8N8MPP</t>
  </si>
  <si>
    <t>SCE-8N804LP</t>
  </si>
  <si>
    <t>https://www.automationdirect.com/adc/shopping/catalog/enclosures_-a-_racks/subpanels/sce-8n8mpp</t>
  </si>
  <si>
    <t>HMI/Button Sub Panel</t>
  </si>
  <si>
    <t>PLC Enclosure</t>
  </si>
  <si>
    <t>PLC Enclosure Sub Panel</t>
  </si>
  <si>
    <t>Wire Ferrules</t>
  </si>
  <si>
    <t>https://www.mcmaster.com/7950K71/</t>
  </si>
  <si>
    <t>7950K71</t>
  </si>
  <si>
    <t>Net Counts</t>
  </si>
  <si>
    <t>Wire length</t>
  </si>
  <si>
    <t>Wire color</t>
  </si>
  <si>
    <t>Black</t>
  </si>
  <si>
    <t>Red</t>
  </si>
  <si>
    <t>Spool length</t>
  </si>
  <si>
    <t>Black wire 500ft</t>
  </si>
  <si>
    <t>Red Wire 200ft</t>
  </si>
  <si>
    <t>Yellow Wire 500ft</t>
  </si>
  <si>
    <t>Grey Wire 200ft</t>
  </si>
  <si>
    <t>Orange Wire 25ft</t>
  </si>
  <si>
    <t>https://www.mcmaster.com/8054T15/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</si>
</sst>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333333"/>
      <name val="Arial"/>
      <family val="2"/>
    </font>
    <font>
      <sz val="8"/>
      <name val="Aptos Narrow"/>
      <family val="2"/>
      <scheme val="minor"/>
    </font>
    <font>
      <sz val="9"/>
      <color rgb="FF59595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2" fillId="0" borderId="0" xfId="0" applyFont="1" applyAlignment="1">
      <alignment horizontal="center" vertical="center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473T194/" TargetMode="External"/><Relationship Id="rId13" Type="http://schemas.openxmlformats.org/officeDocument/2006/relationships/hyperlink" Target="https://www.automationdirect.com/adc/shopping/catalog/wiring_solutions/multi-wire_connectors/code_pins_-z-_polarization_keys/zp-mc-codepin-2" TargetMode="External"/><Relationship Id="rId18" Type="http://schemas.openxmlformats.org/officeDocument/2006/relationships/hyperlink" Target="https://www.automationdirect.com/adc/shopping/catalog/enclosures_-a-_racks/subpanels/sce-8n8mp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473T177/" TargetMode="External"/><Relationship Id="rId21" Type="http://schemas.openxmlformats.org/officeDocument/2006/relationships/hyperlink" Target="https://www.mcmaster.com/8054T15/" TargetMode="External"/><Relationship Id="rId7" Type="http://schemas.openxmlformats.org/officeDocument/2006/relationships/hyperlink" Target="https://www.mcmaster.com/9473T182/" TargetMode="External"/><Relationship Id="rId12" Type="http://schemas.openxmlformats.org/officeDocument/2006/relationships/hyperlink" Target="https://www.automationdirect.com/adc/shopping/catalog/wiring_solutions/multi-wire_connectors/housings/zp-mc16b-2-sbhc" TargetMode="External"/><Relationship Id="rId17" Type="http://schemas.openxmlformats.org/officeDocument/2006/relationships/hyperlink" Target="https://www.automationdirect.com/adc/shopping/catalog/enclosures_-a-_racks/subpanels/sce-36n24mpp" TargetMode="External"/><Relationship Id="rId25" Type="http://schemas.openxmlformats.org/officeDocument/2006/relationships/hyperlink" Target="https://www.mcmaster.com/8054T15/" TargetMode="External"/><Relationship Id="rId2" Type="http://schemas.openxmlformats.org/officeDocument/2006/relationships/hyperlink" Target="https://www.mcmaster.com/9473T173/" TargetMode="External"/><Relationship Id="rId16" Type="http://schemas.openxmlformats.org/officeDocument/2006/relationships/hyperlink" Target="https://www.automationdirect.com/adc/shopping/catalog/enclosures_-a-_racks/wall-mount_enclosures/sce-36n2408lp" TargetMode="External"/><Relationship Id="rId20" Type="http://schemas.openxmlformats.org/officeDocument/2006/relationships/hyperlink" Target="https://www.mcmaster.com/7950K71" TargetMode="External"/><Relationship Id="rId1" Type="http://schemas.openxmlformats.org/officeDocument/2006/relationships/hyperlink" Target="https://www.mcmaster.com/9473T173/" TargetMode="External"/><Relationship Id="rId6" Type="http://schemas.openxmlformats.org/officeDocument/2006/relationships/hyperlink" Target="https://www.mcmaster.com/9473T177/" TargetMode="External"/><Relationship Id="rId11" Type="http://schemas.openxmlformats.org/officeDocument/2006/relationships/hyperlink" Target="https://www.automationdirect.com/adc/shopping/catalog/wiring_solutions/multi-wire_connectors/housings/zp-mc16b-2-ste21m" TargetMode="External"/><Relationship Id="rId24" Type="http://schemas.openxmlformats.org/officeDocument/2006/relationships/hyperlink" Target="https://www.mcmaster.com/8054T15/" TargetMode="External"/><Relationship Id="rId5" Type="http://schemas.openxmlformats.org/officeDocument/2006/relationships/hyperlink" Target="https://www.mcmaster.com/9473T177/" TargetMode="External"/><Relationship Id="rId15" Type="http://schemas.openxmlformats.org/officeDocument/2006/relationships/hyperlink" Target="https://www.automationdirect.com/adc/shopping/catalog/wiring_solutions/multi-wire_connectors/crimp_contacts/zp-mc-cc-m16a-18" TargetMode="External"/><Relationship Id="rId23" Type="http://schemas.openxmlformats.org/officeDocument/2006/relationships/hyperlink" Target="https://www.mcmaster.com/8054T15/" TargetMode="External"/><Relationship Id="rId10" Type="http://schemas.openxmlformats.org/officeDocument/2006/relationships/hyperlink" Target="https://www.automationdirect.com/adc/shopping/catalog/wiring_solutions/multi-wire_connectors/inserts/zp-mc16b-1-fc016-2" TargetMode="External"/><Relationship Id="rId19" Type="http://schemas.openxmlformats.org/officeDocument/2006/relationships/hyperlink" Target="https://www.automationdirect.com/adc/shopping/catalog/enclosures_-a-_racks/wall-mount_enclosures/sce-8n804lp" TargetMode="External"/><Relationship Id="rId4" Type="http://schemas.openxmlformats.org/officeDocument/2006/relationships/hyperlink" Target="https://www.mcmaster.com/9473T177/" TargetMode="External"/><Relationship Id="rId9" Type="http://schemas.openxmlformats.org/officeDocument/2006/relationships/hyperlink" Target="https://www.automationdirect.com/adc/shopping/catalog/wiring_solutions/multi-wire_connectors/inserts/zp-mc16b-1-mc016-2" TargetMode="External"/><Relationship Id="rId14" Type="http://schemas.openxmlformats.org/officeDocument/2006/relationships/hyperlink" Target="https://www.automationdirect.com/adc/shopping/catalog/wiring_solutions/multi-wire_connectors/crimp_contacts/zp-mc-cc-f16a-18" TargetMode="External"/><Relationship Id="rId22" Type="http://schemas.openxmlformats.org/officeDocument/2006/relationships/hyperlink" Target="https://www.mcmaster.com/8054T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B2C0-C3D0-4F6C-9DCA-6317532688FB}">
  <dimension ref="A1:R53"/>
  <sheetViews>
    <sheetView topLeftCell="F1" zoomScaleNormal="115" workbookViewId="0">
      <selection activeCell="M14" sqref="M14:N18"/>
    </sheetView>
  </sheetViews>
  <sheetFormatPr defaultRowHeight="15" x14ac:dyDescent="0.25"/>
  <cols>
    <col min="1" max="1" width="3.42578125" bestFit="1" customWidth="1"/>
    <col min="2" max="2" width="26.85546875" bestFit="1" customWidth="1"/>
    <col min="5" max="5" width="15.7109375" bestFit="1" customWidth="1"/>
    <col min="6" max="6" width="14.42578125" bestFit="1" customWidth="1"/>
    <col min="7" max="7" width="20.42578125" bestFit="1" customWidth="1"/>
    <col min="12" max="12" width="15" bestFit="1" customWidth="1"/>
    <col min="15" max="15" width="12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88</v>
      </c>
      <c r="G1" t="s">
        <v>67</v>
      </c>
      <c r="H1" t="s">
        <v>68</v>
      </c>
      <c r="O1">
        <v>40</v>
      </c>
    </row>
    <row r="2" spans="1:18" x14ac:dyDescent="0.25">
      <c r="A2">
        <v>0</v>
      </c>
      <c r="B2" t="s">
        <v>3</v>
      </c>
      <c r="C2">
        <v>64</v>
      </c>
      <c r="D2" t="b">
        <v>1</v>
      </c>
      <c r="E2" t="s">
        <v>5</v>
      </c>
      <c r="F2">
        <f>C2*40/12</f>
        <v>213.33333333333334</v>
      </c>
      <c r="G2">
        <f>0.75*C2</f>
        <v>48</v>
      </c>
      <c r="H2">
        <f>G2+2*0.95</f>
        <v>49.9</v>
      </c>
      <c r="I2">
        <f>H2/2.54</f>
        <v>19.645669291338582</v>
      </c>
      <c r="L2" t="s">
        <v>173</v>
      </c>
      <c r="N2" t="s">
        <v>175</v>
      </c>
      <c r="O2" t="s">
        <v>174</v>
      </c>
      <c r="P2" t="s">
        <v>178</v>
      </c>
    </row>
    <row r="3" spans="1:18" x14ac:dyDescent="0.25">
      <c r="A3">
        <v>1</v>
      </c>
      <c r="B3" t="s">
        <v>4</v>
      </c>
      <c r="C3">
        <v>34</v>
      </c>
      <c r="D3" t="b">
        <v>1</v>
      </c>
      <c r="E3" t="s">
        <v>4</v>
      </c>
      <c r="F3">
        <f>C3*40/12</f>
        <v>113.33333333333333</v>
      </c>
      <c r="G3">
        <f>0.75*C3</f>
        <v>25.5</v>
      </c>
      <c r="H3">
        <f t="shared" ref="H3" si="0">G3+2*0.95</f>
        <v>27.4</v>
      </c>
      <c r="I3">
        <f>H3/2.54</f>
        <v>10.787401574803148</v>
      </c>
      <c r="L3" t="s">
        <v>5</v>
      </c>
      <c r="M3">
        <f>SUMIF(E:E,L3,C:C)</f>
        <v>64</v>
      </c>
      <c r="N3" t="s">
        <v>176</v>
      </c>
      <c r="O3">
        <f>M3*$O$1/12</f>
        <v>213.33333333333334</v>
      </c>
      <c r="P3">
        <v>500</v>
      </c>
      <c r="Q3" s="4">
        <f>VLOOKUP(P3,$M$14:$N$18, 2,TRUE)</f>
        <v>77.930000000000007</v>
      </c>
      <c r="R3" s="4" t="e">
        <f>VLOOKUP(Q2,$M$14:$O$18, 3,TRUE)</f>
        <v>#N/A</v>
      </c>
    </row>
    <row r="4" spans="1:18" x14ac:dyDescent="0.25">
      <c r="A4">
        <v>2</v>
      </c>
      <c r="B4" t="s">
        <v>7</v>
      </c>
      <c r="C4">
        <v>5</v>
      </c>
      <c r="D4" t="b">
        <v>0</v>
      </c>
      <c r="E4" t="s">
        <v>84</v>
      </c>
      <c r="L4" t="s">
        <v>4</v>
      </c>
      <c r="M4">
        <f t="shared" ref="M4:M8" si="1">SUMIF(E:E,L4,C:C)</f>
        <v>34</v>
      </c>
      <c r="N4" t="s">
        <v>177</v>
      </c>
      <c r="O4">
        <f t="shared" ref="O4:O8" si="2">M4*$O$1/12</f>
        <v>113.33333333333333</v>
      </c>
      <c r="P4">
        <v>200</v>
      </c>
      <c r="Q4" s="4">
        <f>VLOOKUP(P4,$M$14:$N$18, 2,FALSE)</f>
        <v>37.4</v>
      </c>
    </row>
    <row r="5" spans="1:18" x14ac:dyDescent="0.25">
      <c r="A5">
        <v>3</v>
      </c>
      <c r="B5" t="s">
        <v>6</v>
      </c>
      <c r="C5">
        <v>5</v>
      </c>
      <c r="D5" t="b">
        <v>1</v>
      </c>
      <c r="E5" t="s">
        <v>84</v>
      </c>
      <c r="L5" t="s">
        <v>81</v>
      </c>
      <c r="M5">
        <f t="shared" si="1"/>
        <v>45</v>
      </c>
      <c r="N5" t="str">
        <f>H24</f>
        <v>Yellow</v>
      </c>
      <c r="O5">
        <f t="shared" si="2"/>
        <v>150</v>
      </c>
      <c r="P5">
        <v>500</v>
      </c>
      <c r="Q5" s="4">
        <f>VLOOKUP(P5,$M$14:$N$18, 2,FALSE)</f>
        <v>77.930000000000007</v>
      </c>
    </row>
    <row r="6" spans="1:18" x14ac:dyDescent="0.25">
      <c r="A6">
        <v>4</v>
      </c>
      <c r="B6" t="s">
        <v>14</v>
      </c>
      <c r="C6">
        <v>3</v>
      </c>
      <c r="D6" t="b">
        <v>0</v>
      </c>
      <c r="E6" t="s">
        <v>86</v>
      </c>
      <c r="L6" t="s">
        <v>82</v>
      </c>
      <c r="M6">
        <f t="shared" si="1"/>
        <v>46</v>
      </c>
      <c r="N6" t="str">
        <f t="shared" ref="N6:N8" si="3">H25</f>
        <v>Blue</v>
      </c>
      <c r="O6">
        <f t="shared" si="2"/>
        <v>153.33333333333334</v>
      </c>
      <c r="P6">
        <v>200</v>
      </c>
      <c r="Q6" s="4">
        <f>VLOOKUP(P6,$M$14:$N$18, 2,FALSE)</f>
        <v>37.4</v>
      </c>
    </row>
    <row r="7" spans="1:18" x14ac:dyDescent="0.25">
      <c r="A7">
        <v>5</v>
      </c>
      <c r="B7" t="s">
        <v>15</v>
      </c>
      <c r="C7">
        <v>3</v>
      </c>
      <c r="D7" t="b">
        <v>0</v>
      </c>
      <c r="E7" t="s">
        <v>86</v>
      </c>
      <c r="G7">
        <f>SUM(G2:G5)</f>
        <v>73.5</v>
      </c>
      <c r="H7">
        <f>SUM(H2:H5)</f>
        <v>77.3</v>
      </c>
      <c r="I7" t="s">
        <v>113</v>
      </c>
      <c r="L7" t="s">
        <v>84</v>
      </c>
      <c r="M7">
        <f t="shared" si="1"/>
        <v>16</v>
      </c>
      <c r="N7" t="str">
        <f t="shared" si="3"/>
        <v>Grey</v>
      </c>
      <c r="O7">
        <f t="shared" si="2"/>
        <v>53.333333333333336</v>
      </c>
      <c r="P7">
        <v>100</v>
      </c>
      <c r="Q7" s="4">
        <f>VLOOKUP(P7,$M$14:$N$18, 2,FALSE)</f>
        <v>20.78</v>
      </c>
    </row>
    <row r="8" spans="1:18" x14ac:dyDescent="0.25">
      <c r="A8">
        <v>6</v>
      </c>
      <c r="B8" t="s">
        <v>13</v>
      </c>
      <c r="C8">
        <v>3</v>
      </c>
      <c r="D8" t="b">
        <v>1</v>
      </c>
      <c r="E8" t="s">
        <v>81</v>
      </c>
      <c r="G8">
        <f>G7/2.54</f>
        <v>28.937007874015748</v>
      </c>
      <c r="H8">
        <f>H7/2.54</f>
        <v>30.43307086614173</v>
      </c>
      <c r="I8" t="s">
        <v>112</v>
      </c>
      <c r="L8" t="s">
        <v>86</v>
      </c>
      <c r="M8">
        <f t="shared" si="1"/>
        <v>8</v>
      </c>
      <c r="N8" t="str">
        <f t="shared" si="3"/>
        <v>Orange</v>
      </c>
      <c r="O8">
        <f t="shared" si="2"/>
        <v>26.666666666666668</v>
      </c>
      <c r="P8">
        <v>25</v>
      </c>
      <c r="Q8" s="4">
        <f>VLOOKUP(P8,$M$14:$N$18, 2,FALSE)</f>
        <v>6.3</v>
      </c>
    </row>
    <row r="9" spans="1:18" x14ac:dyDescent="0.25">
      <c r="A9">
        <v>7</v>
      </c>
      <c r="B9" t="s">
        <v>19</v>
      </c>
      <c r="C9">
        <v>3</v>
      </c>
      <c r="D9" t="b">
        <v>0</v>
      </c>
      <c r="E9" t="s">
        <v>82</v>
      </c>
    </row>
    <row r="10" spans="1:18" x14ac:dyDescent="0.25">
      <c r="A10">
        <v>8</v>
      </c>
      <c r="B10" t="s">
        <v>20</v>
      </c>
      <c r="C10">
        <v>3</v>
      </c>
      <c r="D10" t="b">
        <v>0</v>
      </c>
      <c r="E10" t="s">
        <v>82</v>
      </c>
      <c r="G10" t="s">
        <v>69</v>
      </c>
      <c r="O10">
        <f>SUM(O3:O8)</f>
        <v>710</v>
      </c>
      <c r="P10">
        <f>SUM(P3:P8)</f>
        <v>1525</v>
      </c>
      <c r="Q10">
        <f>SUM(Q3:Q8)</f>
        <v>257.74</v>
      </c>
    </row>
    <row r="11" spans="1:18" x14ac:dyDescent="0.25">
      <c r="A11">
        <v>9</v>
      </c>
      <c r="B11" t="s">
        <v>16</v>
      </c>
      <c r="C11">
        <v>3</v>
      </c>
      <c r="D11" t="b">
        <v>0</v>
      </c>
      <c r="E11" t="s">
        <v>82</v>
      </c>
      <c r="G11">
        <f>SUM(C2:C3)</f>
        <v>98</v>
      </c>
      <c r="H11">
        <f>G11*5</f>
        <v>490</v>
      </c>
      <c r="O11">
        <f>O10/300</f>
        <v>2.3666666666666667</v>
      </c>
      <c r="P11">
        <f>P10/300</f>
        <v>5.083333333333333</v>
      </c>
    </row>
    <row r="12" spans="1:18" x14ac:dyDescent="0.25">
      <c r="A12">
        <v>10</v>
      </c>
      <c r="B12" t="s">
        <v>17</v>
      </c>
      <c r="C12">
        <v>3</v>
      </c>
      <c r="D12" t="b">
        <v>0</v>
      </c>
      <c r="E12" t="s">
        <v>82</v>
      </c>
    </row>
    <row r="13" spans="1:18" x14ac:dyDescent="0.25">
      <c r="A13">
        <v>11</v>
      </c>
      <c r="B13" t="s">
        <v>18</v>
      </c>
      <c r="C13">
        <v>3</v>
      </c>
      <c r="D13" t="b">
        <v>0</v>
      </c>
      <c r="E13" t="s">
        <v>82</v>
      </c>
      <c r="H13" t="s">
        <v>70</v>
      </c>
      <c r="I13" t="s">
        <v>73</v>
      </c>
      <c r="J13" t="s">
        <v>74</v>
      </c>
      <c r="O13" s="4"/>
      <c r="P13" s="4"/>
      <c r="Q13">
        <v>178.03</v>
      </c>
    </row>
    <row r="14" spans="1:18" x14ac:dyDescent="0.25">
      <c r="A14">
        <v>12</v>
      </c>
      <c r="B14" t="s">
        <v>12</v>
      </c>
      <c r="C14">
        <v>3</v>
      </c>
      <c r="D14" t="b">
        <v>0</v>
      </c>
      <c r="E14" t="s">
        <v>82</v>
      </c>
      <c r="G14" t="s">
        <v>71</v>
      </c>
      <c r="H14">
        <f>COUNTIFS($C$2:$C$56,2,$D$2:$D$56,TRUE)</f>
        <v>33</v>
      </c>
      <c r="I14">
        <f>COUNTIF($C$2:$C$56,3)</f>
        <v>13</v>
      </c>
      <c r="J14">
        <f>COUNTIF($C$2:$C$56,5)</f>
        <v>2</v>
      </c>
      <c r="M14">
        <v>25</v>
      </c>
      <c r="N14">
        <v>6.3</v>
      </c>
      <c r="O14" s="4"/>
      <c r="P14" s="4"/>
    </row>
    <row r="15" spans="1:18" x14ac:dyDescent="0.25">
      <c r="A15">
        <v>13</v>
      </c>
      <c r="B15" t="s">
        <v>11</v>
      </c>
      <c r="C15">
        <v>3</v>
      </c>
      <c r="D15" t="b">
        <v>0</v>
      </c>
      <c r="E15" t="s">
        <v>82</v>
      </c>
      <c r="G15" t="s">
        <v>72</v>
      </c>
      <c r="I15">
        <f>J14</f>
        <v>2</v>
      </c>
      <c r="M15">
        <v>50</v>
      </c>
      <c r="N15">
        <v>11.43</v>
      </c>
      <c r="O15" s="4"/>
    </row>
    <row r="16" spans="1:18" x14ac:dyDescent="0.25">
      <c r="A16">
        <v>14</v>
      </c>
      <c r="B16" t="s">
        <v>10</v>
      </c>
      <c r="C16">
        <v>3</v>
      </c>
      <c r="D16" t="b">
        <v>0</v>
      </c>
      <c r="E16" t="s">
        <v>82</v>
      </c>
      <c r="M16">
        <v>100</v>
      </c>
      <c r="N16">
        <v>20.78</v>
      </c>
      <c r="O16" s="4"/>
    </row>
    <row r="17" spans="1:15" x14ac:dyDescent="0.25">
      <c r="A17">
        <v>15</v>
      </c>
      <c r="B17" t="s">
        <v>9</v>
      </c>
      <c r="C17">
        <v>3</v>
      </c>
      <c r="D17" t="b">
        <v>0</v>
      </c>
      <c r="E17" t="s">
        <v>82</v>
      </c>
      <c r="G17" t="s">
        <v>75</v>
      </c>
      <c r="H17">
        <f>SUM(H14:H15)</f>
        <v>33</v>
      </c>
      <c r="I17">
        <f>SUM(I14:I15)</f>
        <v>15</v>
      </c>
      <c r="J17">
        <f>SUM(J14:J15)</f>
        <v>2</v>
      </c>
      <c r="M17">
        <v>200</v>
      </c>
      <c r="N17">
        <v>37.4</v>
      </c>
      <c r="O17" s="4"/>
    </row>
    <row r="18" spans="1:15" x14ac:dyDescent="0.25">
      <c r="A18">
        <v>16</v>
      </c>
      <c r="B18" t="s">
        <v>8</v>
      </c>
      <c r="C18">
        <v>3</v>
      </c>
      <c r="D18" t="b">
        <v>0</v>
      </c>
      <c r="E18" t="s">
        <v>82</v>
      </c>
      <c r="M18">
        <v>500</v>
      </c>
      <c r="N18">
        <v>77.930000000000007</v>
      </c>
      <c r="O18" s="4"/>
    </row>
    <row r="19" spans="1:15" x14ac:dyDescent="0.25">
      <c r="A19">
        <v>17</v>
      </c>
      <c r="B19" t="s">
        <v>23</v>
      </c>
      <c r="C19">
        <v>2</v>
      </c>
      <c r="D19" t="b">
        <v>0</v>
      </c>
      <c r="E19" t="s">
        <v>86</v>
      </c>
    </row>
    <row r="20" spans="1:15" x14ac:dyDescent="0.25">
      <c r="A20">
        <v>18</v>
      </c>
      <c r="B20" t="s">
        <v>49</v>
      </c>
      <c r="C20">
        <v>2</v>
      </c>
      <c r="D20" t="b">
        <v>1</v>
      </c>
      <c r="E20" t="s">
        <v>81</v>
      </c>
      <c r="G20">
        <f>COUNT(B11:B26)</f>
        <v>0</v>
      </c>
    </row>
    <row r="21" spans="1:15" x14ac:dyDescent="0.25">
      <c r="A21">
        <v>19</v>
      </c>
      <c r="B21" t="s">
        <v>48</v>
      </c>
      <c r="C21">
        <v>2</v>
      </c>
      <c r="D21" t="b">
        <v>1</v>
      </c>
      <c r="E21" t="s">
        <v>81</v>
      </c>
    </row>
    <row r="22" spans="1:15" x14ac:dyDescent="0.25">
      <c r="A22">
        <v>20</v>
      </c>
      <c r="B22" t="s">
        <v>21</v>
      </c>
      <c r="C22">
        <v>2</v>
      </c>
      <c r="D22" t="b">
        <v>1</v>
      </c>
      <c r="E22" t="s">
        <v>81</v>
      </c>
      <c r="G22" t="s">
        <v>80</v>
      </c>
      <c r="H22" t="s">
        <v>76</v>
      </c>
      <c r="I22" t="s">
        <v>77</v>
      </c>
      <c r="J22" t="s">
        <v>78</v>
      </c>
      <c r="K22" t="s">
        <v>79</v>
      </c>
    </row>
    <row r="23" spans="1:15" x14ac:dyDescent="0.25">
      <c r="A23">
        <v>21</v>
      </c>
      <c r="B23" t="s">
        <v>55</v>
      </c>
      <c r="C23">
        <v>2</v>
      </c>
      <c r="D23" t="b">
        <v>1</v>
      </c>
      <c r="E23" t="s">
        <v>81</v>
      </c>
    </row>
    <row r="24" spans="1:15" x14ac:dyDescent="0.25">
      <c r="A24">
        <v>22</v>
      </c>
      <c r="B24" t="s">
        <v>54</v>
      </c>
      <c r="C24">
        <v>2</v>
      </c>
      <c r="D24" t="b">
        <v>1</v>
      </c>
      <c r="E24" t="s">
        <v>81</v>
      </c>
      <c r="G24" t="s">
        <v>81</v>
      </c>
      <c r="H24" t="s">
        <v>89</v>
      </c>
      <c r="I24">
        <f>COUNTIF(B2:B56,"*Valve*") + COUNTIF(B2:B56,"*Washer Contactor*")</f>
        <v>21</v>
      </c>
      <c r="J24">
        <v>1</v>
      </c>
    </row>
    <row r="25" spans="1:15" x14ac:dyDescent="0.25">
      <c r="A25">
        <v>23</v>
      </c>
      <c r="B25" t="s">
        <v>53</v>
      </c>
      <c r="C25">
        <v>2</v>
      </c>
      <c r="D25" t="b">
        <v>1</v>
      </c>
      <c r="E25" t="s">
        <v>81</v>
      </c>
      <c r="G25" t="s">
        <v>82</v>
      </c>
      <c r="H25" t="s">
        <v>83</v>
      </c>
      <c r="I25">
        <f>COUNTIFS(B2:B56, "PLC O*", C2:C56, 2, $D$2:$D$56,TRUE)+COUNTIF(B2:B56, "*Indicator +*") +COUNTIF(B2:B56, "*Light +*")</f>
        <v>7</v>
      </c>
      <c r="J25">
        <f>COUNTIFS(B2:B56, "PLC O*", C2:C56, 3)</f>
        <v>10</v>
      </c>
    </row>
    <row r="26" spans="1:15" x14ac:dyDescent="0.25">
      <c r="A26">
        <v>24</v>
      </c>
      <c r="B26" t="s">
        <v>52</v>
      </c>
      <c r="C26">
        <v>2</v>
      </c>
      <c r="D26" t="b">
        <v>1</v>
      </c>
      <c r="E26" t="s">
        <v>81</v>
      </c>
      <c r="G26" t="s">
        <v>84</v>
      </c>
      <c r="H26" t="s">
        <v>85</v>
      </c>
      <c r="I26" cm="1">
        <f t="array" ref="I26">SUM(COUNTIFS(B2:B56,{"*Switch -*","*Button -*"},C2:C56,2))</f>
        <v>3</v>
      </c>
      <c r="J26">
        <v>2</v>
      </c>
      <c r="K26">
        <v>2</v>
      </c>
    </row>
    <row r="27" spans="1:15" x14ac:dyDescent="0.25">
      <c r="A27">
        <v>25</v>
      </c>
      <c r="B27" t="s">
        <v>51</v>
      </c>
      <c r="C27">
        <v>2</v>
      </c>
      <c r="D27" t="b">
        <v>1</v>
      </c>
      <c r="E27" t="s">
        <v>81</v>
      </c>
      <c r="G27" t="s">
        <v>86</v>
      </c>
      <c r="H27" t="s">
        <v>87</v>
      </c>
      <c r="I27">
        <f>COUNTIFS(B2:B56, "*RL P*", C2:C56, 2)</f>
        <v>1</v>
      </c>
      <c r="J27">
        <f>COUNTIFS(B2:B56, "*RL P*", C2:C56, 3)</f>
        <v>2</v>
      </c>
    </row>
    <row r="28" spans="1:15" x14ac:dyDescent="0.25">
      <c r="A28">
        <v>26</v>
      </c>
      <c r="B28" t="s">
        <v>50</v>
      </c>
      <c r="C28">
        <v>2</v>
      </c>
      <c r="D28" t="b">
        <v>1</v>
      </c>
      <c r="E28" t="s">
        <v>81</v>
      </c>
    </row>
    <row r="29" spans="1:15" x14ac:dyDescent="0.25">
      <c r="A29">
        <v>27</v>
      </c>
      <c r="B29" t="s">
        <v>45</v>
      </c>
      <c r="C29">
        <v>2</v>
      </c>
      <c r="D29" t="b">
        <v>1</v>
      </c>
      <c r="E29" t="s">
        <v>81</v>
      </c>
      <c r="G29">
        <f>2000/4</f>
        <v>500</v>
      </c>
    </row>
    <row r="30" spans="1:15" x14ac:dyDescent="0.25">
      <c r="A30">
        <v>28</v>
      </c>
      <c r="B30" t="s">
        <v>44</v>
      </c>
      <c r="C30">
        <v>2</v>
      </c>
      <c r="D30" t="b">
        <v>1</v>
      </c>
      <c r="E30" t="s">
        <v>81</v>
      </c>
      <c r="I30">
        <f>SUM(I24:I27)</f>
        <v>32</v>
      </c>
      <c r="J30">
        <f t="shared" ref="J30:K30" si="4">SUM(J24:J27)</f>
        <v>15</v>
      </c>
      <c r="K30">
        <f t="shared" si="4"/>
        <v>2</v>
      </c>
    </row>
    <row r="31" spans="1:15" x14ac:dyDescent="0.25">
      <c r="A31">
        <v>29</v>
      </c>
      <c r="B31" t="s">
        <v>43</v>
      </c>
      <c r="C31">
        <v>2</v>
      </c>
      <c r="D31" t="b">
        <v>1</v>
      </c>
      <c r="E31" t="s">
        <v>81</v>
      </c>
    </row>
    <row r="32" spans="1:15" x14ac:dyDescent="0.25">
      <c r="A32">
        <v>30</v>
      </c>
      <c r="B32" t="s">
        <v>42</v>
      </c>
      <c r="C32">
        <v>2</v>
      </c>
      <c r="D32" t="b">
        <v>1</v>
      </c>
      <c r="E32" t="s">
        <v>81</v>
      </c>
    </row>
    <row r="33" spans="1:14" x14ac:dyDescent="0.25">
      <c r="A33">
        <v>31</v>
      </c>
      <c r="B33" t="s">
        <v>41</v>
      </c>
      <c r="C33">
        <v>2</v>
      </c>
      <c r="D33" t="b">
        <v>1</v>
      </c>
      <c r="E33" t="s">
        <v>81</v>
      </c>
    </row>
    <row r="34" spans="1:14" x14ac:dyDescent="0.25">
      <c r="A34">
        <v>32</v>
      </c>
      <c r="B34" t="s">
        <v>40</v>
      </c>
      <c r="C34">
        <v>2</v>
      </c>
      <c r="D34" t="b">
        <v>1</v>
      </c>
      <c r="E34" t="s">
        <v>81</v>
      </c>
      <c r="G34" t="s">
        <v>80</v>
      </c>
      <c r="H34" t="s">
        <v>76</v>
      </c>
      <c r="I34" t="s">
        <v>77</v>
      </c>
      <c r="J34" t="s">
        <v>78</v>
      </c>
      <c r="K34" t="s">
        <v>79</v>
      </c>
      <c r="M34" t="s">
        <v>75</v>
      </c>
      <c r="N34" t="s">
        <v>111</v>
      </c>
    </row>
    <row r="35" spans="1:14" x14ac:dyDescent="0.25">
      <c r="A35">
        <v>33</v>
      </c>
      <c r="B35" t="s">
        <v>39</v>
      </c>
      <c r="C35">
        <v>2</v>
      </c>
      <c r="D35" t="b">
        <v>1</v>
      </c>
      <c r="E35" t="s">
        <v>81</v>
      </c>
    </row>
    <row r="36" spans="1:14" x14ac:dyDescent="0.25">
      <c r="A36">
        <v>34</v>
      </c>
      <c r="B36" t="s">
        <v>38</v>
      </c>
      <c r="C36">
        <v>2</v>
      </c>
      <c r="D36" t="b">
        <v>1</v>
      </c>
      <c r="E36" t="s">
        <v>81</v>
      </c>
      <c r="G36" t="s">
        <v>81</v>
      </c>
      <c r="H36" t="s">
        <v>89</v>
      </c>
      <c r="I36">
        <f>COUNTIFS($C$2:$C$56, 2, $E$2:$E$56, G36)</f>
        <v>21</v>
      </c>
      <c r="J36">
        <f>COUNTIFS($C$2:$C$56, 3, $E$2:$E$56, G36)</f>
        <v>1</v>
      </c>
      <c r="M36">
        <f>SUM(I36:K36)</f>
        <v>22</v>
      </c>
      <c r="N36">
        <f>M36*0.42</f>
        <v>9.24</v>
      </c>
    </row>
    <row r="37" spans="1:14" x14ac:dyDescent="0.25">
      <c r="A37">
        <v>35</v>
      </c>
      <c r="B37" t="s">
        <v>37</v>
      </c>
      <c r="C37">
        <v>2</v>
      </c>
      <c r="D37" t="b">
        <v>1</v>
      </c>
      <c r="E37" t="s">
        <v>81</v>
      </c>
      <c r="G37" t="s">
        <v>82</v>
      </c>
      <c r="H37" t="s">
        <v>83</v>
      </c>
      <c r="I37">
        <f t="shared" ref="I37:I38" si="5">COUNTIFS($C$2:$C$56, 2, $E$2:$E$56, G37)</f>
        <v>8</v>
      </c>
      <c r="J37">
        <f t="shared" ref="J37:J38" si="6">COUNTIFS($C$2:$C$56, 3, $E$2:$E$56, G37)</f>
        <v>10</v>
      </c>
      <c r="M37">
        <f t="shared" ref="M37:M39" si="7">SUM(I37:K37)</f>
        <v>18</v>
      </c>
      <c r="N37">
        <f t="shared" ref="N37:N39" si="8">M37*0.42</f>
        <v>7.56</v>
      </c>
    </row>
    <row r="38" spans="1:14" x14ac:dyDescent="0.25">
      <c r="A38">
        <v>36</v>
      </c>
      <c r="B38" t="s">
        <v>36</v>
      </c>
      <c r="C38">
        <v>2</v>
      </c>
      <c r="D38" t="b">
        <v>1</v>
      </c>
      <c r="E38" t="s">
        <v>81</v>
      </c>
      <c r="G38" t="s">
        <v>86</v>
      </c>
      <c r="H38" t="s">
        <v>87</v>
      </c>
      <c r="I38">
        <f t="shared" si="5"/>
        <v>1</v>
      </c>
      <c r="J38">
        <f t="shared" si="6"/>
        <v>2</v>
      </c>
      <c r="M38">
        <f t="shared" si="7"/>
        <v>3</v>
      </c>
      <c r="N38">
        <f t="shared" si="8"/>
        <v>1.26</v>
      </c>
    </row>
    <row r="39" spans="1:14" x14ac:dyDescent="0.25">
      <c r="A39">
        <v>37</v>
      </c>
      <c r="B39" t="s">
        <v>47</v>
      </c>
      <c r="C39">
        <v>2</v>
      </c>
      <c r="D39" t="b">
        <v>1</v>
      </c>
      <c r="E39" t="s">
        <v>81</v>
      </c>
      <c r="G39" t="s">
        <v>84</v>
      </c>
      <c r="H39" t="s">
        <v>85</v>
      </c>
      <c r="I39">
        <f>COUNTIFS($C$2:$C$56, 2, $E$2:$E$56, G39)</f>
        <v>3</v>
      </c>
      <c r="J39">
        <f>COUNTIFS($C$2:$C$56, 3, $E$2:$E$56, G39)+K39</f>
        <v>2</v>
      </c>
      <c r="K39">
        <v>2</v>
      </c>
      <c r="M39">
        <f t="shared" si="7"/>
        <v>7</v>
      </c>
      <c r="N39">
        <f t="shared" si="8"/>
        <v>2.94</v>
      </c>
    </row>
    <row r="40" spans="1:14" x14ac:dyDescent="0.25">
      <c r="A40">
        <v>38</v>
      </c>
      <c r="B40" t="s">
        <v>46</v>
      </c>
      <c r="C40">
        <v>2</v>
      </c>
      <c r="D40" t="b">
        <v>1</v>
      </c>
      <c r="E40" t="s">
        <v>81</v>
      </c>
    </row>
    <row r="41" spans="1:14" x14ac:dyDescent="0.25">
      <c r="A41">
        <v>39</v>
      </c>
      <c r="B41" t="s">
        <v>35</v>
      </c>
      <c r="C41">
        <v>2</v>
      </c>
      <c r="D41" t="b">
        <v>1</v>
      </c>
      <c r="E41" t="s">
        <v>35</v>
      </c>
      <c r="N41">
        <f>SUM(N36:N39)</f>
        <v>21.000000000000004</v>
      </c>
    </row>
    <row r="42" spans="1:14" x14ac:dyDescent="0.25">
      <c r="A42">
        <v>40</v>
      </c>
      <c r="B42" t="s">
        <v>34</v>
      </c>
      <c r="C42">
        <v>2</v>
      </c>
      <c r="D42" t="b">
        <v>1</v>
      </c>
      <c r="E42" t="s">
        <v>34</v>
      </c>
    </row>
    <row r="43" spans="1:14" x14ac:dyDescent="0.25">
      <c r="A43">
        <v>41</v>
      </c>
      <c r="B43" t="s">
        <v>25</v>
      </c>
      <c r="C43">
        <v>2</v>
      </c>
      <c r="D43" t="b">
        <v>1</v>
      </c>
      <c r="E43" t="s">
        <v>84</v>
      </c>
      <c r="I43">
        <f>SUM(I36:I41)</f>
        <v>33</v>
      </c>
      <c r="J43">
        <f>SUM(J36:J41)</f>
        <v>15</v>
      </c>
      <c r="K43">
        <f>SUM(K36:K41)</f>
        <v>2</v>
      </c>
    </row>
    <row r="44" spans="1:14" x14ac:dyDescent="0.25">
      <c r="A44">
        <v>42</v>
      </c>
      <c r="B44" t="s">
        <v>26</v>
      </c>
      <c r="C44">
        <v>2</v>
      </c>
      <c r="D44" t="b">
        <v>1</v>
      </c>
      <c r="E44" t="s">
        <v>84</v>
      </c>
    </row>
    <row r="45" spans="1:14" x14ac:dyDescent="0.25">
      <c r="A45">
        <v>43</v>
      </c>
      <c r="B45" t="s">
        <v>24</v>
      </c>
      <c r="C45">
        <v>2</v>
      </c>
      <c r="D45" t="b">
        <v>1</v>
      </c>
      <c r="E45" t="s">
        <v>84</v>
      </c>
    </row>
    <row r="46" spans="1:14" x14ac:dyDescent="0.25">
      <c r="A46">
        <v>44</v>
      </c>
      <c r="B46" t="s">
        <v>22</v>
      </c>
      <c r="C46">
        <v>2</v>
      </c>
      <c r="D46" t="b">
        <v>0</v>
      </c>
      <c r="E46" t="s">
        <v>82</v>
      </c>
    </row>
    <row r="47" spans="1:14" x14ac:dyDescent="0.25">
      <c r="A47">
        <v>45</v>
      </c>
      <c r="B47" t="s">
        <v>28</v>
      </c>
      <c r="C47">
        <v>2</v>
      </c>
      <c r="D47" t="b">
        <v>1</v>
      </c>
      <c r="E47" t="s">
        <v>82</v>
      </c>
    </row>
    <row r="48" spans="1:14" x14ac:dyDescent="0.25">
      <c r="A48">
        <v>46</v>
      </c>
      <c r="B48" t="s">
        <v>30</v>
      </c>
      <c r="C48">
        <v>2</v>
      </c>
      <c r="D48" t="b">
        <v>1</v>
      </c>
      <c r="E48" t="s">
        <v>82</v>
      </c>
    </row>
    <row r="49" spans="1:6" x14ac:dyDescent="0.25">
      <c r="A49">
        <v>47</v>
      </c>
      <c r="B49" t="s">
        <v>32</v>
      </c>
      <c r="C49">
        <v>2</v>
      </c>
      <c r="D49" t="b">
        <v>1</v>
      </c>
      <c r="E49" t="s">
        <v>82</v>
      </c>
    </row>
    <row r="50" spans="1:6" x14ac:dyDescent="0.25">
      <c r="A50">
        <v>48</v>
      </c>
      <c r="B50" t="s">
        <v>27</v>
      </c>
      <c r="C50">
        <v>2</v>
      </c>
      <c r="D50" t="b">
        <v>1</v>
      </c>
      <c r="E50" t="s">
        <v>82</v>
      </c>
    </row>
    <row r="51" spans="1:6" x14ac:dyDescent="0.25">
      <c r="A51">
        <v>49</v>
      </c>
      <c r="B51" t="s">
        <v>31</v>
      </c>
      <c r="C51">
        <v>2</v>
      </c>
      <c r="D51" t="b">
        <v>1</v>
      </c>
      <c r="E51" t="s">
        <v>82</v>
      </c>
    </row>
    <row r="52" spans="1:6" x14ac:dyDescent="0.25">
      <c r="A52">
        <v>50</v>
      </c>
      <c r="B52" t="s">
        <v>33</v>
      </c>
      <c r="C52">
        <v>2</v>
      </c>
      <c r="D52" t="b">
        <v>1</v>
      </c>
      <c r="E52" t="s">
        <v>82</v>
      </c>
      <c r="F52" cm="1">
        <f t="array" ref="F52">SUM(C21:C56-1)</f>
        <v>30</v>
      </c>
    </row>
    <row r="53" spans="1:6" x14ac:dyDescent="0.25">
      <c r="A53">
        <v>51</v>
      </c>
      <c r="B53" t="s">
        <v>29</v>
      </c>
      <c r="C53">
        <v>2</v>
      </c>
      <c r="D53" t="b">
        <v>1</v>
      </c>
      <c r="E53" t="s">
        <v>82</v>
      </c>
    </row>
  </sheetData>
  <sortState xmlns:xlrd2="http://schemas.microsoft.com/office/spreadsheetml/2017/richdata2" ref="B2:E55">
    <sortCondition descending="1" ref="C2:C55"/>
    <sortCondition ref="E2:E55"/>
    <sortCondition ref="D2:D55" customList="TRUE,FALSE"/>
    <sortCondition ref="B2:B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22E6-1318-4D00-913D-8BAB01DA25F9}">
  <dimension ref="A1:O35"/>
  <sheetViews>
    <sheetView tabSelected="1" topLeftCell="A3" workbookViewId="0">
      <selection activeCell="C38" sqref="C38"/>
    </sheetView>
  </sheetViews>
  <sheetFormatPr defaultRowHeight="15" x14ac:dyDescent="0.25"/>
  <cols>
    <col min="1" max="1" width="27" bestFit="1" customWidth="1"/>
    <col min="2" max="2" width="19.85546875" bestFit="1" customWidth="1"/>
  </cols>
  <sheetData>
    <row r="1" spans="1:1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11" x14ac:dyDescent="0.25">
      <c r="A2" t="s">
        <v>109</v>
      </c>
      <c r="B2" s="1" t="s">
        <v>62</v>
      </c>
      <c r="C2">
        <f>5.11/5</f>
        <v>1.022</v>
      </c>
      <c r="D2">
        <v>100</v>
      </c>
      <c r="E2">
        <f>C2*D2</f>
        <v>102.2</v>
      </c>
      <c r="K2" t="s">
        <v>99</v>
      </c>
    </row>
    <row r="3" spans="1:11" x14ac:dyDescent="0.25">
      <c r="A3" t="s">
        <v>64</v>
      </c>
      <c r="B3" s="1" t="s">
        <v>63</v>
      </c>
      <c r="C3">
        <f>10.33/5</f>
        <v>2.0659999999999998</v>
      </c>
      <c r="D3">
        <v>5</v>
      </c>
      <c r="E3">
        <f>C3*D3</f>
        <v>10.329999999999998</v>
      </c>
      <c r="K3">
        <f>SUM(E2:E31)</f>
        <v>1061.78</v>
      </c>
    </row>
    <row r="4" spans="1:11" x14ac:dyDescent="0.25">
      <c r="A4" t="s">
        <v>65</v>
      </c>
      <c r="B4" s="1" t="s">
        <v>66</v>
      </c>
      <c r="C4">
        <v>31.42</v>
      </c>
      <c r="D4">
        <v>1</v>
      </c>
      <c r="E4">
        <f>C4*D4</f>
        <v>31.42</v>
      </c>
    </row>
    <row r="6" spans="1:11" x14ac:dyDescent="0.25">
      <c r="A6" t="s">
        <v>100</v>
      </c>
      <c r="B6" s="3" t="s">
        <v>90</v>
      </c>
      <c r="C6">
        <v>1.95</v>
      </c>
      <c r="D6">
        <f>PLC_Diag_distributed_netlist!I36</f>
        <v>21</v>
      </c>
      <c r="E6">
        <f t="shared" ref="E6:E22" si="0">C6*D6</f>
        <v>40.949999999999996</v>
      </c>
      <c r="F6" s="2" t="s">
        <v>92</v>
      </c>
    </row>
    <row r="7" spans="1:11" x14ac:dyDescent="0.25">
      <c r="A7" t="s">
        <v>101</v>
      </c>
      <c r="B7" s="3" t="s">
        <v>90</v>
      </c>
      <c r="C7">
        <v>1.95</v>
      </c>
      <c r="D7">
        <f>PLC_Diag_distributed_netlist!I37</f>
        <v>8</v>
      </c>
      <c r="E7">
        <f t="shared" si="0"/>
        <v>15.6</v>
      </c>
      <c r="F7" s="2" t="s">
        <v>92</v>
      </c>
    </row>
    <row r="8" spans="1:11" x14ac:dyDescent="0.25">
      <c r="A8" t="s">
        <v>102</v>
      </c>
      <c r="B8" s="3" t="s">
        <v>90</v>
      </c>
      <c r="C8">
        <v>1.95</v>
      </c>
      <c r="D8">
        <f>PLC_Diag_distributed_netlist!I38</f>
        <v>1</v>
      </c>
      <c r="E8">
        <f t="shared" si="0"/>
        <v>1.95</v>
      </c>
      <c r="F8" s="2" t="s">
        <v>92</v>
      </c>
    </row>
    <row r="9" spans="1:11" x14ac:dyDescent="0.25">
      <c r="A9" t="s">
        <v>103</v>
      </c>
      <c r="B9" s="3" t="s">
        <v>90</v>
      </c>
      <c r="C9">
        <v>1.95</v>
      </c>
      <c r="D9">
        <f>PLC_Diag_distributed_netlist!I39</f>
        <v>3</v>
      </c>
      <c r="E9">
        <f t="shared" si="0"/>
        <v>5.85</v>
      </c>
      <c r="F9" s="2" t="s">
        <v>92</v>
      </c>
    </row>
    <row r="10" spans="1:11" x14ac:dyDescent="0.25">
      <c r="A10" t="s">
        <v>104</v>
      </c>
      <c r="B10" s="3" t="s">
        <v>91</v>
      </c>
      <c r="C10">
        <v>2.58</v>
      </c>
      <c r="D10">
        <f>PLC_Diag_distributed_netlist!J36</f>
        <v>1</v>
      </c>
      <c r="E10">
        <f t="shared" si="0"/>
        <v>2.58</v>
      </c>
      <c r="F10" s="2" t="s">
        <v>93</v>
      </c>
    </row>
    <row r="11" spans="1:11" x14ac:dyDescent="0.25">
      <c r="A11" t="s">
        <v>105</v>
      </c>
      <c r="B11" s="3" t="s">
        <v>91</v>
      </c>
      <c r="C11">
        <v>2.58</v>
      </c>
      <c r="D11">
        <f>PLC_Diag_distributed_netlist!J37</f>
        <v>10</v>
      </c>
      <c r="E11">
        <f t="shared" si="0"/>
        <v>25.8</v>
      </c>
      <c r="F11" s="2" t="s">
        <v>93</v>
      </c>
    </row>
    <row r="12" spans="1:11" x14ac:dyDescent="0.25">
      <c r="A12" t="s">
        <v>106</v>
      </c>
      <c r="B12" s="3" t="s">
        <v>91</v>
      </c>
      <c r="C12">
        <v>2.58</v>
      </c>
      <c r="D12">
        <f>PLC_Diag_distributed_netlist!J38</f>
        <v>2</v>
      </c>
      <c r="E12">
        <f t="shared" si="0"/>
        <v>5.16</v>
      </c>
      <c r="F12" s="2" t="s">
        <v>93</v>
      </c>
    </row>
    <row r="13" spans="1:11" x14ac:dyDescent="0.25">
      <c r="A13" t="s">
        <v>107</v>
      </c>
      <c r="B13" s="3" t="s">
        <v>91</v>
      </c>
      <c r="C13">
        <v>2.58</v>
      </c>
      <c r="D13">
        <f>PLC_Diag_distributed_netlist!J39</f>
        <v>2</v>
      </c>
      <c r="E13">
        <f t="shared" si="0"/>
        <v>5.16</v>
      </c>
      <c r="F13" s="2" t="s">
        <v>93</v>
      </c>
    </row>
    <row r="14" spans="1:11" x14ac:dyDescent="0.25">
      <c r="A14" t="s">
        <v>108</v>
      </c>
      <c r="B14" s="3" t="s">
        <v>95</v>
      </c>
      <c r="C14">
        <v>2.97</v>
      </c>
      <c r="D14">
        <f>PLC_Diag_distributed_netlist!K39</f>
        <v>2</v>
      </c>
      <c r="E14">
        <f t="shared" si="0"/>
        <v>5.94</v>
      </c>
      <c r="F14" s="2" t="s">
        <v>94</v>
      </c>
    </row>
    <row r="15" spans="1:11" x14ac:dyDescent="0.25">
      <c r="A15" t="s">
        <v>98</v>
      </c>
      <c r="B15" t="s">
        <v>96</v>
      </c>
      <c r="C15">
        <v>1.51</v>
      </c>
      <c r="D15">
        <v>2</v>
      </c>
      <c r="E15">
        <f t="shared" si="0"/>
        <v>3.02</v>
      </c>
      <c r="F15" s="2" t="s">
        <v>97</v>
      </c>
    </row>
    <row r="17" spans="1:15" x14ac:dyDescent="0.25">
      <c r="A17" t="s">
        <v>137</v>
      </c>
      <c r="B17" t="s">
        <v>146</v>
      </c>
      <c r="C17">
        <v>8</v>
      </c>
      <c r="D17">
        <v>6</v>
      </c>
      <c r="E17">
        <f t="shared" si="0"/>
        <v>48</v>
      </c>
      <c r="F17" s="2" t="s">
        <v>145</v>
      </c>
      <c r="O17" t="s">
        <v>110</v>
      </c>
    </row>
    <row r="18" spans="1:15" x14ac:dyDescent="0.25">
      <c r="A18" t="s">
        <v>138</v>
      </c>
      <c r="B18" t="s">
        <v>147</v>
      </c>
      <c r="C18">
        <v>7.25</v>
      </c>
      <c r="D18">
        <v>3</v>
      </c>
      <c r="E18">
        <f t="shared" si="0"/>
        <v>21.75</v>
      </c>
      <c r="F18" s="2" t="s">
        <v>148</v>
      </c>
    </row>
    <row r="19" spans="1:15" x14ac:dyDescent="0.25">
      <c r="A19" t="s">
        <v>139</v>
      </c>
      <c r="B19" t="s">
        <v>150</v>
      </c>
      <c r="C19">
        <v>14.5</v>
      </c>
      <c r="D19">
        <v>3</v>
      </c>
      <c r="E19">
        <f t="shared" si="0"/>
        <v>43.5</v>
      </c>
      <c r="F19" s="2" t="s">
        <v>144</v>
      </c>
    </row>
    <row r="20" spans="1:15" x14ac:dyDescent="0.25">
      <c r="A20" t="s">
        <v>140</v>
      </c>
      <c r="B20" t="s">
        <v>151</v>
      </c>
      <c r="C20">
        <v>25</v>
      </c>
      <c r="D20">
        <v>3</v>
      </c>
      <c r="E20">
        <f t="shared" si="0"/>
        <v>75</v>
      </c>
      <c r="F20" s="2" t="s">
        <v>149</v>
      </c>
    </row>
    <row r="21" spans="1:15" x14ac:dyDescent="0.25">
      <c r="A21" t="s">
        <v>141</v>
      </c>
      <c r="B21" t="s">
        <v>143</v>
      </c>
      <c r="C21">
        <v>10.5</v>
      </c>
      <c r="D21">
        <v>1</v>
      </c>
      <c r="E21">
        <f t="shared" si="0"/>
        <v>10.5</v>
      </c>
      <c r="F21" s="2" t="s">
        <v>142</v>
      </c>
    </row>
    <row r="22" spans="1:15" x14ac:dyDescent="0.25">
      <c r="A22" t="s">
        <v>152</v>
      </c>
      <c r="B22" t="s">
        <v>156</v>
      </c>
      <c r="C22">
        <v>34.5</v>
      </c>
      <c r="D22">
        <v>1</v>
      </c>
      <c r="E22">
        <f t="shared" si="0"/>
        <v>34.5</v>
      </c>
      <c r="F22" s="2" t="s">
        <v>157</v>
      </c>
    </row>
    <row r="23" spans="1:15" x14ac:dyDescent="0.25">
      <c r="A23" t="s">
        <v>153</v>
      </c>
      <c r="B23" t="s">
        <v>154</v>
      </c>
      <c r="C23">
        <v>32</v>
      </c>
      <c r="D23">
        <v>1</v>
      </c>
      <c r="E23">
        <f>C23*D23</f>
        <v>32</v>
      </c>
      <c r="F23" s="2" t="s">
        <v>155</v>
      </c>
    </row>
    <row r="25" spans="1:15" x14ac:dyDescent="0.25">
      <c r="A25" t="s">
        <v>168</v>
      </c>
      <c r="B25" t="s">
        <v>159</v>
      </c>
      <c r="C25">
        <v>320</v>
      </c>
      <c r="D25">
        <v>1</v>
      </c>
      <c r="E25">
        <f>C25*D25</f>
        <v>320</v>
      </c>
      <c r="F25" s="2" t="s">
        <v>158</v>
      </c>
    </row>
    <row r="26" spans="1:15" x14ac:dyDescent="0.25">
      <c r="A26" t="s">
        <v>169</v>
      </c>
      <c r="B26" t="s">
        <v>161</v>
      </c>
      <c r="C26">
        <v>129</v>
      </c>
      <c r="D26">
        <v>1</v>
      </c>
      <c r="E26">
        <f>C26*D26</f>
        <v>129</v>
      </c>
      <c r="F26" s="2" t="s">
        <v>160</v>
      </c>
    </row>
    <row r="27" spans="1:15" x14ac:dyDescent="0.25">
      <c r="A27" t="s">
        <v>162</v>
      </c>
      <c r="B27" t="s">
        <v>165</v>
      </c>
      <c r="C27">
        <v>55</v>
      </c>
      <c r="D27">
        <v>1</v>
      </c>
      <c r="E27">
        <f>C27*D27</f>
        <v>55</v>
      </c>
      <c r="F27" s="2" t="s">
        <v>163</v>
      </c>
    </row>
    <row r="28" spans="1:15" x14ac:dyDescent="0.25">
      <c r="A28" t="s">
        <v>167</v>
      </c>
      <c r="B28" t="s">
        <v>164</v>
      </c>
      <c r="C28">
        <v>14.75</v>
      </c>
      <c r="D28">
        <v>1</v>
      </c>
      <c r="E28">
        <f>C28*D28</f>
        <v>14.75</v>
      </c>
      <c r="F28" s="2" t="s">
        <v>166</v>
      </c>
    </row>
    <row r="30" spans="1:15" x14ac:dyDescent="0.25">
      <c r="A30" t="s">
        <v>170</v>
      </c>
      <c r="B30" s="2" t="s">
        <v>172</v>
      </c>
      <c r="C30">
        <v>10.91</v>
      </c>
      <c r="D30">
        <v>2</v>
      </c>
      <c r="E30">
        <f>C30*D30</f>
        <v>21.82</v>
      </c>
      <c r="F30" t="s">
        <v>171</v>
      </c>
      <c r="K30">
        <v>25</v>
      </c>
      <c r="L30">
        <v>6.3</v>
      </c>
    </row>
    <row r="31" spans="1:15" x14ac:dyDescent="0.25">
      <c r="A31" t="s">
        <v>179</v>
      </c>
      <c r="F31" s="2" t="s">
        <v>184</v>
      </c>
      <c r="K31">
        <v>50</v>
      </c>
      <c r="L31">
        <v>11.43</v>
      </c>
    </row>
    <row r="32" spans="1:15" x14ac:dyDescent="0.25">
      <c r="A32" t="s">
        <v>180</v>
      </c>
      <c r="F32" s="2" t="s">
        <v>184</v>
      </c>
      <c r="K32">
        <v>100</v>
      </c>
      <c r="L32">
        <v>20.78</v>
      </c>
    </row>
    <row r="33" spans="1:12" x14ac:dyDescent="0.25">
      <c r="A33" t="s">
        <v>181</v>
      </c>
      <c r="F33" s="2" t="s">
        <v>184</v>
      </c>
      <c r="K33">
        <v>200</v>
      </c>
      <c r="L33">
        <v>37.4</v>
      </c>
    </row>
    <row r="34" spans="1:12" x14ac:dyDescent="0.25">
      <c r="A34" t="s">
        <v>182</v>
      </c>
      <c r="F34" s="2" t="s">
        <v>184</v>
      </c>
      <c r="K34">
        <v>500</v>
      </c>
      <c r="L34">
        <v>77.930000000000007</v>
      </c>
    </row>
    <row r="35" spans="1:12" x14ac:dyDescent="0.25">
      <c r="A35" t="s">
        <v>183</v>
      </c>
      <c r="F35" s="2" t="s">
        <v>184</v>
      </c>
    </row>
  </sheetData>
  <phoneticPr fontId="21" type="noConversion"/>
  <hyperlinks>
    <hyperlink ref="F6" r:id="rId1" xr:uid="{228D2CE3-4F9C-4FBC-950C-20818EAD42E7}"/>
    <hyperlink ref="F7:F9" r:id="rId2" display="https://www.mcmaster.com/9473T173/" xr:uid="{64019F86-168B-4022-9FE6-29D0A7462120}"/>
    <hyperlink ref="F10" r:id="rId3" xr:uid="{3C0771F4-4706-4427-8517-8EA4B370A2D3}"/>
    <hyperlink ref="F11" r:id="rId4" xr:uid="{F4925E97-30EF-4B52-9F4E-87E7C749CB43}"/>
    <hyperlink ref="F12" r:id="rId5" xr:uid="{C620D403-051F-4BEB-8999-4F375386A0F4}"/>
    <hyperlink ref="F13" r:id="rId6" xr:uid="{206F2896-2818-4C21-BF4C-A2638AB6F3C1}"/>
    <hyperlink ref="F14" r:id="rId7" xr:uid="{7D7AFBB1-D6EE-4416-AD4D-3E1C28F3DED0}"/>
    <hyperlink ref="F15" r:id="rId8" xr:uid="{18CDE1C9-A502-4654-AF7C-D27E8A5F0C22}"/>
    <hyperlink ref="F17" r:id="rId9" xr:uid="{C97FE0F5-6294-4AC9-AD43-AF9A4159A4B2}"/>
    <hyperlink ref="F18" r:id="rId10" xr:uid="{724F3159-0432-4AC3-843D-C4ADFD13B2F7}"/>
    <hyperlink ref="F19" r:id="rId11" xr:uid="{03B0DF38-DCD0-489C-AA5A-76B2E2339D07}"/>
    <hyperlink ref="F20" r:id="rId12" xr:uid="{94C6F95F-F25B-4E56-A609-03F03F8BEB1A}"/>
    <hyperlink ref="F21" r:id="rId13" xr:uid="{E8EEC565-3A4D-461E-8873-1B46421C5BE4}"/>
    <hyperlink ref="F23" r:id="rId14" xr:uid="{9C078706-1246-4887-A951-63BA1571CD78}"/>
    <hyperlink ref="F22" r:id="rId15" xr:uid="{2A93BF4D-355E-4CB6-9613-4A9209FE1189}"/>
    <hyperlink ref="F25" r:id="rId16" xr:uid="{3FE3D421-813B-4CA9-97E7-BA616989D224}"/>
    <hyperlink ref="F26" r:id="rId17" xr:uid="{6C9E86C7-E5A1-45B4-BBAD-94360812BECF}"/>
    <hyperlink ref="F28" r:id="rId18" xr:uid="{8E7862DB-0F3C-4281-AD57-4BDBBAAB5EF9}"/>
    <hyperlink ref="F27" r:id="rId19" xr:uid="{A5247192-26DA-46BC-9A83-EFDB24C7EDC6}"/>
    <hyperlink ref="B30" r:id="rId20" display="https://www.mcmaster.com/7950K71" xr:uid="{C8835CB7-5514-4D62-B347-93B1D2705AC7}"/>
    <hyperlink ref="F31" r:id="rId21" xr:uid="{056F06D3-185D-4D53-A286-7992A4491502}"/>
    <hyperlink ref="F32" r:id="rId22" xr:uid="{1D9E7BEB-7D0C-40C0-ABB1-80A3F2FC8FD6}"/>
    <hyperlink ref="F33" r:id="rId23" xr:uid="{A9D4B80E-CED2-4868-86D5-E9F26ECA8CDE}"/>
    <hyperlink ref="F34" r:id="rId24" xr:uid="{BE283E63-64FC-4BDF-A98C-216831BFDBA3}"/>
    <hyperlink ref="F35" r:id="rId25" xr:uid="{02993B80-6E16-4EC9-8966-D76C29D471F1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0CB9-AC1A-4D0C-B54C-3741BA439E75}">
  <dimension ref="A1:R2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  <col min="5" max="5" width="12.7109375" bestFit="1" customWidth="1"/>
    <col min="6" max="6" width="11.42578125" bestFit="1" customWidth="1"/>
    <col min="9" max="9" width="12.140625" bestFit="1" customWidth="1"/>
    <col min="10" max="10" width="12.5703125" bestFit="1" customWidth="1"/>
  </cols>
  <sheetData>
    <row r="1" spans="1:18" x14ac:dyDescent="0.25">
      <c r="A1" t="s">
        <v>116</v>
      </c>
      <c r="B1" t="s">
        <v>114</v>
      </c>
      <c r="C1" t="s">
        <v>115</v>
      </c>
      <c r="F1" t="s">
        <v>116</v>
      </c>
      <c r="G1" t="s">
        <v>114</v>
      </c>
      <c r="H1" t="s">
        <v>115</v>
      </c>
      <c r="K1" t="s">
        <v>116</v>
      </c>
      <c r="L1" t="s">
        <v>114</v>
      </c>
      <c r="M1" t="s">
        <v>115</v>
      </c>
      <c r="P1" t="s">
        <v>116</v>
      </c>
      <c r="Q1" t="s">
        <v>114</v>
      </c>
      <c r="R1" t="s">
        <v>115</v>
      </c>
    </row>
    <row r="2" spans="1:18" x14ac:dyDescent="0.25">
      <c r="A2" t="s">
        <v>117</v>
      </c>
      <c r="B2" t="s">
        <v>118</v>
      </c>
      <c r="C2">
        <f>COUNTIF(B2:B50,"*")</f>
        <v>10</v>
      </c>
      <c r="F2" t="s">
        <v>128</v>
      </c>
      <c r="G2" t="s">
        <v>55</v>
      </c>
      <c r="H2">
        <f>COUNTIF(G2:G50,"*")</f>
        <v>16</v>
      </c>
      <c r="K2" t="s">
        <v>129</v>
      </c>
      <c r="L2" t="s">
        <v>26</v>
      </c>
      <c r="M2">
        <f>COUNTIF(L2:L50,"*")</f>
        <v>12</v>
      </c>
      <c r="P2" t="s">
        <v>135</v>
      </c>
      <c r="Q2" t="s">
        <v>136</v>
      </c>
      <c r="R2">
        <f>COUNTIF(Q2:Q50,"*")</f>
        <v>2</v>
      </c>
    </row>
    <row r="3" spans="1:18" x14ac:dyDescent="0.25">
      <c r="B3" t="s">
        <v>119</v>
      </c>
      <c r="G3" t="s">
        <v>54</v>
      </c>
      <c r="L3" t="s">
        <v>25</v>
      </c>
      <c r="Q3" t="s">
        <v>6</v>
      </c>
    </row>
    <row r="4" spans="1:18" x14ac:dyDescent="0.25">
      <c r="B4" t="s">
        <v>120</v>
      </c>
      <c r="G4" t="s">
        <v>53</v>
      </c>
      <c r="L4" t="s">
        <v>24</v>
      </c>
    </row>
    <row r="5" spans="1:18" x14ac:dyDescent="0.25">
      <c r="B5" t="s">
        <v>121</v>
      </c>
      <c r="G5" t="s">
        <v>52</v>
      </c>
      <c r="L5" t="s">
        <v>31</v>
      </c>
    </row>
    <row r="6" spans="1:18" x14ac:dyDescent="0.25">
      <c r="B6" t="s">
        <v>122</v>
      </c>
      <c r="G6" t="s">
        <v>51</v>
      </c>
      <c r="L6" t="s">
        <v>32</v>
      </c>
    </row>
    <row r="7" spans="1:18" x14ac:dyDescent="0.25">
      <c r="B7" t="s">
        <v>123</v>
      </c>
      <c r="G7" t="s">
        <v>50</v>
      </c>
      <c r="L7" t="s">
        <v>33</v>
      </c>
    </row>
    <row r="8" spans="1:18" x14ac:dyDescent="0.25">
      <c r="B8" t="s">
        <v>124</v>
      </c>
      <c r="G8" t="s">
        <v>45</v>
      </c>
      <c r="L8" t="s">
        <v>130</v>
      </c>
    </row>
    <row r="9" spans="1:18" x14ac:dyDescent="0.25">
      <c r="B9" t="s">
        <v>125</v>
      </c>
      <c r="G9" t="s">
        <v>44</v>
      </c>
      <c r="L9" t="s">
        <v>131</v>
      </c>
    </row>
    <row r="10" spans="1:18" x14ac:dyDescent="0.25">
      <c r="B10" t="s">
        <v>126</v>
      </c>
      <c r="G10" t="s">
        <v>43</v>
      </c>
      <c r="L10" t="s">
        <v>132</v>
      </c>
    </row>
    <row r="11" spans="1:18" x14ac:dyDescent="0.25">
      <c r="B11" t="s">
        <v>127</v>
      </c>
      <c r="G11" t="s">
        <v>42</v>
      </c>
      <c r="L11" t="s">
        <v>30</v>
      </c>
    </row>
    <row r="12" spans="1:18" x14ac:dyDescent="0.25">
      <c r="G12" t="s">
        <v>41</v>
      </c>
      <c r="L12" t="s">
        <v>133</v>
      </c>
    </row>
    <row r="13" spans="1:18" x14ac:dyDescent="0.25">
      <c r="G13" t="s">
        <v>40</v>
      </c>
      <c r="L13" t="s">
        <v>134</v>
      </c>
    </row>
    <row r="14" spans="1:18" x14ac:dyDescent="0.25">
      <c r="G14" t="s">
        <v>39</v>
      </c>
    </row>
    <row r="15" spans="1:18" x14ac:dyDescent="0.25">
      <c r="G15" t="s">
        <v>38</v>
      </c>
    </row>
    <row r="16" spans="1:18" x14ac:dyDescent="0.25">
      <c r="G16" t="s">
        <v>37</v>
      </c>
    </row>
    <row r="17" spans="7:9" x14ac:dyDescent="0.25">
      <c r="G17" t="s">
        <v>36</v>
      </c>
    </row>
    <row r="23" spans="7:9" x14ac:dyDescent="0.25">
      <c r="I23">
        <f>38*2</f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PLC_Diag_distributed_netlist</vt:lpstr>
      <vt:lpstr>BOM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Jaskin Kabir</dc:creator>
  <cp:lastModifiedBy>Jaskin Kabir</cp:lastModifiedBy>
  <dcterms:created xsi:type="dcterms:W3CDTF">2024-09-04T22:03:47Z</dcterms:created>
  <dcterms:modified xsi:type="dcterms:W3CDTF">2024-09-20T16:12:03Z</dcterms:modified>
</cp:coreProperties>
</file>