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5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20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18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26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21.xml"/>
  <Override ContentType="application/vnd.openxmlformats-officedocument.spreadsheetml.externalLink+xml" PartName="/xl/externalLinks/externalLink22.xml"/>
  <Override ContentType="application/vnd.openxmlformats-officedocument.spreadsheetml.externalLink+xml" PartName="/xl/externalLinks/externalLink17.xml"/>
  <Override ContentType="application/vnd.openxmlformats-officedocument.spreadsheetml.externalLink+xml" PartName="/xl/externalLinks/externalLink23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24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19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el" sheetId="1" r:id="rId4"/>
    <sheet state="visible" name="Инвестиции" sheetId="2" r:id="rId5"/>
    <sheet state="visible" name="A-0" sheetId="3" r:id="rId6"/>
    <sheet state="visible" name="Смета" sheetId="4" r:id="rId7"/>
    <sheet state="visible" name="Выручка" sheetId="5" r:id="rId8"/>
    <sheet state="visible" name="Произв.затраты" sheetId="6" r:id="rId9"/>
    <sheet state="visible" name="Адм.затраты" sheetId="7" r:id="rId10"/>
    <sheet state="visible" name="Займ" sheetId="8" r:id="rId11"/>
    <sheet state="visible" name="Займ 776" sheetId="9" r:id="rId12"/>
    <sheet state="visible" name="Займ 1 578" sheetId="10" r:id="rId13"/>
    <sheet state="visible" name="ОПиУ" sheetId="11" r:id="rId14"/>
    <sheet state="visible" name="ОДДС" sheetId="12" r:id="rId15"/>
    <sheet state="visible" name="ОСДП" sheetId="13" r:id="rId16"/>
    <sheet state="visible" name="WACC" sheetId="14" r:id="rId17"/>
    <sheet state="visible" name="Сценарный анализ" sheetId="15" r:id="rId18"/>
    <sheet state="visible" name="Анализ чувст." sheetId="16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localSheetId="9" name="__123Graph_A">'[1]1.6 TRS Data'!#REF!</definedName>
    <definedName localSheetId="8" name="__123Graph_A">'[1]1.6 TRS Data'!#REF!</definedName>
    <definedName name="__123Graph_A">'[1]1.6 TRS Data'!#REF!</definedName>
    <definedName localSheetId="9" name="__123Graph_B">'[1]1.6 TRS Data'!#REF!</definedName>
    <definedName localSheetId="8" name="__123Graph_B">'[1]1.6 TRS Data'!#REF!</definedName>
    <definedName name="__123Graph_B">'[1]1.6 TRS Data'!#REF!</definedName>
    <definedName localSheetId="9" name="__123Graph_LBL_A">'[1]1.6 TRS Data'!#REF!</definedName>
    <definedName localSheetId="8" name="__123Graph_LBL_A">'[1]1.6 TRS Data'!#REF!</definedName>
    <definedName name="__123Graph_LBL_A">'[1]1.6 TRS Data'!#REF!</definedName>
    <definedName localSheetId="9" name="__123Graph_X">'[1]1.6 TRS Data'!#REF!</definedName>
    <definedName localSheetId="8" name="__123Graph_X">'[1]1.6 TRS Data'!#REF!</definedName>
    <definedName name="__123Graph_X">'[1]1.6 TRS Data'!#REF!</definedName>
    <definedName name="__kpn1">[2]Главн!$D$46</definedName>
    <definedName name="__kpn2">[2]Главн!$E$46</definedName>
    <definedName name="__kpn3">[2]Главн!$F$46</definedName>
    <definedName name="__kpn4">[2]Главн!$G$46</definedName>
    <definedName name="__kpn5">[2]Главн!$H$46</definedName>
    <definedName name="__kpn6">[2]Главн!$I$46</definedName>
    <definedName name="__kpn7">[2]Главн!$J$46</definedName>
    <definedName name="__kpn8">[2]Главн!$K$46</definedName>
    <definedName name="__nds1">[2]Главн!$D$42</definedName>
    <definedName name="__nds2">[2]Главн!$E$42</definedName>
    <definedName name="__nds3">[2]Главн!$F$42</definedName>
    <definedName name="__nds4">[2]Главн!$G$42</definedName>
    <definedName name="__nds5">[2]Главн!$H$42</definedName>
    <definedName name="__nds6">[2]Главн!$I$42</definedName>
    <definedName localSheetId="7" name="_kpn1">[2]Главн!$D$46</definedName>
    <definedName localSheetId="9" name="_kpn1">[2]Главн!$D$46</definedName>
    <definedName localSheetId="8" name="_kpn1">[2]Главн!$D$46</definedName>
    <definedName name="_kpn1">[2]Главн!$D$46</definedName>
    <definedName localSheetId="7" name="_kpn2">[2]Главн!$E$46</definedName>
    <definedName localSheetId="9" name="_kpn2">[2]Главн!$E$46</definedName>
    <definedName localSheetId="8" name="_kpn2">[2]Главн!$E$46</definedName>
    <definedName name="_kpn2">[2]Главн!$E$46</definedName>
    <definedName localSheetId="7" name="_kpn3">[2]Главн!$F$46</definedName>
    <definedName localSheetId="9" name="_kpn3">[2]Главн!$F$46</definedName>
    <definedName localSheetId="8" name="_kpn3">[2]Главн!$F$46</definedName>
    <definedName name="_kpn3">[2]Главн!$F$46</definedName>
    <definedName localSheetId="7" name="_kpn4">[2]Главн!$G$46</definedName>
    <definedName localSheetId="9" name="_kpn4">[2]Главн!$G$46</definedName>
    <definedName localSheetId="8" name="_kpn4">[2]Главн!$G$46</definedName>
    <definedName name="_kpn4">[2]Главн!$G$46</definedName>
    <definedName localSheetId="7" name="_kpn5">[2]Главн!$H$46</definedName>
    <definedName localSheetId="9" name="_kpn5">[2]Главн!$H$46</definedName>
    <definedName localSheetId="8" name="_kpn5">[2]Главн!$H$46</definedName>
    <definedName name="_kpn5">[2]Главн!$H$46</definedName>
    <definedName localSheetId="7" name="_kpn6">[2]Главн!$I$46</definedName>
    <definedName localSheetId="9" name="_kpn6">[2]Главн!$I$46</definedName>
    <definedName localSheetId="8" name="_kpn6">[2]Главн!$I$46</definedName>
    <definedName name="_kpn6">[2]Главн!$I$46</definedName>
    <definedName localSheetId="7" name="_kpn7">[2]Главн!$J$46</definedName>
    <definedName localSheetId="9" name="_kpn7">[2]Главн!$J$46</definedName>
    <definedName localSheetId="8" name="_kpn7">[2]Главн!$J$46</definedName>
    <definedName name="_kpn7">[2]Главн!$J$46</definedName>
    <definedName localSheetId="7" name="_kpn8">[2]Главн!$K$46</definedName>
    <definedName localSheetId="9" name="_kpn8">[2]Главн!$K$46</definedName>
    <definedName localSheetId="8" name="_kpn8">[2]Главн!$K$46</definedName>
    <definedName name="_kpn8">[2]Главн!$K$46</definedName>
    <definedName localSheetId="7" name="_nds1">[2]Главн!$D$42</definedName>
    <definedName localSheetId="9" name="_nds1">[2]Главн!$D$42</definedName>
    <definedName localSheetId="8" name="_nds1">[2]Главн!$D$42</definedName>
    <definedName name="_nds1">[2]Главн!$D$42</definedName>
    <definedName localSheetId="7" name="_nds2">[2]Главн!$E$42</definedName>
    <definedName localSheetId="9" name="_nds2">[2]Главн!$E$42</definedName>
    <definedName localSheetId="8" name="_nds2">[2]Главн!$E$42</definedName>
    <definedName name="_nds2">[2]Главн!$E$42</definedName>
    <definedName localSheetId="7" name="_nds3">[2]Главн!$F$42</definedName>
    <definedName localSheetId="9" name="_nds3">[2]Главн!$F$42</definedName>
    <definedName localSheetId="8" name="_nds3">[2]Главн!$F$42</definedName>
    <definedName name="_nds3">[2]Главн!$F$42</definedName>
    <definedName localSheetId="7" name="_nds4">[2]Главн!$G$42</definedName>
    <definedName localSheetId="9" name="_nds4">[2]Главн!$G$42</definedName>
    <definedName localSheetId="8" name="_nds4">[2]Главн!$G$42</definedName>
    <definedName name="_nds4">[2]Главн!$G$42</definedName>
    <definedName localSheetId="7" name="_nds5">[2]Главн!$H$42</definedName>
    <definedName localSheetId="9" name="_nds5">[2]Главн!$H$42</definedName>
    <definedName localSheetId="8" name="_nds5">[2]Главн!$H$42</definedName>
    <definedName name="_nds5">[2]Главн!$H$42</definedName>
    <definedName localSheetId="7" name="_nds6">[2]Главн!$I$42</definedName>
    <definedName localSheetId="9" name="_nds6">[2]Главн!$I$42</definedName>
    <definedName localSheetId="8" name="_nds6">[2]Главн!$I$42</definedName>
    <definedName name="_nds6">[2]Главн!$I$42</definedName>
    <definedName name="cfb">[3]NPV!$F$18</definedName>
    <definedName name="DcB">'[4]Дин. оборотн. ср-в!!!'!$B$17+'[4]Дин. оборотн. ср-в!!!'!$B$18+'[4]Дин. оборотн. ср-в!!!'!$B$19+'[4]Дин. оборотн. ср-в!!!'!$B$20</definedName>
    <definedName name="DcF">'[4]Дин. оборотн. ср-в!!!'!$F$17+'[4]Дин. оборотн. ср-в!!!'!$F$18+'[4]Дин. оборотн. ср-в!!!'!$F$19+'[4]Дин. оборотн. ср-в!!!'!$F$20</definedName>
    <definedName name="delete">{"IGRONIC2",#N/A,FALSE,"IG fixed RONIC";"IGRONIC1",#N/A,FALSE,"IG fixed RONIC"}</definedName>
    <definedName name="delete2">{"IGRONIC2",#N/A,FALSE,"IG fixed RONIC";"IGRONIC1",#N/A,FALSE,"IG fixed RONIC"}</definedName>
    <definedName name="DF">'[4]Дин. оборотн. ср-в!!!'!$F$25+'[4]Дин. оборотн. ср-в!!!'!$F$26+'[4]Дин. оборотн. ср-в!!!'!$F$27+'[4]Дин. оборотн. ср-в!!!'!$F$28+'[4]Дин. оборотн. ср-в!!!'!$F$29+'[4]Дин. оборотн. ср-в!!!'!$F$30+'[4]Дин. оборотн. ср-в!!!'!$F$31</definedName>
    <definedName name="DG">'[4]Дин. оборотн. ср-в!!!'!$B$25+'[4]Дин. оборотн. ср-в!!!'!$B$26+'[4]Дин. оборотн. ср-в!!!'!$B$27+'[4]Дин. оборотн. ср-в!!!'!$B$28+'[4]Дин. оборотн. ср-в!!!'!$B$29+'[4]Дин. оборотн. ср-в!!!'!$B$30+'[4]Дин. оборотн. ср-в!!!'!$B$31</definedName>
    <definedName name="EUR">[5]Свод!$C$9</definedName>
    <definedName name="EURO">'[6]Осн. пара'!$C$8</definedName>
    <definedName name="imush1">[2]Главн!$D$44</definedName>
    <definedName name="imush2">[2]Главн!$E$44</definedName>
    <definedName name="imush3">[2]Главн!$F$44</definedName>
    <definedName name="imush4">[2]Главн!$G$44</definedName>
    <definedName name="imush5">[2]Главн!$H$44</definedName>
    <definedName name="imush6">[2]Главн!$I$44</definedName>
    <definedName name="imush7">[2]Главн!$J$44</definedName>
    <definedName name="imush8">[2]Главн!$K$44</definedName>
    <definedName name="inf">[2]Главн!$C$35</definedName>
    <definedName name="kurs2">[2]Главн!$C$31</definedName>
    <definedName name="lgot1">[2]Главн!$D$41</definedName>
    <definedName name="lgot2">[2]Главн!$E$41</definedName>
    <definedName name="lgot3">[2]Главн!$F$41</definedName>
    <definedName name="lgot4">[2]Главн!$G$41</definedName>
    <definedName name="lgot5">[2]Главн!$H$41</definedName>
    <definedName name="ListOffset">1</definedName>
    <definedName name="name">[2]Главн!$C$2</definedName>
    <definedName name="price">[5]Свод!$C$11</definedName>
    <definedName name="remont">[2]Амортиз!$F$125</definedName>
    <definedName localSheetId="13" name="sp">'[7]Data-in'!$B$1381</definedName>
    <definedName localSheetId="14" name="sp">'[8]Data-in'!$B$1381</definedName>
    <definedName localSheetId="7" name="sp">'[7]Data-in'!$B$1381</definedName>
    <definedName localSheetId="9" name="sp">'[7]Data-in'!$B$1381</definedName>
    <definedName localSheetId="8" name="sp">'[7]Data-in'!$B$1381</definedName>
    <definedName localSheetId="12" name="sp">'[8]Data-in'!$B$1381</definedName>
    <definedName name="sp">'[9]Data-in'!$B$1381</definedName>
    <definedName name="USD">'[6]Осн. пара'!$C$4</definedName>
    <definedName name="valuta">[2]Главн!$C$21</definedName>
    <definedName name="valuta2">[2]Главн!$C$19</definedName>
    <definedName name="wrn.IGRONICbasicdata.">{"IGRONIC2",#N/A,FALSE,"IG fixed RONIC";"IGRONIC1",#N/A,FALSE,"IG fixed RONIC"}</definedName>
    <definedName name="wrn.IGRONICbasicdata2">{"IGRONIC2",#N/A,FALSE,"IG fixed RONIC";"IGRONIC1",#N/A,FALSE,"IG fixed RONIC"}</definedName>
    <definedName name="бву">'[10]Фин. пок-ли'!$C$17</definedName>
    <definedName name="вид_инвестиций">[2]Invest!$C$7:$C$240</definedName>
    <definedName name="Вита_осн">'[11]ИсхД+'!$A$2</definedName>
    <definedName name="вложения">'[2]Граф кап инвестиц'!$B$8:$B$12</definedName>
    <definedName name="год">[12]Осн.показ!$D$8</definedName>
    <definedName name="год1">[12]Осн.показ!$D$9</definedName>
    <definedName name="Дебиторская__задолженность">'[4]Дин. оборотн. ср-в!!!'!$B$25+'[4]Дин. оборотн. ср-в!!!'!$B$26+'[4]Дин. оборотн. ср-в!!!'!$B$27+'[4]Дин. оборотн. ср-в!!!'!$B$28+'[4]Дин. оборотн. ср-в!!!'!$B$29+'[4]Дин. оборотн. ср-в!!!'!$B$30+'[4]Дин. оборотн. ср-в!!!'!$B$31+'[4]Дин. оборотн. ср-в!!!'!$B$33</definedName>
    <definedName name="Дебиторская_задолженность_Ст_сть_всех_активов">'[4]Уровень показателей!!!'!$E$18/'[4]Б3!!!'!$C$58</definedName>
    <definedName name="дз1к">[4]Б1!$D$34+[4]Б1!$D$35+[4]Б1!$D$36+[4]Б1!$D$37+[4]Б1!$D$38+[4]Б1!$D$39</definedName>
    <definedName name="дз1н">[4]Б1!$C$34++[4]Б1!$C$35+[4]Б1!$C$36+[4]Б1!$C$37+[4]Б1!$C$38+[4]Б1!$C$39</definedName>
    <definedName name="доллар">[13]Параметры!$C$18</definedName>
    <definedName name="дт">'[14]пост. пар.'!$C$13</definedName>
    <definedName name="евр">[12]Осн.показ!$D$13</definedName>
    <definedName name="Инвестор1">[2]Главн!$C$8</definedName>
    <definedName name="Инвестор2">[2]Главн!$C$9</definedName>
    <definedName name="Инвестор3">[2]Главн!$C$10</definedName>
    <definedName name="инициатор">[2]Главн!$C$7</definedName>
    <definedName name="кндс1">[15]Исх!$C$8</definedName>
    <definedName name="кросс_курс">'[16]Приобретение О.С.'!$F$3</definedName>
    <definedName name="курс_доллара_сегодня">[17]константы!$A$15</definedName>
    <definedName name="магаз">[18]DATA!$D$14:$D$76</definedName>
    <definedName name="мес">[19]Осн.показ!$C$10</definedName>
    <definedName name="мес1">[19]Осн.показ!$C$11</definedName>
    <definedName name="Мощность">[20]Параметры!$C$2</definedName>
    <definedName name="МРП">'[16]Перем. затраты'!$P$46</definedName>
    <definedName name="мсмамам">'[8]Data-in'!$B$1381</definedName>
    <definedName name="Наименование">'[5]План пр-ва'!$A$6</definedName>
    <definedName localSheetId="14" name="ндс">[21]Исх!$C$17</definedName>
    <definedName localSheetId="7" name="ндс">[21]Исх!$C$17</definedName>
    <definedName localSheetId="9" name="ндс">[21]Исх!$C$17</definedName>
    <definedName localSheetId="8" name="ндс">[21]Исх!$C$17</definedName>
    <definedName name="ндс">[21]Исх!$C$17</definedName>
    <definedName name="НДС_2003">'[16]Перем. затраты'!$P$48</definedName>
    <definedName name="НДС1">[15]Исх!$C$7</definedName>
    <definedName name="НДС2">'[16]Перем. затраты'!$P$47</definedName>
    <definedName name="объем">'[6]Осн. пара'!$C$6</definedName>
    <definedName name="объемгод">'[6]Осн. пара'!$C$7</definedName>
    <definedName name="ОС">[19]ОС!$D$27</definedName>
    <definedName name="отдел">[22]DATA!$D$14:$D$76</definedName>
    <definedName name="отрасль">[4]Б1!$B$6</definedName>
    <definedName name="ПМ">'[16]Перем. затраты'!$K$3</definedName>
    <definedName name="Показатели">[2]Главн!$C$2</definedName>
    <definedName localSheetId="7" name="раб">'[6]Осн. пара'!$C$9</definedName>
    <definedName localSheetId="9" name="раб">'[6]Осн. пара'!$C$9</definedName>
    <definedName localSheetId="8" name="раб">'[6]Осн. пара'!$C$9</definedName>
    <definedName name="раб">'[6]Осн. пара'!$C$9</definedName>
    <definedName name="рас">[19]Осн.показ!$C$12</definedName>
    <definedName name="рос">'[14]пост. пар.'!$C$8</definedName>
    <definedName name="соц1">[2]Главн!$D$48</definedName>
    <definedName name="соц2">[2]Главн!$E$48</definedName>
    <definedName name="соц3">[2]Главн!$F$48</definedName>
    <definedName name="соц4">[2]Главн!$G$48</definedName>
    <definedName name="соц5">[2]Главн!$H$48</definedName>
    <definedName name="Срок_инвестиций1">[2]Invest!$I$7:$I$240</definedName>
    <definedName name="Срок_инвестиций2">[2]Invest!$M$7:$M$240</definedName>
    <definedName name="Срок_инвестиций3">[2]Invest!$Q$7:$Q$240</definedName>
    <definedName name="Срок_инвестиций4">[2]Invest!$U$7:$U$240</definedName>
    <definedName name="ст">[23]Норм!$F$9</definedName>
    <definedName name="СтавкаПроцента1">'[24]L-1'!$B$6</definedName>
    <definedName name="Сумма_инвест1">[2]Invest!$H$7:$H$240</definedName>
    <definedName name="Сумма_инвест2">[2]Invest!$L$7:$L$240</definedName>
    <definedName name="Сумма_инвест3">[2]Invest!$P$7:$P$240</definedName>
    <definedName name="Сумма_инвест4">[2]Invest!$T$7:$T$240</definedName>
    <definedName name="СуммаКредита1">'[24]L-1'!$B$5</definedName>
    <definedName name="таблица_цен">[17]константы!$F$2:$G$30</definedName>
    <definedName name="убн96">'[11]Нетто3!!!'!$A$2</definedName>
    <definedName name="цен">[12]Осн.показ!$D$5</definedName>
    <definedName name="цен1">[19]Осн.показ!$C$6</definedName>
    <definedName name="цена">'[6]Осн. пара'!$C$2</definedName>
    <definedName name="цена1">'[6]Осн. пара'!$C$13</definedName>
    <definedName localSheetId="15" name="Z_9D8A7FE8_EB32_11D6_AAD8_00E04C390749_.wvu.Cols">#REF!</definedName>
    <definedName name="_Fill">#REF!</definedName>
    <definedName localSheetId="9" name="Z_9D8A7FE8_EB32_11D6_AAD8_00E04C390749_.wvu.Cols">#REF!</definedName>
    <definedName localSheetId="9" name="_Fill">#REF!</definedName>
    <definedName localSheetId="8" name="_Fill">#REF!</definedName>
    <definedName localSheetId="9" name="__123Graph_LBL_B">#REF!</definedName>
    <definedName name="__123Graph_LBL_B">#REF!</definedName>
    <definedName localSheetId="7" name="Z_9D8A7FE8_EB32_11D6_AAD8_00E04C390749_.wvu.Cols">#REF!</definedName>
    <definedName localSheetId="8" name="__123Graph_LBL_B">#REF!</definedName>
    <definedName localSheetId="8" name="Z_9D8A7FE8_EB32_11D6_AAD8_00E04C390749_.wvu.Cols">#REF!</definedName>
    <definedName name="Z_9D8A7FE8_EB32_11D6_AAD8_00E04C390749_.wvu.Cols">#REF!</definedName>
  </definedNames>
  <calcPr/>
  <extLst>
    <ext uri="GoogleSheetsCustomDataVersion2">
      <go:sheetsCustomData xmlns:go="http://customooxmlschemas.google.com/" r:id="rId46" roundtripDataChecksum="kXOjs2JBEvi+Lhv7iDKnkb3nkOm0/2MPoRfSzdbFlr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6">
      <text>
        <t xml:space="preserve">======
ID#AAAB2deJGyY
Эльмира Балапанова    (2026-03-25 09:59:26)
с ТЭО</t>
      </text>
    </comment>
  </commentList>
  <extLst>
    <ext uri="GoogleSheetsCustomDataVersion2">
      <go:sheetsCustomData xmlns:go="http://customooxmlschemas.google.com/" r:id="rId1" roundtripDataSignature="AMtx7mh4/KB4cy3WwsSc65Oa3gYu+LWMGQ=="/>
    </ext>
  </extLst>
</comments>
</file>

<file path=xl/sharedStrings.xml><?xml version="1.0" encoding="utf-8"?>
<sst xmlns="http://schemas.openxmlformats.org/spreadsheetml/2006/main" count="1267" uniqueCount="466">
  <si>
    <t>Строительство ГЭС -5 МВТ</t>
  </si>
  <si>
    <t>Панель управления</t>
  </si>
  <si>
    <t>Изменение тарифа</t>
  </si>
  <si>
    <t>Изменение фонда оплаты труда</t>
  </si>
  <si>
    <t>Изменение стоимости строительно-монтажных работ</t>
  </si>
  <si>
    <t>Изменение стоимости производственного оборудования</t>
  </si>
  <si>
    <t>Результат</t>
  </si>
  <si>
    <t>Ставка дисконтирования, %</t>
  </si>
  <si>
    <t>NPV</t>
  </si>
  <si>
    <t>Срок окупаемости</t>
  </si>
  <si>
    <t>не дисконтированный, лет</t>
  </si>
  <si>
    <t>дисконтированный, лет</t>
  </si>
  <si>
    <t>Ставка амортизации по основным средствам:</t>
  </si>
  <si>
    <t>Группы основных средств:</t>
  </si>
  <si>
    <t>Срок службы</t>
  </si>
  <si>
    <t>Ед. изм</t>
  </si>
  <si>
    <t>Ставка, %</t>
  </si>
  <si>
    <t>Здания и сооружения</t>
  </si>
  <si>
    <t>лет</t>
  </si>
  <si>
    <t>Производственное оборудование</t>
  </si>
  <si>
    <t>Ставки налогов на коммерческие объекты</t>
  </si>
  <si>
    <t>НДС</t>
  </si>
  <si>
    <t>Корпоративный подоходный налог</t>
  </si>
  <si>
    <t>Для расчета социального налога и обязательных отчислений в бюджет (на 2026 год):</t>
  </si>
  <si>
    <t>Минимальная заработная плата</t>
  </si>
  <si>
    <t>Тенге</t>
  </si>
  <si>
    <t>Месячный расчетный показатель</t>
  </si>
  <si>
    <t>Ставка социального налога</t>
  </si>
  <si>
    <t>Ставка социального страхования</t>
  </si>
  <si>
    <t>Минимальный размер соц.отч.</t>
  </si>
  <si>
    <t>Максимальный размер соц.отч.</t>
  </si>
  <si>
    <t>Минимальный размер соц.налога</t>
  </si>
  <si>
    <t>Ставка по обязательным пенсионным отчислениям</t>
  </si>
  <si>
    <t>Ставка Индивидуального Подоходного Налога</t>
  </si>
  <si>
    <t>используется после выплаты обязательных пенсионных отчислений и минимальной заработной платы</t>
  </si>
  <si>
    <t>Ставка взносов на ОСМС в 2018-2019 гг.</t>
  </si>
  <si>
    <t>Ставка взносов на ОСМС в 2026-2027 гг.</t>
  </si>
  <si>
    <t xml:space="preserve">Ставка взносов на ОСМС в 2028 г. и далее </t>
  </si>
  <si>
    <t>Инфляция</t>
  </si>
  <si>
    <t>оборудование</t>
  </si>
  <si>
    <t>ИНВЕСТИЦИОННЫЕ ЗАТРАТЫ (ВКЛ. НДС)</t>
  </si>
  <si>
    <t>цеха</t>
  </si>
  <si>
    <t>в тыс. тенге, если не указано иное</t>
  </si>
  <si>
    <t>№</t>
  </si>
  <si>
    <t>Наименование затрат</t>
  </si>
  <si>
    <t>Сумма, вкл. НДС</t>
  </si>
  <si>
    <t>Доля, %</t>
  </si>
  <si>
    <t>Источники финансирования</t>
  </si>
  <si>
    <t>Источники финансирования, %</t>
  </si>
  <si>
    <t>Собственные средства</t>
  </si>
  <si>
    <t>Заемные средства</t>
  </si>
  <si>
    <t>ПИР</t>
  </si>
  <si>
    <t>Экспертиза</t>
  </si>
  <si>
    <t>Cтроительно-монтажные работы</t>
  </si>
  <si>
    <t>Технический надзор</t>
  </si>
  <si>
    <t>Авторский надзор</t>
  </si>
  <si>
    <t>Итого</t>
  </si>
  <si>
    <t>ГРАФИК ФИНАНСИРОВАНИЯ</t>
  </si>
  <si>
    <t xml:space="preserve">Наименование 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</si>
  <si>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</si>
  <si>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</si>
  <si>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</si>
  <si>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</si>
  <si>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</si>
  <si>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</si>
  <si>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</si>
  <si>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</si>
  <si>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</si>
  <si>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</si>
  <si>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</si>
  <si>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</si>
  <si>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ИТОГО</t>
  </si>
  <si>
    <t>(наименование организации)</t>
  </si>
  <si>
    <t xml:space="preserve">   "Согласован"</t>
  </si>
  <si>
    <t>Сводный сметный расчет в сумме</t>
  </si>
  <si>
    <t>тыс.тенге</t>
  </si>
  <si>
    <t>в том числе:</t>
  </si>
  <si>
    <t>налог на добавленную стоимость (НДС)</t>
  </si>
  <si>
    <t>(ссылка на документ о согласовании)</t>
  </si>
  <si>
    <t>"____"_______________ 20    г.</t>
  </si>
  <si>
    <t>СВОДНЫЙ СМЕТНЫЙ РАСЧЕТ</t>
  </si>
  <si>
    <t>(наименование стройки)</t>
  </si>
  <si>
    <t>Составлен в текущих ценах по состоянию на 2 квартал 2018 г.</t>
  </si>
  <si>
    <t>№ п/п</t>
  </si>
  <si>
    <t>№ смет и расчетов</t>
  </si>
  <si>
    <t>Наименование работ и затрат</t>
  </si>
  <si>
    <t>Сметная стоимость, тысяч тенге</t>
  </si>
  <si>
    <t>Всего,
тысяч тенге</t>
  </si>
  <si>
    <t>строительно-монтажных работ</t>
  </si>
  <si>
    <t>оборудования, мебели и инвентаря</t>
  </si>
  <si>
    <t>прочих затрат</t>
  </si>
  <si>
    <t>1</t>
  </si>
  <si>
    <t>Сметный расчет стоимости строительства в ценах 2001г.</t>
  </si>
  <si>
    <t>Итого по сметному расчету в текущих ценах 2026 г К=3,258</t>
  </si>
  <si>
    <t>Стоимость ПИР в 2026г</t>
  </si>
  <si>
    <t>Стоимость экспертизы в 2026г.</t>
  </si>
  <si>
    <t>Затраты Заказчика на управление проектом и технический надзор на 2026 г. -1,47%</t>
  </si>
  <si>
    <t xml:space="preserve">Затраты на осуществление авторского надзора, от стоимости СМР на 2026 г. - 0,2% </t>
  </si>
  <si>
    <t>Резерв средств заказчика на непредвиденные работы и затраты (2%)</t>
  </si>
  <si>
    <t>Решения Правительства</t>
  </si>
  <si>
    <t>Налог на добавленную стоимость, 16%</t>
  </si>
  <si>
    <t>Всего по сводному сметному расчету</t>
  </si>
  <si>
    <t>Всего по сводному сметному расчету без ПИР</t>
  </si>
  <si>
    <t>в том чиле по годам:</t>
  </si>
  <si>
    <t xml:space="preserve"> стоимость ПИР и экспертизы с НДС</t>
  </si>
  <si>
    <t xml:space="preserve"> стоимость  экспертизы с НДС</t>
  </si>
  <si>
    <t xml:space="preserve"> стоимость ПИР с НДС</t>
  </si>
  <si>
    <t xml:space="preserve"> стоимость ПИР 2016 год ТЭО без НДС</t>
  </si>
  <si>
    <t xml:space="preserve"> стоимость ПИР 2016 год ТЭО с НДС</t>
  </si>
  <si>
    <t xml:space="preserve"> стоимость ПИР 2017 год РД с НДС</t>
  </si>
  <si>
    <t xml:space="preserve"> стоимость ПИР 2018 год РД с НДС</t>
  </si>
  <si>
    <t>2016 год стоимость строительства</t>
  </si>
  <si>
    <t>2017 год стоимость строительства</t>
  </si>
  <si>
    <t>2018 год стоимость строительства</t>
  </si>
  <si>
    <t>2019 год стоимость строительства</t>
  </si>
  <si>
    <t>в том числе с разбивкой по годам</t>
  </si>
  <si>
    <t>2016 год</t>
  </si>
  <si>
    <t>Проектно-изыскательские работы</t>
  </si>
  <si>
    <t>итого</t>
  </si>
  <si>
    <t>Всего в текущих ценах 2016 г.</t>
  </si>
  <si>
    <t>ВАЛОВАЯ ВЫРУЧКА</t>
  </si>
  <si>
    <t>Тариф на 2026 год по ГЭС-2 и ГЭС-3</t>
  </si>
  <si>
    <t xml:space="preserve">Индекс потребительских цен (Электроэнергия, газ и другие виды топлива) в Республике Казахстан 
</t>
  </si>
  <si>
    <t>https://stat.gov.kz/ru/industries/economy/prices/publications/281083/#:~:text=%D0%BF%D1%80%D0%BE%D1%87%D0%B8%D0%B5%20%D0%B2%D0%B8%D0%B4%D1%8B%20%D1%82%D0%BE%D0%BF%D0%BB%D0%B8%D0%B2%D0%B0-,9%2C9,-0%2C814</t>
  </si>
  <si>
    <t>в тыс.тенге, если не указано иное</t>
  </si>
  <si>
    <t>Наименование</t>
  </si>
  <si>
    <t xml:space="preserve">ГЭС-1 на р. </t>
  </si>
  <si>
    <t>ВОДНОЭНЕРГЕТИЧЕСКИЕ РАСЧЕТЫ ГЭС</t>
  </si>
  <si>
    <t xml:space="preserve">Технические параметры </t>
  </si>
  <si>
    <t>Един.</t>
  </si>
  <si>
    <t>Среднмесячные расходы воды, м3/с</t>
  </si>
  <si>
    <t>За год</t>
  </si>
  <si>
    <t>измер.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</si>
  <si>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</si>
  <si>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</si>
  <si>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</si>
  <si>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</si>
  <si>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</si>
  <si>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</si>
  <si>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</si>
  <si>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</si>
  <si>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</si>
  <si>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</si>
  <si>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</si>
  <si>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</si>
  <si>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1. Продолжительность периода в часах, Т</t>
  </si>
  <si>
    <t>часы</t>
  </si>
  <si>
    <t>2.  Расходы воды в реке   Qр (р=50%)</t>
  </si>
  <si>
    <t xml:space="preserve"> м3/с</t>
  </si>
  <si>
    <t xml:space="preserve">3.  Расходы воды, забираемые на орошение </t>
  </si>
  <si>
    <t>4.  Расходы санитарного(эколог.) попуска ΔQэк</t>
  </si>
  <si>
    <r>
      <rPr>
        <rFont val="Arial"/>
        <b/>
        <color theme="1"/>
        <sz val="10.0"/>
      </rPr>
      <t>5. Технолог. потери воды в голове деривации ГЭС Qгэс</t>
    </r>
    <r>
      <rPr>
        <rFont val="Arial"/>
        <b/>
        <color theme="1"/>
        <sz val="10.0"/>
        <vertAlign val="subscript"/>
      </rPr>
      <t>п</t>
    </r>
  </si>
  <si>
    <r>
      <rPr>
        <rFont val="Arial"/>
        <b/>
        <color theme="1"/>
        <sz val="10.0"/>
      </rPr>
      <t>6. Рабочие расходы ГЭС Qгэс</t>
    </r>
    <r>
      <rPr>
        <rFont val="Arial"/>
        <b/>
        <color theme="1"/>
        <sz val="10.0"/>
        <vertAlign val="subscript"/>
      </rPr>
      <t>р</t>
    </r>
  </si>
  <si>
    <r>
      <rPr>
        <rFont val="Arial"/>
        <b/>
        <color theme="1"/>
        <sz val="10.0"/>
      </rPr>
      <t>7. Свободный сток в реке(холостыесбросы) Q</t>
    </r>
    <r>
      <rPr>
        <rFont val="Arial"/>
        <b/>
        <color theme="1"/>
        <sz val="10.0"/>
        <vertAlign val="subscript"/>
      </rPr>
      <t>хол.сбр.</t>
    </r>
    <r>
      <rPr>
        <rFont val="Arial"/>
        <b/>
        <color theme="1"/>
        <sz val="10.0"/>
      </rPr>
      <t xml:space="preserve"> </t>
    </r>
  </si>
  <si>
    <t>8. Статический напор,  Нгеод=862.5-797,5=65м</t>
  </si>
  <si>
    <t>м</t>
  </si>
  <si>
    <t>9.  Расчёт гидропотерь в деривационном тракте:</t>
  </si>
  <si>
    <r>
      <rPr>
        <rFont val="Arial"/>
        <b/>
        <color theme="1"/>
        <sz val="10.0"/>
      </rPr>
      <t xml:space="preserve">  9.1. Потери в ГВУ, подводящем канале и отстойнике h</t>
    </r>
    <r>
      <rPr>
        <rFont val="Arial"/>
        <b/>
        <color theme="1"/>
        <sz val="10.0"/>
        <vertAlign val="subscript"/>
      </rPr>
      <t>гву</t>
    </r>
  </si>
  <si>
    <t xml:space="preserve">  9.2. Деривационный ВОДОВОД</t>
  </si>
  <si>
    <r>
      <rPr>
        <rFont val="Arial"/>
        <color theme="1"/>
        <sz val="10.0"/>
      </rPr>
      <t xml:space="preserve">   9.2.1. Протяжённость деривац.ВОДОВОДА </t>
    </r>
    <r>
      <rPr>
        <rFont val="Arial"/>
        <b/>
        <color theme="1"/>
        <sz val="10.0"/>
      </rPr>
      <t xml:space="preserve"> Lд.в.</t>
    </r>
  </si>
  <si>
    <t xml:space="preserve">   9.2.2. Диаметр водовода D=2,1м</t>
  </si>
  <si>
    <t xml:space="preserve">   9.2.3. Абсолютная эквивал.шероховатость, kэ</t>
  </si>
  <si>
    <t>мм</t>
  </si>
  <si>
    <r>
      <rPr>
        <rFont val="Arial"/>
        <color theme="1"/>
        <sz val="10.0"/>
      </rPr>
      <t xml:space="preserve">   9.2.4. К-т потерь по длине λ=0,11х ( k/ D)</t>
    </r>
    <r>
      <rPr>
        <rFont val="Arial"/>
        <color theme="1"/>
        <sz val="10.0"/>
        <vertAlign val="superscript"/>
      </rPr>
      <t>0,25</t>
    </r>
  </si>
  <si>
    <t>₋</t>
  </si>
  <si>
    <t xml:space="preserve">   9.2.5. λ x L/D</t>
  </si>
  <si>
    <r>
      <rPr>
        <rFont val="Arial"/>
        <color theme="1"/>
        <sz val="10.0"/>
      </rPr>
      <t xml:space="preserve">   9.2.6. ω=π x D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/4 - площадь водовода в свету</t>
    </r>
  </si>
  <si>
    <r>
      <rPr>
        <rFont val="Arial"/>
        <color theme="1"/>
        <sz val="10.0"/>
      </rPr>
      <t>м</t>
    </r>
    <r>
      <rPr>
        <rFont val="Arial"/>
        <color theme="1"/>
        <sz val="10.0"/>
        <vertAlign val="superscript"/>
      </rPr>
      <t>2</t>
    </r>
  </si>
  <si>
    <t xml:space="preserve">   9.2.7. V = Q/ω - скорость воды в деривации</t>
  </si>
  <si>
    <t>м/с</t>
  </si>
  <si>
    <t xml:space="preserve">   9.2.8. V2 / 2g - скоростной напор</t>
  </si>
  <si>
    <r>
      <rPr>
        <rFont val="Arial"/>
        <color theme="1"/>
        <sz val="10.0"/>
      </rPr>
      <t xml:space="preserve">   9.2.9. Гидропотери по длине водовода:</t>
    </r>
    <r>
      <rPr>
        <rFont val="Arial"/>
        <b/>
        <i/>
        <color theme="1"/>
        <sz val="10.0"/>
      </rPr>
      <t xml:space="preserve"> hwl = λ x L / DxV</t>
    </r>
    <r>
      <rPr>
        <rFont val="Arial"/>
        <b/>
        <i/>
        <color theme="1"/>
        <sz val="10.0"/>
        <vertAlign val="superscript"/>
      </rPr>
      <t>2</t>
    </r>
    <r>
      <rPr>
        <rFont val="Arial"/>
        <b/>
        <i/>
        <color theme="1"/>
        <sz val="10.0"/>
      </rPr>
      <t>/2g</t>
    </r>
  </si>
  <si>
    <r>
      <rPr>
        <rFont val="Arial"/>
        <color theme="1"/>
        <sz val="10.0"/>
      </rPr>
      <t xml:space="preserve">   9.2.10. Местные гидропотери в дер.водоводе:</t>
    </r>
    <r>
      <rPr>
        <rFont val="Arial"/>
        <b/>
        <i/>
        <color theme="1"/>
        <sz val="10.0"/>
      </rPr>
      <t xml:space="preserve">  hм= 0,1хhwl</t>
    </r>
  </si>
  <si>
    <r>
      <rPr>
        <rFont val="Arial"/>
        <color theme="1"/>
        <sz val="10.0"/>
      </rPr>
      <t xml:space="preserve">   9.2.11.Суммарные потери в дер.водоводе:</t>
    </r>
    <r>
      <rPr>
        <rFont val="Arial"/>
        <b/>
        <i/>
        <color theme="1"/>
        <sz val="10.0"/>
      </rPr>
      <t xml:space="preserve">  Нд.в.= hwl +hм</t>
    </r>
  </si>
  <si>
    <r>
      <rPr>
        <rFont val="Arial"/>
        <b/>
        <color theme="1"/>
        <sz val="10.0"/>
      </rPr>
      <t xml:space="preserve">   </t>
    </r>
    <r>
      <rPr>
        <rFont val="Arial"/>
        <b/>
        <i/>
        <color theme="1"/>
        <sz val="10.0"/>
      </rPr>
      <t>Полные гидропотери</t>
    </r>
    <r>
      <rPr>
        <rFont val="Arial"/>
        <b/>
        <color theme="1"/>
        <sz val="10.0"/>
      </rPr>
      <t xml:space="preserve"> в тракте H</t>
    </r>
    <r>
      <rPr>
        <rFont val="Arial"/>
        <b/>
        <color theme="1"/>
        <sz val="10.0"/>
        <vertAlign val="subscript"/>
      </rPr>
      <t>полн</t>
    </r>
    <r>
      <rPr>
        <rFont val="Arial"/>
        <b/>
        <color theme="1"/>
        <sz val="10.0"/>
      </rPr>
      <t>=h</t>
    </r>
    <r>
      <rPr>
        <rFont val="Arial"/>
        <b/>
        <color theme="1"/>
        <sz val="10.0"/>
        <vertAlign val="subscript"/>
      </rPr>
      <t>гву</t>
    </r>
    <r>
      <rPr>
        <rFont val="Arial"/>
        <b/>
        <color theme="1"/>
        <sz val="10.0"/>
      </rPr>
      <t>+Н</t>
    </r>
    <r>
      <rPr>
        <rFont val="Arial"/>
        <b/>
        <color theme="1"/>
        <sz val="10.0"/>
        <vertAlign val="subscript"/>
      </rPr>
      <t>д.в.</t>
    </r>
  </si>
  <si>
    <t>5. Рабочий напор на ГЭС, Нгэс</t>
  </si>
  <si>
    <r>
      <rPr>
        <rFont val="Arial"/>
        <b/>
        <color theme="1"/>
        <sz val="10.0"/>
      </rPr>
      <t xml:space="preserve">6.  К.П.Д. турбины   </t>
    </r>
    <r>
      <rPr>
        <rFont val="Arial"/>
        <b val="0"/>
        <color theme="1"/>
        <sz val="10.0"/>
      </rPr>
      <t>ηт</t>
    </r>
  </si>
  <si>
    <t xml:space="preserve">    %</t>
  </si>
  <si>
    <r>
      <rPr>
        <rFont val="Arial"/>
        <b/>
        <color theme="1"/>
        <sz val="10.0"/>
      </rPr>
      <t xml:space="preserve">7.  К.П.Д. генератора   </t>
    </r>
    <r>
      <rPr>
        <rFont val="Arial"/>
        <b val="0"/>
        <color theme="1"/>
        <sz val="10.0"/>
      </rPr>
      <t>ηг</t>
    </r>
  </si>
  <si>
    <t>8. Мощность ГЭС             Nустгэс = АхQгэсхНгэс</t>
  </si>
  <si>
    <t>МВт</t>
  </si>
  <si>
    <t>9. Среднегодовая выработка электроэнергии, Эгэс</t>
  </si>
  <si>
    <t>ГВт• Ч</t>
  </si>
  <si>
    <t>10. Среднегодовое число часов использования Nустгэс</t>
  </si>
  <si>
    <t>Часы</t>
  </si>
  <si>
    <t>ПРОИЗВОДСТВЕННЫЕ ИЗДЕРЖКИ</t>
  </si>
  <si>
    <t>Элементы затрат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</si>
  <si>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</si>
  <si>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</si>
  <si>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</si>
  <si>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</si>
  <si>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</si>
  <si>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</si>
  <si>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</si>
  <si>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</si>
  <si>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</si>
  <si>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Непредвиденные расходы</t>
  </si>
  <si>
    <t>РАСЧЕТ АМОРТИЗАЦИОННЫХ ОТЧИСЛЕНИЙ НА ПРОИЗВОДСТВЕННЫЕ ОСНОВНЫЕ СРЕДСТВА</t>
  </si>
  <si>
    <t>Амортизационные отчисления</t>
  </si>
  <si>
    <t>Стоимость без учета НДС</t>
  </si>
  <si>
    <t>Срок службы, лет</t>
  </si>
  <si>
    <t>в мес.</t>
  </si>
  <si>
    <t>в год</t>
  </si>
  <si>
    <t>ГЭС-1</t>
  </si>
  <si>
    <t>Текущий ремонт оборудования</t>
  </si>
  <si>
    <t>Норматив затрат</t>
  </si>
  <si>
    <t>тенге/мес.</t>
  </si>
  <si>
    <t>Норматив на основе эксплуатации</t>
  </si>
  <si>
    <t>Электроэнергия на объекте</t>
  </si>
  <si>
    <t>РАСЧЕТ НАЛОГА НА ИМУЩЕСТВО</t>
  </si>
  <si>
    <t>Налог на имущество</t>
  </si>
  <si>
    <t>РАСЧЕТ  ЗЕМЕЛЬНОГО НАЛОГА</t>
  </si>
  <si>
    <t>Ставка налога ГЭС-2</t>
  </si>
  <si>
    <t>тенгега</t>
  </si>
  <si>
    <t>Площадь участка ГЭС-2</t>
  </si>
  <si>
    <t>га</t>
  </si>
  <si>
    <t>Земельный налог</t>
  </si>
  <si>
    <t>РАСЧЕТ ПЛАТЫ ЗА ПОЛЬЗОВАНИЕ ВОДНЫМИ ИСТОЧНИКАМИ</t>
  </si>
  <si>
    <t>Ставка</t>
  </si>
  <si>
    <t>тенге/кВтч</t>
  </si>
  <si>
    <t xml:space="preserve">Об установлении ставок платы за пользование водными ресурсами из поверхностных источников Алматинской области/ Решение Алматинского областного маслихата от 25 июля 2018 года No 34-176. </t>
  </si>
  <si>
    <t>Плата за пользование водными ресурсами</t>
  </si>
  <si>
    <t>РАСЧЕТ РАСХОДА НА УСЛУГИ ДИСПЕТЧЕРИЗАЦИИ</t>
  </si>
  <si>
    <t>Стоимость услуг</t>
  </si>
  <si>
    <t>тенге/кВт</t>
  </si>
  <si>
    <t xml:space="preserve">Норматив на основе эксплуатации </t>
  </si>
  <si>
    <t>Услуги диспетчеризации</t>
  </si>
  <si>
    <t>Оперативно-техническое и диспетчерское обслуживание</t>
  </si>
  <si>
    <t>тыс.тенге/мес.</t>
  </si>
  <si>
    <t>НЕПРЕДВИДЕННЫЕ РАСХОДЫ</t>
  </si>
  <si>
    <t>Ставка налога на имущество</t>
  </si>
  <si>
    <t>Год</t>
  </si>
  <si>
    <t>Месяц</t>
  </si>
  <si>
    <t>Остаточная стоимость на начало месяца</t>
  </si>
  <si>
    <t>Ежемесячные аморт. отч. по произв. зданию</t>
  </si>
  <si>
    <t>Приход произв. помещения</t>
  </si>
  <si>
    <t>Остаточная стоимость на конец месяца</t>
  </si>
  <si>
    <t>Среднегодовая остаточная стоимость</t>
  </si>
  <si>
    <t>Ежегодный налог на имущество</t>
  </si>
  <si>
    <t>АДМИНИСТРАТИВНЫЕ ИЗДЕРЖКИ</t>
  </si>
  <si>
    <t>Гос.пошлина</t>
  </si>
  <si>
    <t>Гос.регистрация</t>
  </si>
  <si>
    <t>Заправка картриджа</t>
  </si>
  <si>
    <t>Изготовление и цветная распечатка</t>
  </si>
  <si>
    <t>Канцелярские товары</t>
  </si>
  <si>
    <t>Налог на транспорт</t>
  </si>
  <si>
    <t>Отчисления ОСМС</t>
  </si>
  <si>
    <t>Оценка имущества</t>
  </si>
  <si>
    <t>Расходы по заработной плате</t>
  </si>
  <si>
    <t>1.10</t>
  </si>
  <si>
    <t>Социальные отчисления</t>
  </si>
  <si>
    <t>1.11</t>
  </si>
  <si>
    <t>Социальный налог</t>
  </si>
  <si>
    <t>1.12</t>
  </si>
  <si>
    <t>Страхование</t>
  </si>
  <si>
    <t>1.13</t>
  </si>
  <si>
    <t>Консалтинговые услуги</t>
  </si>
  <si>
    <t>1.14</t>
  </si>
  <si>
    <t>Услуги банка</t>
  </si>
  <si>
    <t>1.15</t>
  </si>
  <si>
    <t>Услуги сотовой связи</t>
  </si>
  <si>
    <t>1.16</t>
  </si>
  <si>
    <t>Аренда</t>
  </si>
  <si>
    <t xml:space="preserve">РАСЧЕТ ЕЖЕМЕСЯЧНОГО ФОНДА ОПЛАТЫ ТРУДА АДМИНИСТРАТИВНОГО ПЕРСОНАЛА, </t>
  </si>
  <si>
    <t>СОЦИАЛЬНОГО НАЛОГА, ОБЯЗАТЕЛЬНЫХ СОЦ. ОТЧИСЛЕНИЙ И ОСОР</t>
  </si>
  <si>
    <t>Исходные данные (согласно Налогового Кодекса РК 2026г.):</t>
  </si>
  <si>
    <t>тенге</t>
  </si>
  <si>
    <t>.</t>
  </si>
  <si>
    <t>в тенге если не указано иное</t>
  </si>
  <si>
    <t>№ п\п</t>
  </si>
  <si>
    <t>Ежемесячный фонд оплаты труда</t>
  </si>
  <si>
    <t>Социальные выплаты</t>
  </si>
  <si>
    <t>Отчисления за работника</t>
  </si>
  <si>
    <t>ОСМС-2018-2019</t>
  </si>
  <si>
    <t>ОСМС-2026-2027</t>
  </si>
  <si>
    <t>ОСМС-2028-далее</t>
  </si>
  <si>
    <t>ЗП на руки</t>
  </si>
  <si>
    <t>Кол-во</t>
  </si>
  <si>
    <t>Ед.изм.</t>
  </si>
  <si>
    <t>Кол-во смен</t>
  </si>
  <si>
    <t>Всего, чел.</t>
  </si>
  <si>
    <t>Оклад</t>
  </si>
  <si>
    <t>Итого ФОТ:</t>
  </si>
  <si>
    <t>Соц. налог</t>
  </si>
  <si>
    <t>ГФСС</t>
  </si>
  <si>
    <t>Итого:</t>
  </si>
  <si>
    <t>Пенс.отч</t>
  </si>
  <si>
    <t>ИПН</t>
  </si>
  <si>
    <t>Генеральный директор</t>
  </si>
  <si>
    <t>чел.</t>
  </si>
  <si>
    <t>Технический директор</t>
  </si>
  <si>
    <t>ФИНАНСОВЫЕ ИЗДЕРЖКИ</t>
  </si>
  <si>
    <t>РАСЧЕТ ГРАФИКА ПОГАШЕНИЯ ЗАЙМА</t>
  </si>
  <si>
    <t>Ставка на первые три года</t>
  </si>
  <si>
    <t>Ставка на последующий период</t>
  </si>
  <si>
    <t>Срок</t>
  </si>
  <si>
    <t>мес.</t>
  </si>
  <si>
    <t>Мес</t>
  </si>
  <si>
    <t>Сумма осн.долга на начало месяца</t>
  </si>
  <si>
    <t xml:space="preserve">Сумма транша полученного </t>
  </si>
  <si>
    <t>Выплата осн долга</t>
  </si>
  <si>
    <t>Начисление вознаграждения</t>
  </si>
  <si>
    <t>Сумма осн.долга на конец месяца</t>
  </si>
  <si>
    <t>Выплата вознаграждения</t>
  </si>
  <si>
    <t>Ежемесячный платеж</t>
  </si>
  <si>
    <t>Фактическая выплата в 2026</t>
  </si>
  <si>
    <t>Фактическая выплата в 2027</t>
  </si>
  <si>
    <t>Фактическая выплата в 2028</t>
  </si>
  <si>
    <t>ПРОГНОЗНЫЙ ОТЧЕТ О ДОХОДАХ И РАСХОДАХ (про-форма)</t>
  </si>
  <si>
    <t>Income statement</t>
  </si>
  <si>
    <t>Доход от основной деятельности</t>
  </si>
  <si>
    <t>Себестоимость реализованной готовой продукции</t>
  </si>
  <si>
    <t>ВАЛОВЫЙ ДОХОД/ (УБЫТОК)</t>
  </si>
  <si>
    <t>НОРМА ВАЛОВОЙ ПРИБЫЛИ</t>
  </si>
  <si>
    <t>АДМИНИСТРАТИВНЫЕ РАСХОДЫ</t>
  </si>
  <si>
    <t>EBITDA</t>
  </si>
  <si>
    <t>ДОХОД/ (УБЫТОК) ДО ВОЗНАГРАЖДЕНИЯ И НАЛОГООБЛОЖЕНИЯ</t>
  </si>
  <si>
    <t>НОРМА ОПЕРАЦИОННОЙ ПРИБЫЛИ</t>
  </si>
  <si>
    <t xml:space="preserve">Расходы в виде вознаграждения                                    </t>
  </si>
  <si>
    <t>ДОХОД/ (УБЫТОК) ДО НАЛОГООБЛОЖЕНИЯ</t>
  </si>
  <si>
    <t>НОРМА ДОХОДА ДО НАЛОГООБЛОЖЕНИЯ</t>
  </si>
  <si>
    <t xml:space="preserve">Расходы по подоходному налогу            </t>
  </si>
  <si>
    <t>ЧИСТЫЙ ДОХОД/ (УБЫТОК)</t>
  </si>
  <si>
    <t>НОРМА ЧИСТОЙ ПРИБЫЛИ</t>
  </si>
  <si>
    <t>ОТЧЕТ О ДВИЖЕНИИ ДЕНЕЖНЫХ СРЕДСТВ (про-форма)</t>
  </si>
  <si>
    <t>ДВИЖЕНИЕ ДЕНЕГ ОТ ОПЕРАЦИОННОЙ ДЕЯТЕЛЬНОСТИ ПО ПРЯМОМУ МЕТОДУ</t>
  </si>
  <si>
    <t>ПРИТОК ДЕНЕЖНЫХ СРЕДСТВ:</t>
  </si>
  <si>
    <t>Поступление денег от продажи товаров и оказания услуг (вкл. НДС)</t>
  </si>
  <si>
    <t>Авансы, полученные под поставку ТМЗ и оказание услуг</t>
  </si>
  <si>
    <t>Поступление денег в виде вознаграждений, дивидендов и роялти</t>
  </si>
  <si>
    <t>Поступление денег в виде субсидий исполнительных органов власти</t>
  </si>
  <si>
    <t>Прочие поступления</t>
  </si>
  <si>
    <t>ИТОГО ПРИТОК ДЕНЕЖНЫХ СРЕДСТВ</t>
  </si>
  <si>
    <t>ОТТОК ДЕНЕЖНЫХ СРЕДСТВ, вкл. НДС:</t>
  </si>
  <si>
    <t xml:space="preserve">Выплаты заработной платы (вкл. пенс.отч и ИПН) </t>
  </si>
  <si>
    <t>Выплаты за сырье, материалы и эксплуатационные, облагаемые НДС</t>
  </si>
  <si>
    <t>Авансы выданные</t>
  </si>
  <si>
    <t>Выплаты за услуги и прочее, не облагаемые НДС</t>
  </si>
  <si>
    <t>Налоги (имущ., социальный, зем.)</t>
  </si>
  <si>
    <t>Расчеты по подоходному налогу</t>
  </si>
  <si>
    <t>Прочие выплаты</t>
  </si>
  <si>
    <t>Выплаты по НДС</t>
  </si>
  <si>
    <t>ИТОГО ОТТОК ДЕНЕЖНЫХ СРЕДСТВ</t>
  </si>
  <si>
    <t>ИТОГО ЧИСТЫЙ ДЕНЕЖНЫЙ ПОТОК (+/-) ОТ ОПЕРАЦИОННОЙ ДЕЯТЕЛЬНОСТИ</t>
  </si>
  <si>
    <t>ДВИЖЕНИЕ ДЕНЕГ ОТ ИНВЕСТИЦИОННОЙ ДЕЯТЕЛЬНОСТИ:</t>
  </si>
  <si>
    <t>Реализация нематериальных активов</t>
  </si>
  <si>
    <t>Реализация основных средств и других долгосрочных активов</t>
  </si>
  <si>
    <t>Получение займов, предоставленных другим юридическим лицам</t>
  </si>
  <si>
    <t>ОТТОК ДЕНЕЖНЫХ СРЕДСТВ:</t>
  </si>
  <si>
    <t>Приобретение нематериальных активов</t>
  </si>
  <si>
    <t>Приобретение основных средств и других долгосрочных активов</t>
  </si>
  <si>
    <t>Незавершенное строительство</t>
  </si>
  <si>
    <t>Предоставление займов другим юридическим лицам</t>
  </si>
  <si>
    <t>ИТОГО ЧИСТЫЙ ДЕНЕЖНЫЙ ПОТОК (+/-) ОТ ИНВЕСТИЦИОННОЙ ДЕЯТЕЛЬНОСТИ</t>
  </si>
  <si>
    <t xml:space="preserve">ДВИЖЕНИЕ ДЕНЕГ ОТ ФИНАНСОВОЙ ДЕЯТЕЛЬНОСТИ: </t>
  </si>
  <si>
    <t>Выпуск акций, облигаций, поступление собственных средств</t>
  </si>
  <si>
    <t>Получение займов от финансовых учреждений</t>
  </si>
  <si>
    <t>Поступление собственных средств (оборотные средства)</t>
  </si>
  <si>
    <t>Финансовая помощь, полученная от аффилиированных компаний</t>
  </si>
  <si>
    <t>Погашение займов финансовых учреждений</t>
  </si>
  <si>
    <t>Финансовая помощь, предоставленная аффилиированным компаниям</t>
  </si>
  <si>
    <t>Приобретение собственных акций</t>
  </si>
  <si>
    <t>Погашение вознаграждения</t>
  </si>
  <si>
    <t>ИТОГО ЧИСТЫЙ ДЕНЕЖНЫЙ ПОТОК (+/-) ОТ ФИНАНСОВОЙ ДЕЯТЕЛЬНОСТИ</t>
  </si>
  <si>
    <t>ЧИСТОЕ ИЗМЕНЕНИЕ В ДЕНЬГАХ И ДЕНЕЖНЫХ ЭКВИВАЛЕНТАХ</t>
  </si>
  <si>
    <t>ВЛИЯНИЕ ОБМЕННЫХ КУРСОВ ВАЛЮТ К ТЕНГЕ</t>
  </si>
  <si>
    <t>ДЕНЬГИ И ДЕНЕЖНЫЕ ЭКВИВАЛЕНТЫ НА НАЧАЛО ПЕРИОДА</t>
  </si>
  <si>
    <t>ДЕНЬГИ И ДЕНЕЖНЫЕ ЭКВИВАЛЕНТЫ НА КОНЕЦ ПЕРИОДА</t>
  </si>
  <si>
    <t>АККУМУЛИРОВАННЫЙ ИЗБЫТОК/ (НЕДОСТАТОК) ДЕНЕЖНЫХ СРЕДСТВ</t>
  </si>
  <si>
    <t>РАСЧЁТ НДС К ВОЗМЕЩЕНИЮ И УПЛАТЕ</t>
  </si>
  <si>
    <t>НДС начисленный</t>
  </si>
  <si>
    <t>Поступление денег от продажи товаров и оказания услуг</t>
  </si>
  <si>
    <t>ИТОГО НДС начисленный:</t>
  </si>
  <si>
    <t>НДС уплаченный:</t>
  </si>
  <si>
    <t>ИТОГО НДС уплаченный:</t>
  </si>
  <si>
    <t xml:space="preserve">НДС АКТИВ (ПАССИВ)  </t>
  </si>
  <si>
    <t>НДС в зачет</t>
  </si>
  <si>
    <t>НДС к уплате в бюджет (расходы по НДС)</t>
  </si>
  <si>
    <t xml:space="preserve">ОТЧЕТ О СВОБОДНОМ ДЕНЕЖНОМ ПОТОКЕ ДЛЯ КАПИТАЛА </t>
  </si>
  <si>
    <t>годовой</t>
  </si>
  <si>
    <t>Ставка дисконтирования</t>
  </si>
  <si>
    <t>СДП для акционерного капитала</t>
  </si>
  <si>
    <t>Денежные средства, полученные от операционной деятельности</t>
  </si>
  <si>
    <t>Не дисконтированный СДП для Капитала (FCF to Equity)</t>
  </si>
  <si>
    <t>Дисконтированный СДП для Капитала (DFCF to Equity)</t>
  </si>
  <si>
    <t>Не дисконтированные инвестиции</t>
  </si>
  <si>
    <t>Дисконтированные инвестиции</t>
  </si>
  <si>
    <t>Чистый дисконтированный денежный поток</t>
  </si>
  <si>
    <t>ИТОГО ЧИСТАЯ ПРИВЕДЕННАЯ СТОИМОСТЬ (NPV)</t>
  </si>
  <si>
    <t>ВНУТРЕННЯЯ НОРМА ДОХОДНОСТИ</t>
  </si>
  <si>
    <t>т.е. ставка дисконтироавния при которой NPV будет равен нулю</t>
  </si>
  <si>
    <t>СРОК ОКУПАЕМОСТИ</t>
  </si>
  <si>
    <t>- не дисконтированный</t>
  </si>
  <si>
    <t>месяцев</t>
  </si>
  <si>
    <t>- дисконтированный</t>
  </si>
  <si>
    <t>РАСЧЕТ СТАВКИ ДИСКОНТИРВОАНИЯ</t>
  </si>
  <si>
    <t>Долг, млн.тенге</t>
  </si>
  <si>
    <t>Акционерный капитал, тыс.тенге</t>
  </si>
  <si>
    <t>Ставка КПН, %</t>
  </si>
  <si>
    <t>WACC</t>
  </si>
  <si>
    <t>РАСЧЕТ СТОИМОСТИ АКЦИОНЕРНОГО КАПИТАЛА ПО МЕТОДУ CAPM (CAPITAL ASSET PRICING MODEL)</t>
  </si>
  <si>
    <t>Компоненты</t>
  </si>
  <si>
    <t>значение, %</t>
  </si>
  <si>
    <t>Безрисковая ставка для Казахстана</t>
  </si>
  <si>
    <t>http://www.nationalbank.kz/?docid=753&amp;switch=russian</t>
  </si>
  <si>
    <t>Бета-коэффициент</t>
  </si>
  <si>
    <t>http://pages.stern.nyu.edu/~adamodar/New_Home_Page/datafile/Betas.html</t>
  </si>
  <si>
    <t>Рыночная премия - Казахстан</t>
  </si>
  <si>
    <t>Расчет премии за риск (от 1 до 3):</t>
  </si>
  <si>
    <t>1) Финансовая структура</t>
  </si>
  <si>
    <t>2) Размер бизнеса</t>
  </si>
  <si>
    <t>3) Территориальная и товарная диверсификация</t>
  </si>
  <si>
    <t>Итого премия за риск</t>
  </si>
  <si>
    <t>Округленно стоимость капитала</t>
  </si>
  <si>
    <t>*Источник: Дамодоран</t>
  </si>
  <si>
    <t>РАСЧЕТ СТОИМОСТИ ДОЛГА</t>
  </si>
  <si>
    <t>http://nationalbank.kz/?docid=305&amp;switch=russian</t>
  </si>
  <si>
    <t>Расчет рыночной премии</t>
  </si>
  <si>
    <t>www.kase.kz</t>
  </si>
  <si>
    <t>Год:</t>
  </si>
  <si>
    <t>Kase shares</t>
  </si>
  <si>
    <t>Kase by</t>
  </si>
  <si>
    <t>Rf</t>
  </si>
  <si>
    <t>Market premium</t>
  </si>
  <si>
    <t>Average</t>
  </si>
  <si>
    <t>СЦЕНАРНЫЙ АНАЛИЗ</t>
  </si>
  <si>
    <t xml:space="preserve">Показатель </t>
  </si>
  <si>
    <t>База</t>
  </si>
  <si>
    <t>Оптимист</t>
  </si>
  <si>
    <t xml:space="preserve">Пессимист </t>
  </si>
  <si>
    <t xml:space="preserve">Выручка </t>
  </si>
  <si>
    <t xml:space="preserve">OPEX </t>
  </si>
  <si>
    <t xml:space="preserve">NPV </t>
  </si>
  <si>
    <t xml:space="preserve">IRR </t>
  </si>
  <si>
    <t>+20%</t>
  </si>
  <si>
    <t>АНАЛИЗ ЧУВСТВИТЕЛЬНОСТИ К ИЗМЕНЕНИЮ ОСНОВНЫХ ПАРАМЕТРОВ</t>
  </si>
  <si>
    <t>1. Чувствительность ЧПС и ВНД к изменению тарифа</t>
  </si>
  <si>
    <t>тыс. тенге, если не указано иное</t>
  </si>
  <si>
    <t>Изменение, % --&gt;</t>
  </si>
  <si>
    <t>Изменение</t>
  </si>
  <si>
    <t>0</t>
  </si>
  <si>
    <t>Зависимые величины</t>
  </si>
  <si>
    <t>IRR</t>
  </si>
  <si>
    <t>Степень изменения NPV</t>
  </si>
  <si>
    <t>Степень изменения IRR</t>
  </si>
  <si>
    <t>2. Чувствительность ЧПС и ВНД к изменению фонда оплаты труда</t>
  </si>
  <si>
    <t xml:space="preserve">Зависимые </t>
  </si>
  <si>
    <t>2. Чувствительность ЧПС и ВНД к изменению затрат на строительно-монтажные работы</t>
  </si>
  <si>
    <t>3. Чувствительность ЧПС и ВНД к изменению затрат на производственное оборудование</t>
  </si>
  <si>
    <t>АНАЛИЗ ЧУВСТВИТЕЛЬНОСТИ DSCR</t>
  </si>
  <si>
    <t>1. Чувствительность DSCR к изменению тарифа</t>
  </si>
  <si>
    <t>Среднее значение</t>
  </si>
  <si>
    <t>Показатель</t>
  </si>
  <si>
    <t>Измененение на (-25%)</t>
  </si>
  <si>
    <t>Измененение на (-20%)</t>
  </si>
  <si>
    <t>Измененение на (-15%)</t>
  </si>
  <si>
    <t>Измененение на (-10%)</t>
  </si>
  <si>
    <t>Измененение на (-5%)</t>
  </si>
  <si>
    <t>Измененение на (0%)</t>
  </si>
  <si>
    <t>Измененение на (+5%)</t>
  </si>
  <si>
    <t>Измененение на (+10%)</t>
  </si>
  <si>
    <t>Измененение на (+15%)</t>
  </si>
  <si>
    <t>Измененение на (+20%)</t>
  </si>
  <si>
    <t>Измененение на (+25%)</t>
  </si>
  <si>
    <t>2. Чувствительность DSCR к изменению стоимости СМР</t>
  </si>
  <si>
    <t>3. Чувствительность DSCR к изменению стоимости производственного оборудования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</si>
</sst>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_(* #,##0.0_);_(* \(#,##0.0\);_(* &quot;-&quot;??_);_(@_)"/>
    <numFmt numFmtId="165" formatCode="_(* #,##0_);_(* \(#,##0\);_(* &quot;-&quot;??_);_(@_)"/>
    <numFmt numFmtId="166" formatCode="_-* #,##0_р_._-;\-* #,##0_р_._-;_-* &quot;-&quot;??_р_._-;_-@"/>
    <numFmt numFmtId="167" formatCode="0.0%"/>
    <numFmt numFmtId="168" formatCode="_(* #,##0.0000_);_(* \(#,##0.0000\);_(* &quot;-&quot;??_);_(@_)"/>
    <numFmt numFmtId="169" formatCode="#,##0.00&quot;р.&quot;"/>
    <numFmt numFmtId="170" formatCode="_-* #,##0.00_р_._-;\-* #,##0.00_р_._-;_-* &quot;-&quot;??_р_._-;_-@"/>
    <numFmt numFmtId="171" formatCode="_(* #,##0.000000_);_(* \(#,##0.000000\);_(* &quot;-&quot;??_);_(@_)"/>
    <numFmt numFmtId="172" formatCode="_-* #,##0.00\ _₽_-;\-* #,##0.00\ _₽_-;_-* &quot;-&quot;??\ _₽_-;_-@"/>
    <numFmt numFmtId="173" formatCode="_(* #,##0.00_);_(* \(#,##0.00\);_(* &quot;-&quot;??_);_(@_)"/>
    <numFmt numFmtId="174" formatCode="_-* #,##0\ _₽_-;\-* #,##0\ _₽_-;_-* &quot;-&quot;??\ _₽_-;_-@"/>
    <numFmt numFmtId="175" formatCode="0.00000000"/>
    <numFmt numFmtId="176" formatCode="0.0000"/>
    <numFmt numFmtId="177" formatCode="0.000"/>
    <numFmt numFmtId="178" formatCode="0.0"/>
    <numFmt numFmtId="179" formatCode="#,##0_ ;\-#,##0\ "/>
  </numFmts>
  <fonts count="40">
    <font>
      <sz val="10.0"/>
      <color rgb="FF000000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sz val="10.0"/>
      <color theme="0"/>
      <name val="Arial"/>
    </font>
    <font>
      <i/>
      <sz val="10.0"/>
      <color theme="1"/>
      <name val="Arial"/>
    </font>
    <font>
      <b/>
      <sz val="10.0"/>
      <color rgb="FFFFFFFF"/>
      <name val="Arial"/>
    </font>
    <font/>
    <font>
      <i/>
      <sz val="10.0"/>
      <color rgb="FF0000CC"/>
      <name val="Arial"/>
    </font>
    <font>
      <sz val="10.0"/>
      <color theme="1"/>
      <name val="Times New Roman"/>
    </font>
    <font>
      <sz val="8.0"/>
      <color theme="1"/>
      <name val="Times New Roman"/>
    </font>
    <font>
      <sz val="9.0"/>
      <color theme="1"/>
      <name val="Times New Roman"/>
    </font>
    <font>
      <i/>
      <sz val="8.0"/>
      <color theme="1"/>
      <name val="Arial"/>
    </font>
    <font>
      <sz val="8.0"/>
      <color theme="1"/>
      <name val="Arial"/>
    </font>
    <font>
      <b/>
      <sz val="12.0"/>
      <color theme="1"/>
      <name val="Times New Roman"/>
    </font>
    <font>
      <b/>
      <sz val="9.0"/>
      <color theme="1"/>
      <name val="Times New Roman"/>
    </font>
    <font>
      <b/>
      <sz val="10.0"/>
      <color theme="1"/>
      <name val="Times New Roman"/>
    </font>
    <font>
      <u/>
      <sz val="10.0"/>
      <color theme="10"/>
      <name val="Arial"/>
    </font>
    <font>
      <b/>
      <sz val="10.0"/>
      <color rgb="FF0000CC"/>
      <name val="Arial"/>
    </font>
    <font>
      <b/>
      <sz val="10.0"/>
      <color theme="0"/>
      <name val="Arial"/>
    </font>
    <font>
      <b/>
      <i/>
      <sz val="10.0"/>
      <color rgb="FF990099"/>
      <name val="Arial"/>
    </font>
    <font>
      <b/>
      <i/>
      <sz val="10.0"/>
      <color rgb="FF0000FF"/>
      <name val="Arial"/>
    </font>
    <font>
      <b/>
      <sz val="10.0"/>
      <color rgb="FFFF0000"/>
      <name val="Arial"/>
    </font>
    <font>
      <b/>
      <sz val="10.0"/>
      <color rgb="FF0000FF"/>
      <name val="Arial"/>
    </font>
    <font>
      <b/>
      <i/>
      <sz val="10.0"/>
      <color rgb="FF00B050"/>
      <name val="Arial"/>
    </font>
    <font>
      <sz val="10.0"/>
      <color rgb="FF0000FF"/>
      <name val="Arial"/>
    </font>
    <font>
      <b/>
      <sz val="10.0"/>
      <color rgb="FF800080"/>
      <name val="Arial"/>
    </font>
    <font>
      <b/>
      <i/>
      <sz val="10.0"/>
      <color theme="1"/>
      <name val="Arial"/>
    </font>
    <font>
      <b/>
      <i/>
      <sz val="10.0"/>
      <color rgb="FF008000"/>
      <name val="Arial"/>
    </font>
    <font>
      <b/>
      <sz val="10.0"/>
      <color rgb="FF008000"/>
      <name val="Arial"/>
    </font>
    <font>
      <b/>
      <sz val="10.0"/>
      <color rgb="FF800000"/>
      <name val="Arial"/>
    </font>
    <font>
      <b/>
      <sz val="14.0"/>
      <color rgb="FFFF0000"/>
      <name val="Arial"/>
    </font>
    <font>
      <b/>
      <u/>
      <sz val="10.0"/>
      <color theme="1"/>
      <name val="Arial"/>
    </font>
    <font>
      <b/>
      <sz val="20.0"/>
      <color rgb="FFFF0000"/>
      <name val="Arial"/>
    </font>
    <font>
      <b/>
      <color theme="1"/>
      <name val="Calibri"/>
    </font>
    <font>
      <color theme="1"/>
      <name val="Calibri"/>
    </font>
    <font>
      <color theme="1"/>
      <name val="Arial"/>
    </font>
    <font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000080"/>
        <bgColor rgb="FF000080"/>
      </patternFill>
    </fill>
    <fill>
      <patternFill patternType="solid">
        <fgColor rgb="FFD8D8D8"/>
        <bgColor rgb="FFD8D8D8"/>
      </patternFill>
    </fill>
    <fill>
      <patternFill patternType="solid">
        <fgColor rgb="FFDBE5F1"/>
        <bgColor rgb="FFDBE5F1"/>
      </patternFill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000066"/>
        <bgColor rgb="FF000066"/>
      </patternFill>
    </fill>
    <fill>
      <patternFill patternType="solid">
        <fgColor rgb="FFC0C0C0"/>
        <bgColor rgb="FFC0C0C0"/>
      </patternFill>
    </fill>
  </fills>
  <borders count="74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medium">
        <color rgb="FF000000"/>
      </bottom>
    </border>
    <border>
      <left/>
      <right/>
      <top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bottom style="hair">
        <color rgb="FFCCCCCC"/>
      </bottom>
    </border>
    <border>
      <top style="hair">
        <color rgb="FFCCCCCC"/>
      </top>
      <bottom style="hair">
        <color rgb="FFCCCCCC"/>
      </bottom>
    </border>
    <border>
      <top style="hair">
        <color rgb="FF000000"/>
      </top>
      <bottom style="hair">
        <color rgb="FF000000"/>
      </bottom>
    </border>
    <border>
      <top style="hair">
        <color rgb="FF000000"/>
      </top>
    </border>
    <border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hair">
        <color rgb="FFCCCCCC"/>
      </left>
      <right style="hair">
        <color rgb="FFCCCCCC"/>
      </right>
      <bottom style="hair">
        <color rgb="FFCCCCCC"/>
      </bottom>
    </border>
    <border>
      <right style="hair">
        <color rgb="FFCCCCCC"/>
      </right>
      <bottom style="hair">
        <color rgb="FFCCCCCC"/>
      </bottom>
    </border>
    <border>
      <left style="hair">
        <color rgb="FFCCCCCC"/>
      </left>
      <top style="hair">
        <color rgb="FFCCCCCC"/>
      </top>
      <bottom style="hair">
        <color rgb="FFCCCCCC"/>
      </bottom>
    </border>
    <border>
      <right style="hair">
        <color rgb="FFC0C0C0"/>
      </right>
      <bottom style="hair">
        <color rgb="FFC0C0C0"/>
      </bottom>
    </border>
    <border>
      <left style="hair">
        <color rgb="FFC0C0C0"/>
      </left>
      <top style="hair">
        <color rgb="FFCCCCCC"/>
      </top>
      <bottom style="hair">
        <color rgb="FFC0C0C0"/>
      </bottom>
    </border>
    <border>
      <left style="hair">
        <color rgb="FFC0C0C0"/>
      </left>
      <top style="hair">
        <color rgb="FFC0C0C0"/>
      </top>
      <bottom style="hair">
        <color rgb="FFC0C0C0"/>
      </bottom>
    </border>
    <border>
      <left style="hair">
        <color rgb="FFCCCCCC"/>
      </left>
      <top style="hair">
        <color rgb="FFC0C0C0"/>
      </top>
      <bottom style="hair">
        <color rgb="FFCCCCCC"/>
      </bottom>
    </border>
    <border>
      <left/>
      <right style="hair">
        <color rgb="FFCCCCCC"/>
      </right>
      <top/>
      <bottom style="hair">
        <color rgb="FFCCCCCC"/>
      </bottom>
    </border>
    <border>
      <left style="hair">
        <color rgb="FFCCCCCC"/>
      </left>
      <right style="hair">
        <color rgb="FFCCCCCC"/>
      </right>
      <top/>
      <bottom style="hair">
        <color rgb="FFCCCCCC"/>
      </bottom>
    </border>
    <border>
      <left style="hair">
        <color rgb="FFCCCCCC"/>
      </left>
      <right/>
      <top style="hair">
        <color rgb="FFCCCCCC"/>
      </top>
      <bottom style="hair">
        <color rgb="FFCCCCCC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 style="medium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/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1" numFmtId="0" xfId="0" applyBorder="1" applyFill="1" applyFont="1"/>
    <xf borderId="2" fillId="2" fontId="2" numFmtId="0" xfId="0" applyBorder="1" applyFont="1"/>
    <xf borderId="3" fillId="2" fontId="3" numFmtId="0" xfId="0" applyBorder="1" applyFont="1"/>
    <xf borderId="4" fillId="2" fontId="2" numFmtId="0" xfId="0" applyBorder="1" applyFont="1"/>
    <xf borderId="3" fillId="2" fontId="1" numFmtId="0" xfId="0" applyBorder="1" applyFont="1"/>
    <xf borderId="4" fillId="2" fontId="2" numFmtId="9" xfId="0" applyBorder="1" applyFont="1" applyNumberFormat="1"/>
    <xf borderId="0" fillId="0" fontId="1" numFmtId="9" xfId="0" applyFont="1" applyNumberFormat="1"/>
    <xf borderId="3" fillId="2" fontId="2" numFmtId="0" xfId="0" applyBorder="1" applyFont="1"/>
    <xf borderId="4" fillId="2" fontId="2" numFmtId="10" xfId="0" applyBorder="1" applyFont="1" applyNumberFormat="1"/>
    <xf borderId="4" fillId="2" fontId="2" numFmtId="38" xfId="0" applyBorder="1" applyFont="1" applyNumberFormat="1"/>
    <xf borderId="4" fillId="2" fontId="2" numFmtId="164" xfId="0" applyBorder="1" applyFont="1" applyNumberFormat="1"/>
    <xf borderId="5" fillId="2" fontId="2" numFmtId="0" xfId="0" applyBorder="1" applyFont="1"/>
    <xf borderId="6" fillId="2" fontId="2" numFmtId="164" xfId="0" applyBorder="1" applyFont="1" applyNumberFormat="1"/>
    <xf borderId="0" fillId="0" fontId="4" numFmtId="0" xfId="0" applyFont="1"/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10" xfId="0" applyFont="1" applyNumberFormat="1"/>
    <xf borderId="0" fillId="0" fontId="5" numFmtId="0" xfId="0" applyAlignment="1" applyFont="1">
      <alignment horizontal="center" shrinkToFit="0" wrapText="1"/>
    </xf>
    <xf borderId="0" fillId="0" fontId="2" numFmtId="9" xfId="0" applyAlignment="1" applyFont="1" applyNumberFormat="1">
      <alignment shrinkToFit="0" wrapText="1"/>
    </xf>
    <xf borderId="0" fillId="0" fontId="2" numFmtId="9" xfId="0" applyAlignment="1" applyFont="1" applyNumberFormat="1">
      <alignment horizontal="center" shrinkToFit="0" wrapText="1"/>
    </xf>
    <xf borderId="0" fillId="0" fontId="2" numFmtId="9" xfId="0" applyFont="1" applyNumberFormat="1"/>
    <xf borderId="0" fillId="0" fontId="2" numFmtId="165" xfId="0" applyAlignment="1" applyFont="1" applyNumberFormat="1">
      <alignment horizontal="left"/>
    </xf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2" numFmtId="3" xfId="0" applyFont="1" applyNumberFormat="1"/>
    <xf borderId="0" fillId="0" fontId="2" numFmtId="0" xfId="0" applyAlignment="1" applyFont="1">
      <alignment readingOrder="0"/>
    </xf>
    <xf borderId="0" fillId="0" fontId="6" numFmtId="0" xfId="0" applyFont="1"/>
    <xf borderId="0" fillId="0" fontId="6" numFmtId="165" xfId="0" applyFont="1" applyNumberFormat="1"/>
    <xf borderId="0" fillId="0" fontId="2" numFmtId="168" xfId="0" applyFont="1" applyNumberFormat="1"/>
    <xf borderId="0" fillId="0" fontId="7" numFmtId="0" xfId="0" applyFont="1"/>
    <xf borderId="7" fillId="3" fontId="8" numFmtId="0" xfId="0" applyAlignment="1" applyBorder="1" applyFill="1" applyFont="1">
      <alignment horizontal="center"/>
    </xf>
    <xf borderId="7" fillId="3" fontId="8" numFmtId="0" xfId="0" applyAlignment="1" applyBorder="1" applyFont="1">
      <alignment horizontal="center" shrinkToFit="0" wrapText="1"/>
    </xf>
    <xf borderId="8" fillId="3" fontId="8" numFmtId="0" xfId="0" applyAlignment="1" applyBorder="1" applyFont="1">
      <alignment horizontal="center" shrinkToFit="0" wrapText="1"/>
    </xf>
    <xf borderId="9" fillId="0" fontId="9" numFmtId="0" xfId="0" applyBorder="1" applyFont="1"/>
    <xf borderId="10" fillId="3" fontId="8" numFmtId="0" xfId="0" applyAlignment="1" applyBorder="1" applyFont="1">
      <alignment horizontal="center" shrinkToFit="0" wrapText="1"/>
    </xf>
    <xf borderId="11" fillId="0" fontId="9" numFmtId="0" xfId="0" applyBorder="1" applyFont="1"/>
    <xf borderId="12" fillId="0" fontId="9" numFmtId="0" xfId="0" applyBorder="1" applyFont="1"/>
    <xf borderId="13" fillId="3" fontId="8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left" shrinkToFit="0" vertical="center" wrapText="1"/>
    </xf>
    <xf borderId="0" fillId="0" fontId="2" numFmtId="165" xfId="0" applyAlignment="1" applyFont="1" applyNumberFormat="1">
      <alignment horizontal="center" shrinkToFit="0" wrapText="1"/>
    </xf>
    <xf borderId="0" fillId="0" fontId="2" numFmtId="9" xfId="0" applyAlignment="1" applyFont="1" applyNumberFormat="1">
      <alignment horizontal="right" shrinkToFit="0" wrapText="1"/>
    </xf>
    <xf borderId="0" fillId="0" fontId="10" numFmtId="0" xfId="0" applyFont="1"/>
    <xf borderId="14" fillId="4" fontId="2" numFmtId="0" xfId="0" applyAlignment="1" applyBorder="1" applyFill="1" applyFont="1">
      <alignment horizontal="center"/>
    </xf>
    <xf borderId="14" fillId="4" fontId="1" numFmtId="0" xfId="0" applyBorder="1" applyFont="1"/>
    <xf borderId="14" fillId="4" fontId="1" numFmtId="165" xfId="0" applyAlignment="1" applyBorder="1" applyFont="1" applyNumberFormat="1">
      <alignment horizontal="center" shrinkToFit="0" wrapText="1"/>
    </xf>
    <xf borderId="14" fillId="4" fontId="1" numFmtId="9" xfId="0" applyAlignment="1" applyBorder="1" applyFont="1" applyNumberFormat="1">
      <alignment horizontal="right" shrinkToFit="0" wrapText="1"/>
    </xf>
    <xf borderId="14" fillId="4" fontId="1" numFmtId="9" xfId="0" applyBorder="1" applyFont="1" applyNumberFormat="1"/>
    <xf borderId="0" fillId="0" fontId="2" numFmtId="169" xfId="0" applyFont="1" applyNumberFormat="1"/>
    <xf borderId="0" fillId="0" fontId="2" numFmtId="170" xfId="0" applyFont="1" applyNumberFormat="1"/>
    <xf borderId="0" fillId="0" fontId="2" numFmtId="171" xfId="0" applyFont="1" applyNumberFormat="1"/>
    <xf borderId="15" fillId="3" fontId="8" numFmtId="0" xfId="0" applyAlignment="1" applyBorder="1" applyFont="1">
      <alignment horizontal="center" shrinkToFit="0" wrapText="1"/>
    </xf>
    <xf borderId="16" fillId="0" fontId="9" numFmtId="0" xfId="0" applyBorder="1" applyFont="1"/>
    <xf borderId="17" fillId="0" fontId="9" numFmtId="0" xfId="0" applyBorder="1" applyFont="1"/>
    <xf borderId="18" fillId="0" fontId="9" numFmtId="0" xfId="0" applyBorder="1" applyFont="1"/>
    <xf borderId="19" fillId="3" fontId="8" numFmtId="0" xfId="0" applyAlignment="1" applyBorder="1" applyFont="1">
      <alignment horizontal="center" shrinkToFit="0" wrapText="1"/>
    </xf>
    <xf borderId="20" fillId="0" fontId="9" numFmtId="0" xfId="0" applyBorder="1" applyFont="1"/>
    <xf borderId="19" fillId="0" fontId="2" numFmtId="0" xfId="0" applyAlignment="1" applyBorder="1" applyFont="1">
      <alignment horizontal="center"/>
    </xf>
    <xf borderId="19" fillId="0" fontId="2" numFmtId="0" xfId="0" applyAlignment="1" applyBorder="1" applyFont="1">
      <alignment horizontal="left" shrinkToFit="0" wrapText="1"/>
    </xf>
    <xf borderId="19" fillId="0" fontId="2" numFmtId="165" xfId="0" applyAlignment="1" applyBorder="1" applyFont="1" applyNumberFormat="1">
      <alignment horizontal="center"/>
    </xf>
    <xf borderId="0" fillId="0" fontId="2" numFmtId="172" xfId="0" applyFont="1" applyNumberFormat="1"/>
    <xf borderId="19" fillId="4" fontId="1" numFmtId="0" xfId="0" applyAlignment="1" applyBorder="1" applyFont="1">
      <alignment horizontal="center"/>
    </xf>
    <xf borderId="19" fillId="4" fontId="1" numFmtId="0" xfId="0" applyBorder="1" applyFont="1"/>
    <xf borderId="19" fillId="4" fontId="1" numFmtId="165" xfId="0" applyAlignment="1" applyBorder="1" applyFont="1" applyNumberFormat="1">
      <alignment horizontal="right"/>
    </xf>
    <xf borderId="21" fillId="5" fontId="1" numFmtId="0" xfId="0" applyBorder="1" applyFill="1" applyFont="1"/>
    <xf borderId="21" fillId="5" fontId="1" numFmtId="165" xfId="0" applyBorder="1" applyFont="1" applyNumberFormat="1"/>
    <xf borderId="0" fillId="0" fontId="2" numFmtId="173" xfId="0" applyFont="1" applyNumberFormat="1"/>
    <xf borderId="22" fillId="0" fontId="2" numFmtId="0" xfId="0" applyBorder="1" applyFont="1"/>
    <xf borderId="22" fillId="0" fontId="2" numFmtId="165" xfId="0" applyBorder="1" applyFont="1" applyNumberFormat="1"/>
    <xf borderId="0" fillId="0" fontId="11" numFmtId="0" xfId="0" applyAlignment="1" applyFont="1">
      <alignment vertical="center"/>
    </xf>
    <xf borderId="0" fillId="0" fontId="11" numFmtId="0" xfId="0" applyAlignment="1" applyFont="1">
      <alignment horizontal="right" vertical="center"/>
    </xf>
    <xf borderId="23" fillId="0" fontId="12" numFmtId="0" xfId="0" applyAlignment="1" applyBorder="1" applyFont="1">
      <alignment horizontal="center" vertical="center"/>
    </xf>
    <xf borderId="23" fillId="0" fontId="9" numFmtId="0" xfId="0" applyBorder="1" applyFont="1"/>
    <xf borderId="0" fillId="0" fontId="11" numFmtId="0" xfId="0" applyAlignment="1" applyFont="1">
      <alignment horizontal="left" vertical="center"/>
    </xf>
    <xf borderId="24" fillId="0" fontId="11" numFmtId="0" xfId="0" applyAlignment="1" applyBorder="1" applyFont="1">
      <alignment horizontal="left" vertical="center"/>
    </xf>
    <xf borderId="24" fillId="0" fontId="9" numFmtId="0" xfId="0" applyBorder="1" applyFont="1"/>
    <xf borderId="24" fillId="0" fontId="11" numFmtId="4" xfId="0" applyAlignment="1" applyBorder="1" applyFont="1" applyNumberFormat="1">
      <alignment horizontal="right" vertical="center"/>
    </xf>
    <xf borderId="24" fillId="0" fontId="11" numFmtId="0" xfId="0" applyAlignment="1" applyBorder="1" applyFont="1">
      <alignment horizontal="right" vertical="center"/>
    </xf>
    <xf borderId="0" fillId="0" fontId="11" numFmtId="172" xfId="0" applyAlignment="1" applyFont="1" applyNumberFormat="1">
      <alignment vertical="center"/>
    </xf>
    <xf borderId="25" fillId="0" fontId="11" numFmtId="0" xfId="0" applyAlignment="1" applyBorder="1" applyFont="1">
      <alignment horizontal="left" vertical="center"/>
    </xf>
    <xf borderId="25" fillId="0" fontId="9" numFmtId="0" xfId="0" applyBorder="1" applyFont="1"/>
    <xf borderId="24" fillId="0" fontId="11" numFmtId="2" xfId="0" applyAlignment="1" applyBorder="1" applyFont="1" applyNumberFormat="1">
      <alignment horizontal="right" vertical="center"/>
    </xf>
    <xf borderId="0" fillId="0" fontId="11" numFmtId="0" xfId="0" applyFont="1"/>
    <xf borderId="0" fillId="0" fontId="11" numFmtId="0" xfId="0" applyAlignment="1" applyFont="1">
      <alignment horizontal="left" shrinkToFit="0" vertical="center" wrapText="1"/>
    </xf>
    <xf borderId="26" fillId="0" fontId="11" numFmtId="0" xfId="0" applyAlignment="1" applyBorder="1" applyFont="1">
      <alignment horizontal="center" shrinkToFit="0" vertical="center" wrapText="1"/>
    </xf>
    <xf borderId="26" fillId="0" fontId="9" numFmtId="0" xfId="0" applyBorder="1" applyFont="1"/>
    <xf borderId="0" fillId="0" fontId="13" numFmtId="0" xfId="0" applyAlignment="1" applyFont="1">
      <alignment horizontal="center" shrinkToFit="0" vertical="center" wrapText="1"/>
    </xf>
    <xf borderId="27" fillId="0" fontId="14" numFmtId="0" xfId="0" applyAlignment="1" applyBorder="1" applyFont="1">
      <alignment horizontal="center" shrinkToFit="0" vertical="center" wrapText="1"/>
    </xf>
    <xf borderId="27" fillId="0" fontId="9" numFmtId="0" xfId="0" applyBorder="1" applyFont="1"/>
    <xf borderId="0" fillId="0" fontId="15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28" fillId="0" fontId="11" numFmtId="0" xfId="0" applyAlignment="1" applyBorder="1" applyFont="1">
      <alignment horizontal="center" shrinkToFit="0" vertical="center" wrapText="1"/>
    </xf>
    <xf borderId="28" fillId="0" fontId="9" numFmtId="0" xfId="0" applyBorder="1" applyFont="1"/>
    <xf borderId="22" fillId="0" fontId="11" numFmtId="0" xfId="0" applyAlignment="1" applyBorder="1" applyFont="1">
      <alignment horizontal="left" shrinkToFit="0" vertical="center" wrapText="1"/>
    </xf>
    <xf borderId="22" fillId="0" fontId="9" numFmtId="0" xfId="0" applyBorder="1" applyFont="1"/>
    <xf borderId="0" fillId="0" fontId="11" numFmtId="0" xfId="0" applyAlignment="1" applyFont="1">
      <alignment horizontal="right"/>
    </xf>
    <xf borderId="7" fillId="6" fontId="13" numFmtId="0" xfId="0" applyAlignment="1" applyBorder="1" applyFill="1" applyFont="1">
      <alignment horizontal="center" shrinkToFit="0" vertical="center" wrapText="1"/>
    </xf>
    <xf borderId="8" fillId="6" fontId="13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29" fillId="6" fontId="13" numFmtId="0" xfId="0" applyAlignment="1" applyBorder="1" applyFont="1">
      <alignment horizontal="center" shrinkToFit="0" vertical="center" wrapText="1"/>
    </xf>
    <xf borderId="30" fillId="6" fontId="13" numFmtId="0" xfId="0" applyAlignment="1" applyBorder="1" applyFont="1">
      <alignment horizontal="center" shrinkToFit="0" vertical="center" wrapText="1"/>
    </xf>
    <xf borderId="31" fillId="6" fontId="17" numFmtId="0" xfId="0" applyAlignment="1" applyBorder="1" applyFont="1">
      <alignment horizontal="center" shrinkToFit="0" vertical="center" wrapText="1"/>
    </xf>
    <xf borderId="32" fillId="6" fontId="17" numFmtId="0" xfId="0" applyAlignment="1" applyBorder="1" applyFont="1">
      <alignment horizontal="center" shrinkToFit="0" vertical="center" wrapText="1"/>
    </xf>
    <xf borderId="29" fillId="6" fontId="17" numFmtId="0" xfId="0" applyAlignment="1" applyBorder="1" applyFont="1">
      <alignment horizontal="center" shrinkToFit="0" vertical="center" wrapText="1"/>
    </xf>
    <xf borderId="33" fillId="6" fontId="17" numFmtId="0" xfId="0" applyAlignment="1" applyBorder="1" applyFont="1">
      <alignment horizontal="center" shrinkToFit="0" vertical="center" wrapText="1"/>
    </xf>
    <xf borderId="34" fillId="6" fontId="17" numFmtId="0" xfId="0" applyAlignment="1" applyBorder="1" applyFont="1">
      <alignment horizontal="center" shrinkToFit="0" vertical="center" wrapText="1"/>
    </xf>
    <xf borderId="35" fillId="0" fontId="11" numFmtId="0" xfId="0" applyAlignment="1" applyBorder="1" applyFont="1">
      <alignment horizontal="center" shrinkToFit="0" vertical="top" wrapText="1"/>
    </xf>
    <xf borderId="36" fillId="0" fontId="11" numFmtId="0" xfId="0" applyAlignment="1" applyBorder="1" applyFont="1">
      <alignment horizontal="left" shrinkToFit="0" vertical="top" wrapText="1"/>
    </xf>
    <xf borderId="0" fillId="0" fontId="11" numFmtId="0" xfId="0" applyAlignment="1" applyFont="1">
      <alignment horizontal="left"/>
    </xf>
    <xf borderId="37" fillId="0" fontId="11" numFmtId="173" xfId="0" applyAlignment="1" applyBorder="1" applyFont="1" applyNumberFormat="1">
      <alignment horizontal="center" shrinkToFit="0" vertical="top" wrapText="1"/>
    </xf>
    <xf borderId="36" fillId="0" fontId="11" numFmtId="173" xfId="0" applyAlignment="1" applyBorder="1" applyFont="1" applyNumberFormat="1">
      <alignment horizontal="center" vertical="top"/>
    </xf>
    <xf borderId="36" fillId="0" fontId="2" numFmtId="0" xfId="0" applyAlignment="1" applyBorder="1" applyFont="1">
      <alignment horizontal="center" vertical="top"/>
    </xf>
    <xf borderId="36" fillId="0" fontId="2" numFmtId="4" xfId="0" applyAlignment="1" applyBorder="1" applyFont="1" applyNumberFormat="1">
      <alignment horizontal="center" vertical="top"/>
    </xf>
    <xf borderId="0" fillId="0" fontId="11" numFmtId="2" xfId="0" applyAlignment="1" applyFont="1" applyNumberFormat="1">
      <alignment horizontal="right" vertical="top"/>
    </xf>
    <xf borderId="0" fillId="0" fontId="11" numFmtId="0" xfId="0" applyAlignment="1" applyFont="1">
      <alignment vertical="top"/>
    </xf>
    <xf borderId="36" fillId="0" fontId="11" numFmtId="9" xfId="0" applyAlignment="1" applyBorder="1" applyFont="1" applyNumberFormat="1">
      <alignment horizontal="left" shrinkToFit="0" vertical="top" wrapText="1"/>
    </xf>
    <xf borderId="38" fillId="0" fontId="18" numFmtId="0" xfId="0" applyAlignment="1" applyBorder="1" applyFont="1">
      <alignment horizontal="left" shrinkToFit="0" vertical="top" wrapText="1"/>
    </xf>
    <xf borderId="39" fillId="0" fontId="2" numFmtId="3" xfId="0" applyAlignment="1" applyBorder="1" applyFont="1" applyNumberFormat="1">
      <alignment horizontal="center" shrinkToFit="0" vertical="top" wrapText="1"/>
    </xf>
    <xf borderId="38" fillId="0" fontId="11" numFmtId="2" xfId="0" applyAlignment="1" applyBorder="1" applyFont="1" applyNumberFormat="1">
      <alignment horizontal="center" vertical="top"/>
    </xf>
    <xf borderId="38" fillId="0" fontId="11" numFmtId="0" xfId="0" applyAlignment="1" applyBorder="1" applyFont="1">
      <alignment horizontal="center" vertical="top"/>
    </xf>
    <xf borderId="40" fillId="0" fontId="11" numFmtId="173" xfId="0" applyAlignment="1" applyBorder="1" applyFont="1" applyNumberFormat="1">
      <alignment horizontal="center" shrinkToFit="0" vertical="top" wrapText="1"/>
    </xf>
    <xf borderId="38" fillId="0" fontId="11" numFmtId="173" xfId="0" applyAlignment="1" applyBorder="1" applyFont="1" applyNumberFormat="1">
      <alignment horizontal="center" vertical="top"/>
    </xf>
    <xf borderId="40" fillId="0" fontId="11" numFmtId="0" xfId="0" applyAlignment="1" applyBorder="1" applyFont="1">
      <alignment horizontal="center" shrinkToFit="0" vertical="top" wrapText="1"/>
    </xf>
    <xf borderId="36" fillId="0" fontId="11" numFmtId="0" xfId="0" applyAlignment="1" applyBorder="1" applyFont="1">
      <alignment horizontal="left" readingOrder="0" shrinkToFit="0" vertical="top" wrapText="1"/>
    </xf>
    <xf borderId="41" fillId="0" fontId="2" numFmtId="9" xfId="0" applyAlignment="1" applyBorder="1" applyFont="1" applyNumberFormat="1">
      <alignment horizontal="center" shrinkToFit="0" vertical="top" wrapText="1"/>
    </xf>
    <xf borderId="36" fillId="0" fontId="2" numFmtId="9" xfId="0" applyAlignment="1" applyBorder="1" applyFont="1" applyNumberFormat="1">
      <alignment horizontal="left" shrinkToFit="0" vertical="top" wrapText="1"/>
    </xf>
    <xf borderId="36" fillId="0" fontId="2" numFmtId="172" xfId="0" applyAlignment="1" applyBorder="1" applyFont="1" applyNumberFormat="1">
      <alignment horizontal="left" shrinkToFit="0" vertical="top" wrapText="1"/>
    </xf>
    <xf borderId="37" fillId="0" fontId="2" numFmtId="9" xfId="0" applyAlignment="1" applyBorder="1" applyFont="1" applyNumberFormat="1">
      <alignment horizontal="center" shrinkToFit="0" vertical="top" wrapText="1"/>
    </xf>
    <xf borderId="37" fillId="0" fontId="2" numFmtId="0" xfId="0" applyAlignment="1" applyBorder="1" applyFont="1">
      <alignment horizontal="center" shrinkToFit="0" vertical="top" wrapText="1"/>
    </xf>
    <xf borderId="36" fillId="0" fontId="2" numFmtId="2" xfId="0" applyAlignment="1" applyBorder="1" applyFont="1" applyNumberFormat="1">
      <alignment horizontal="center" vertical="top"/>
    </xf>
    <xf borderId="42" fillId="7" fontId="11" numFmtId="173" xfId="0" applyAlignment="1" applyBorder="1" applyFill="1" applyFont="1" applyNumberFormat="1">
      <alignment horizontal="center" vertical="top"/>
    </xf>
    <xf borderId="0" fillId="0" fontId="2" numFmtId="174" xfId="0" applyAlignment="1" applyFont="1" applyNumberFormat="1">
      <alignment horizontal="right" vertical="top"/>
    </xf>
    <xf borderId="0" fillId="0" fontId="11" numFmtId="175" xfId="0" applyAlignment="1" applyFont="1" applyNumberFormat="1">
      <alignment horizontal="right" vertical="top"/>
    </xf>
    <xf borderId="42" fillId="7" fontId="2" numFmtId="0" xfId="0" applyAlignment="1" applyBorder="1" applyFont="1">
      <alignment horizontal="center" vertical="top"/>
    </xf>
    <xf borderId="43" fillId="6" fontId="18" numFmtId="0" xfId="0" applyAlignment="1" applyBorder="1" applyFont="1">
      <alignment horizontal="center" shrinkToFit="0" vertical="top" wrapText="1"/>
    </xf>
    <xf borderId="42" fillId="6" fontId="18" numFmtId="0" xfId="0" applyAlignment="1" applyBorder="1" applyFont="1">
      <alignment horizontal="left" shrinkToFit="0" vertical="top" wrapText="1"/>
    </xf>
    <xf borderId="44" fillId="6" fontId="18" numFmtId="173" xfId="0" applyAlignment="1" applyBorder="1" applyFont="1" applyNumberFormat="1">
      <alignment horizontal="center" shrinkToFit="0" vertical="center" wrapText="1"/>
    </xf>
    <xf borderId="42" fillId="6" fontId="18" numFmtId="173" xfId="0" applyAlignment="1" applyBorder="1" applyFont="1" applyNumberFormat="1">
      <alignment horizontal="center" shrinkToFit="0" vertical="center" wrapText="1"/>
    </xf>
    <xf borderId="0" fillId="0" fontId="11" numFmtId="4" xfId="0" applyAlignment="1" applyFont="1" applyNumberFormat="1">
      <alignment vertical="top"/>
    </xf>
    <xf borderId="19" fillId="6" fontId="18" numFmtId="0" xfId="0" applyAlignment="1" applyBorder="1" applyFont="1">
      <alignment horizontal="left" shrinkToFit="0" vertical="top" wrapText="1"/>
    </xf>
    <xf borderId="8" fillId="0" fontId="11" numFmtId="0" xfId="0" applyBorder="1" applyFont="1"/>
    <xf borderId="19" fillId="0" fontId="11" numFmtId="0" xfId="0" applyBorder="1" applyFont="1"/>
    <xf borderId="19" fillId="0" fontId="18" numFmtId="4" xfId="0" applyBorder="1" applyFont="1" applyNumberFormat="1"/>
    <xf borderId="19" fillId="0" fontId="18" numFmtId="0" xfId="0" applyBorder="1" applyFont="1"/>
    <xf borderId="19" fillId="0" fontId="18" numFmtId="4" xfId="0" applyAlignment="1" applyBorder="1" applyFont="1" applyNumberFormat="1">
      <alignment horizontal="center"/>
    </xf>
    <xf borderId="19" fillId="0" fontId="11" numFmtId="4" xfId="0" applyAlignment="1" applyBorder="1" applyFont="1" applyNumberFormat="1">
      <alignment horizontal="center"/>
    </xf>
    <xf borderId="19" fillId="0" fontId="11" numFmtId="4" xfId="0" applyBorder="1" applyFont="1" applyNumberFormat="1"/>
    <xf borderId="19" fillId="8" fontId="18" numFmtId="4" xfId="0" applyBorder="1" applyFill="1" applyFont="1" applyNumberFormat="1"/>
    <xf borderId="23" fillId="0" fontId="11" numFmtId="0" xfId="0" applyAlignment="1" applyBorder="1" applyFont="1">
      <alignment horizontal="center"/>
    </xf>
    <xf borderId="0" fillId="0" fontId="11" numFmtId="172" xfId="0" applyFont="1" applyNumberFormat="1"/>
    <xf borderId="0" fillId="0" fontId="11" numFmtId="4" xfId="0" applyFont="1" applyNumberFormat="1"/>
    <xf borderId="29" fillId="9" fontId="1" numFmtId="0" xfId="0" applyBorder="1" applyFill="1" applyFont="1"/>
    <xf borderId="21" fillId="9" fontId="2" numFmtId="0" xfId="0" applyBorder="1" applyFont="1"/>
    <xf borderId="33" fillId="9" fontId="1" numFmtId="2" xfId="0" applyBorder="1" applyFont="1" applyNumberFormat="1"/>
    <xf borderId="0" fillId="0" fontId="19" numFmtId="0" xfId="0" applyFont="1"/>
    <xf borderId="22" fillId="0" fontId="20" numFmtId="0" xfId="0" applyBorder="1" applyFont="1"/>
    <xf borderId="22" fillId="0" fontId="20" numFmtId="0" xfId="0" applyAlignment="1" applyBorder="1" applyFont="1">
      <alignment horizontal="center"/>
    </xf>
    <xf borderId="45" fillId="3" fontId="8" numFmtId="0" xfId="0" applyAlignment="1" applyBorder="1" applyFont="1">
      <alignment horizontal="center" shrinkToFit="0" wrapText="1"/>
    </xf>
    <xf borderId="31" fillId="3" fontId="8" numFmtId="0" xfId="0" applyAlignment="1" applyBorder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wrapText="1"/>
    </xf>
    <xf borderId="14" fillId="9" fontId="2" numFmtId="0" xfId="0" applyBorder="1" applyFont="1"/>
    <xf borderId="14" fillId="9" fontId="1" numFmtId="0" xfId="0" applyAlignment="1" applyBorder="1" applyFont="1">
      <alignment horizontal="left" shrinkToFit="0" wrapText="1"/>
    </xf>
    <xf borderId="14" fillId="9" fontId="1" numFmtId="165" xfId="0" applyBorder="1" applyFont="1" applyNumberFormat="1"/>
    <xf borderId="46" fillId="10" fontId="6" numFmtId="0" xfId="0" applyAlignment="1" applyBorder="1" applyFill="1" applyFont="1">
      <alignment horizontal="center" vertical="center"/>
    </xf>
    <xf borderId="47" fillId="0" fontId="9" numFmtId="0" xfId="0" applyBorder="1" applyFont="1"/>
    <xf borderId="19" fillId="10" fontId="6" numFmtId="0" xfId="0" applyAlignment="1" applyBorder="1" applyFont="1">
      <alignment horizontal="center" vertical="center"/>
    </xf>
    <xf borderId="8" fillId="10" fontId="6" numFmtId="0" xfId="0" applyAlignment="1" applyBorder="1" applyFont="1">
      <alignment horizontal="center"/>
    </xf>
    <xf borderId="19" fillId="10" fontId="6" numFmtId="0" xfId="0" applyAlignment="1" applyBorder="1" applyFont="1">
      <alignment horizontal="center"/>
    </xf>
    <xf borderId="7" fillId="10" fontId="6" numFmtId="0" xfId="0" applyAlignment="1" applyBorder="1" applyFont="1">
      <alignment horizontal="center" vertical="center"/>
    </xf>
    <xf borderId="48" fillId="0" fontId="9" numFmtId="0" xfId="0" applyBorder="1" applyFont="1"/>
    <xf borderId="49" fillId="0" fontId="9" numFmtId="0" xfId="0" applyBorder="1" applyFont="1"/>
    <xf borderId="19" fillId="10" fontId="21" numFmtId="0" xfId="0" applyAlignment="1" applyBorder="1" applyFont="1">
      <alignment horizontal="center"/>
    </xf>
    <xf borderId="0" fillId="0" fontId="8" numFmtId="0" xfId="0" applyAlignment="1" applyFont="1">
      <alignment horizontal="center" shrinkToFit="0" wrapText="1"/>
    </xf>
    <xf borderId="8" fillId="0" fontId="7" numFmtId="0" xfId="0" applyAlignment="1" applyBorder="1" applyFont="1">
      <alignment horizontal="center"/>
    </xf>
    <xf borderId="19" fillId="0" fontId="7" numFmtId="0" xfId="0" applyAlignment="1" applyBorder="1" applyFont="1">
      <alignment horizontal="center"/>
    </xf>
    <xf borderId="0" fillId="0" fontId="2" numFmtId="165" xfId="0" applyAlignment="1" applyFont="1" applyNumberFormat="1">
      <alignment shrinkToFit="0" vertical="center" wrapText="1"/>
    </xf>
    <xf borderId="0" fillId="0" fontId="2" numFmtId="165" xfId="0" applyAlignment="1" applyFont="1" applyNumberFormat="1">
      <alignment horizontal="center"/>
    </xf>
    <xf borderId="8" fillId="0" fontId="1" numFmtId="0" xfId="0" applyAlignment="1" applyBorder="1" applyFont="1">
      <alignment horizontal="left"/>
    </xf>
    <xf borderId="19" fillId="0" fontId="2" numFmtId="3" xfId="0" applyAlignment="1" applyBorder="1" applyFont="1" applyNumberFormat="1">
      <alignment horizontal="center"/>
    </xf>
    <xf borderId="19" fillId="0" fontId="22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left" readingOrder="0"/>
    </xf>
    <xf borderId="19" fillId="0" fontId="23" numFmtId="0" xfId="0" applyAlignment="1" applyBorder="1" applyFont="1">
      <alignment horizontal="center"/>
    </xf>
    <xf borderId="19" fillId="0" fontId="23" numFmtId="2" xfId="0" applyAlignment="1" applyBorder="1" applyFont="1" applyNumberFormat="1">
      <alignment horizontal="center"/>
    </xf>
    <xf borderId="19" fillId="0" fontId="24" numFmtId="2" xfId="0" applyAlignment="1" applyBorder="1" applyFont="1" applyNumberFormat="1">
      <alignment horizontal="center"/>
    </xf>
    <xf borderId="19" fillId="0" fontId="25" numFmtId="0" xfId="0" applyAlignment="1" applyBorder="1" applyFont="1">
      <alignment horizontal="center"/>
    </xf>
    <xf borderId="19" fillId="0" fontId="26" numFmtId="0" xfId="0" applyAlignment="1" applyBorder="1" applyFont="1">
      <alignment horizontal="center"/>
    </xf>
    <xf borderId="19" fillId="0" fontId="26" numFmtId="2" xfId="0" applyAlignment="1" applyBorder="1" applyFont="1" applyNumberFormat="1">
      <alignment horizontal="center"/>
    </xf>
    <xf borderId="19" fillId="0" fontId="27" numFmtId="2" xfId="0" applyAlignment="1" applyBorder="1" applyFont="1" applyNumberFormat="1">
      <alignment horizontal="center"/>
    </xf>
    <xf borderId="19" fillId="0" fontId="25" numFmtId="2" xfId="0" applyAlignment="1" applyBorder="1" applyFont="1" applyNumberFormat="1">
      <alignment horizontal="center"/>
    </xf>
    <xf borderId="19" fillId="0" fontId="28" numFmtId="0" xfId="0" applyAlignment="1" applyBorder="1" applyFont="1">
      <alignment horizontal="center"/>
    </xf>
    <xf borderId="8" fillId="0" fontId="1" numFmtId="0" xfId="0" applyAlignment="1" applyBorder="1" applyFont="1">
      <alignment horizontal="left" vertical="center"/>
    </xf>
    <xf borderId="19" fillId="0" fontId="1" numFmtId="0" xfId="0" applyAlignment="1" applyBorder="1" applyFont="1">
      <alignment horizontal="center"/>
    </xf>
    <xf borderId="19" fillId="0" fontId="1" numFmtId="2" xfId="0" applyAlignment="1" applyBorder="1" applyFont="1" applyNumberFormat="1">
      <alignment horizontal="center"/>
    </xf>
    <xf borderId="8" fillId="0" fontId="2" numFmtId="0" xfId="0" applyAlignment="1" applyBorder="1" applyFont="1">
      <alignment horizontal="left"/>
    </xf>
    <xf borderId="19" fillId="0" fontId="2" numFmtId="0" xfId="0" applyAlignment="1" applyBorder="1" applyFont="1">
      <alignment horizontal="center" vertical="center"/>
    </xf>
    <xf borderId="19" fillId="0" fontId="1" numFmtId="1" xfId="0" applyAlignment="1" applyBorder="1" applyFont="1" applyNumberFormat="1">
      <alignment horizontal="center" vertical="center"/>
    </xf>
    <xf borderId="19" fillId="0" fontId="1" numFmtId="0" xfId="0" applyAlignment="1" applyBorder="1" applyFont="1">
      <alignment horizontal="center" vertical="center"/>
    </xf>
    <xf borderId="19" fillId="0" fontId="29" numFmtId="0" xfId="0" applyAlignment="1" applyBorder="1" applyFont="1">
      <alignment horizontal="center"/>
    </xf>
    <xf borderId="19" fillId="0" fontId="2" numFmtId="176" xfId="0" applyAlignment="1" applyBorder="1" applyFont="1" applyNumberFormat="1">
      <alignment horizontal="center"/>
    </xf>
    <xf borderId="19" fillId="0" fontId="29" numFmtId="2" xfId="0" applyAlignment="1" applyBorder="1" applyFont="1" applyNumberFormat="1">
      <alignment horizontal="center"/>
    </xf>
    <xf borderId="19" fillId="0" fontId="1" numFmtId="2" xfId="0" applyAlignment="1" applyBorder="1" applyFont="1" applyNumberFormat="1">
      <alignment horizontal="center" vertical="center"/>
    </xf>
    <xf borderId="19" fillId="0" fontId="30" numFmtId="0" xfId="0" applyAlignment="1" applyBorder="1" applyFont="1">
      <alignment horizontal="center"/>
    </xf>
    <xf borderId="19" fillId="0" fontId="30" numFmtId="177" xfId="0" applyAlignment="1" applyBorder="1" applyFont="1" applyNumberFormat="1">
      <alignment horizontal="center"/>
    </xf>
    <xf borderId="19" fillId="0" fontId="31" numFmtId="177" xfId="0" applyAlignment="1" applyBorder="1" applyFont="1" applyNumberFormat="1">
      <alignment horizontal="center"/>
    </xf>
    <xf borderId="19" fillId="0" fontId="24" numFmtId="177" xfId="0" applyAlignment="1" applyBorder="1" applyFont="1" applyNumberFormat="1">
      <alignment horizontal="center"/>
    </xf>
    <xf borderId="19" fillId="0" fontId="24" numFmtId="178" xfId="0" applyAlignment="1" applyBorder="1" applyFont="1" applyNumberFormat="1">
      <alignment horizontal="center"/>
    </xf>
    <xf borderId="19" fillId="0" fontId="32" numFmtId="177" xfId="0" applyAlignment="1" applyBorder="1" applyFont="1" applyNumberFormat="1">
      <alignment horizontal="center"/>
    </xf>
    <xf borderId="19" fillId="0" fontId="2" numFmtId="177" xfId="0" applyAlignment="1" applyBorder="1" applyFont="1" applyNumberFormat="1">
      <alignment horizontal="center"/>
    </xf>
    <xf borderId="19" fillId="0" fontId="32" numFmtId="179" xfId="0" applyAlignment="1" applyBorder="1" applyFont="1" applyNumberFormat="1">
      <alignment horizontal="center"/>
    </xf>
    <xf borderId="0" fillId="0" fontId="33" numFmtId="0" xfId="0" applyFont="1"/>
    <xf borderId="0" fillId="0" fontId="25" numFmtId="0" xfId="0" applyFont="1"/>
    <xf borderId="0" fillId="0" fontId="25" numFmtId="9" xfId="0" applyAlignment="1" applyFont="1" applyNumberFormat="1">
      <alignment horizontal="center"/>
    </xf>
    <xf borderId="0" fillId="0" fontId="25" numFmtId="0" xfId="0" applyAlignment="1" applyFont="1">
      <alignment horizontal="center"/>
    </xf>
    <xf quotePrefix="1"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shrinkToFit="0" wrapText="1"/>
    </xf>
    <xf borderId="14" fillId="11" fontId="2" numFmtId="0" xfId="0" applyBorder="1" applyFill="1" applyFont="1"/>
    <xf borderId="14" fillId="11" fontId="1" numFmtId="0" xfId="0" applyAlignment="1" applyBorder="1" applyFont="1">
      <alignment horizontal="left" shrinkToFit="0" wrapText="1"/>
    </xf>
    <xf borderId="14" fillId="11" fontId="1" numFmtId="165" xfId="0" applyBorder="1" applyFont="1" applyNumberFormat="1"/>
    <xf borderId="50" fillId="3" fontId="8" numFmtId="0" xfId="0" applyAlignment="1" applyBorder="1" applyFont="1">
      <alignment horizontal="center"/>
    </xf>
    <xf borderId="0" fillId="0" fontId="1" numFmtId="0" xfId="0" applyAlignment="1" applyFont="1">
      <alignment horizontal="left" shrinkToFit="0" wrapText="1"/>
    </xf>
    <xf borderId="14" fillId="9" fontId="1" numFmtId="0" xfId="0" applyBorder="1" applyFont="1"/>
    <xf borderId="0" fillId="0" fontId="24" numFmtId="172" xfId="0" applyFont="1" applyNumberFormat="1"/>
    <xf borderId="51" fillId="0" fontId="9" numFmtId="0" xfId="0" applyBorder="1" applyFont="1"/>
    <xf borderId="50" fillId="3" fontId="8" numFmtId="0" xfId="0" applyAlignment="1" applyBorder="1" applyFont="1">
      <alignment horizontal="center" shrinkToFit="0" wrapText="1"/>
    </xf>
    <xf quotePrefix="1" borderId="0" fillId="0" fontId="2" numFmtId="0" xfId="0" applyFont="1"/>
    <xf borderId="21" fillId="4" fontId="25" numFmtId="0" xfId="0" applyBorder="1" applyFont="1"/>
    <xf borderId="21" fillId="4" fontId="1" numFmtId="0" xfId="0" applyBorder="1" applyFont="1"/>
    <xf borderId="21" fillId="4" fontId="1" numFmtId="165" xfId="0" applyAlignment="1" applyBorder="1" applyFont="1" applyNumberFormat="1">
      <alignment horizontal="center"/>
    </xf>
    <xf borderId="0" fillId="0" fontId="1" numFmtId="165" xfId="0" applyFont="1" applyNumberFormat="1"/>
    <xf borderId="34" fillId="8" fontId="2" numFmtId="165" xfId="0" applyBorder="1" applyFont="1" applyNumberFormat="1"/>
    <xf borderId="0" fillId="0" fontId="7" numFmtId="9" xfId="0" applyFont="1" applyNumberFormat="1"/>
    <xf borderId="14" fillId="4" fontId="1" numFmtId="165" xfId="0" applyBorder="1" applyFont="1" applyNumberFormat="1"/>
    <xf borderId="0" fillId="0" fontId="24" numFmtId="0" xfId="0" applyFont="1"/>
    <xf borderId="0" fillId="0" fontId="24" numFmtId="0" xfId="0" applyAlignment="1" applyFont="1">
      <alignment shrinkToFit="0" wrapText="1"/>
    </xf>
    <xf borderId="52" fillId="3" fontId="8" numFmtId="0" xfId="0" applyAlignment="1" applyBorder="1" applyFont="1">
      <alignment horizontal="center" shrinkToFit="0" wrapText="1"/>
    </xf>
    <xf quotePrefix="1" borderId="23" fillId="0" fontId="2" numFmtId="0" xfId="0" applyAlignment="1" applyBorder="1" applyFont="1">
      <alignment horizontal="left" shrinkToFit="0" wrapText="1"/>
    </xf>
    <xf borderId="16" fillId="0" fontId="2" numFmtId="165" xfId="0" applyAlignment="1" applyBorder="1" applyFont="1" applyNumberFormat="1">
      <alignment horizontal="left" shrinkToFit="0" wrapText="1"/>
    </xf>
    <xf borderId="53" fillId="11" fontId="1" numFmtId="165" xfId="0" applyBorder="1" applyFont="1" applyNumberFormat="1"/>
    <xf borderId="34" fillId="8" fontId="2" numFmtId="164" xfId="0" applyBorder="1" applyFont="1" applyNumberFormat="1"/>
    <xf borderId="0" fillId="0" fontId="2" numFmtId="164" xfId="0" applyFont="1" applyNumberFormat="1"/>
    <xf quotePrefix="1" borderId="22" fillId="0" fontId="2" numFmtId="0" xfId="0" applyAlignment="1" applyBorder="1" applyFont="1">
      <alignment horizontal="left" shrinkToFit="0" wrapText="1"/>
    </xf>
    <xf borderId="22" fillId="0" fontId="2" numFmtId="0" xfId="0" applyAlignment="1" applyBorder="1" applyFont="1">
      <alignment horizontal="left" shrinkToFit="0" wrapText="1"/>
    </xf>
    <xf borderId="0" fillId="0" fontId="2" numFmtId="165" xfId="0" applyAlignment="1" applyFont="1" applyNumberFormat="1">
      <alignment horizontal="left" shrinkToFit="0" wrapText="1"/>
    </xf>
    <xf borderId="53" fillId="4" fontId="2" numFmtId="0" xfId="0" applyBorder="1" applyFont="1"/>
    <xf borderId="53" fillId="4" fontId="1" numFmtId="0" xfId="0" applyAlignment="1" applyBorder="1" applyFont="1">
      <alignment horizontal="left" shrinkToFit="0" wrapText="1"/>
    </xf>
    <xf borderId="0" fillId="0" fontId="1" numFmtId="10" xfId="0" applyFont="1" applyNumberFormat="1"/>
    <xf borderId="23" fillId="0" fontId="1" numFmtId="0" xfId="0" applyAlignment="1" applyBorder="1" applyFont="1">
      <alignment horizontal="center" vertical="center"/>
    </xf>
    <xf borderId="23" fillId="0" fontId="1" numFmtId="0" xfId="0" applyBorder="1" applyFont="1"/>
    <xf borderId="23" fillId="0" fontId="1" numFmtId="165" xfId="0" applyAlignment="1" applyBorder="1" applyFont="1" applyNumberFormat="1">
      <alignment horizontal="center" shrinkToFit="0" wrapText="1"/>
    </xf>
    <xf borderId="23" fillId="0" fontId="2" numFmtId="165" xfId="0" applyAlignment="1" applyBorder="1" applyFont="1" applyNumberFormat="1">
      <alignment horizontal="center" shrinkToFit="0" wrapText="1"/>
    </xf>
    <xf borderId="23" fillId="0" fontId="1" numFmtId="165" xfId="0" applyBorder="1" applyFont="1" applyNumberFormat="1"/>
    <xf borderId="0" fillId="0" fontId="1" numFmtId="0" xfId="0" applyAlignment="1" applyFont="1">
      <alignment horizontal="center" vertical="center"/>
    </xf>
    <xf borderId="22" fillId="0" fontId="1" numFmtId="0" xfId="0" applyAlignment="1" applyBorder="1" applyFont="1">
      <alignment horizontal="center" vertical="center"/>
    </xf>
    <xf borderId="22" fillId="0" fontId="2" numFmtId="165" xfId="0" applyAlignment="1" applyBorder="1" applyFont="1" applyNumberFormat="1">
      <alignment horizontal="center" shrinkToFit="0" wrapText="1"/>
    </xf>
    <xf borderId="16" fillId="0" fontId="1" numFmtId="0" xfId="0" applyAlignment="1" applyBorder="1" applyFont="1">
      <alignment horizontal="center" vertical="center"/>
    </xf>
    <xf borderId="16" fillId="0" fontId="1" numFmtId="0" xfId="0" applyBorder="1" applyFont="1"/>
    <xf borderId="16" fillId="0" fontId="1" numFmtId="165" xfId="0" applyAlignment="1" applyBorder="1" applyFont="1" applyNumberFormat="1">
      <alignment horizontal="center" shrinkToFit="0" wrapText="1"/>
    </xf>
    <xf borderId="16" fillId="0" fontId="2" numFmtId="165" xfId="0" applyAlignment="1" applyBorder="1" applyFont="1" applyNumberFormat="1">
      <alignment horizontal="center" shrinkToFit="0" wrapText="1"/>
    </xf>
    <xf borderId="16" fillId="0" fontId="1" numFmtId="165" xfId="0" applyBorder="1" applyFont="1" applyNumberFormat="1"/>
    <xf borderId="0" fillId="0" fontId="1" numFmtId="165" xfId="0" applyAlignment="1" applyFont="1" applyNumberFormat="1">
      <alignment horizontal="center" shrinkToFit="0" wrapText="1"/>
    </xf>
    <xf borderId="14" fillId="4" fontId="2" numFmtId="0" xfId="0" applyBorder="1" applyFont="1"/>
    <xf borderId="14" fillId="4" fontId="1" numFmtId="0" xfId="0" applyAlignment="1" applyBorder="1" applyFont="1">
      <alignment horizontal="left" shrinkToFit="0" wrapText="1"/>
    </xf>
    <xf borderId="0" fillId="0" fontId="34" numFmtId="173" xfId="0" applyFont="1" applyNumberFormat="1"/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/>
    </xf>
    <xf borderId="0" fillId="0" fontId="1" numFmtId="173" xfId="0" applyFont="1" applyNumberFormat="1"/>
    <xf borderId="8" fillId="3" fontId="8" numFmtId="0" xfId="0" applyAlignment="1" applyBorder="1" applyFont="1">
      <alignment horizontal="center"/>
    </xf>
    <xf borderId="7" fillId="3" fontId="8" numFmtId="0" xfId="0" applyAlignment="1" applyBorder="1" applyFont="1">
      <alignment horizontal="center" readingOrder="0" shrinkToFit="0" wrapText="1"/>
    </xf>
    <xf borderId="54" fillId="3" fontId="8" numFmtId="0" xfId="0" applyAlignment="1" applyBorder="1" applyFont="1">
      <alignment horizontal="center" shrinkToFit="0" wrapText="1"/>
    </xf>
    <xf borderId="13" fillId="3" fontId="8" numFmtId="173" xfId="0" applyAlignment="1" applyBorder="1" applyFont="1" applyNumberFormat="1">
      <alignment horizontal="center" shrinkToFit="0" wrapText="1"/>
    </xf>
    <xf borderId="13" fillId="3" fontId="8" numFmtId="0" xfId="0" applyAlignment="1" applyBorder="1" applyFont="1">
      <alignment horizontal="center"/>
    </xf>
    <xf borderId="55" fillId="0" fontId="9" numFmtId="0" xfId="0" applyBorder="1" applyFont="1"/>
    <xf quotePrefix="1" borderId="0" fillId="0" fontId="2" numFmtId="0" xfId="0" applyAlignment="1" applyFont="1">
      <alignment horizontal="center" shrinkToFit="0" vertical="center" wrapText="1"/>
    </xf>
    <xf borderId="0" fillId="0" fontId="2" numFmtId="165" xfId="0" applyAlignment="1" applyFont="1" applyNumberFormat="1">
      <alignment vertical="center"/>
    </xf>
    <xf borderId="21" fillId="4" fontId="1" numFmtId="0" xfId="0" applyAlignment="1" applyBorder="1" applyFont="1">
      <alignment horizontal="center" shrinkToFit="0" vertical="center" wrapText="1"/>
    </xf>
    <xf borderId="21" fillId="4" fontId="1" numFmtId="0" xfId="0" applyAlignment="1" applyBorder="1" applyFont="1">
      <alignment shrinkToFit="0" wrapText="1"/>
    </xf>
    <xf borderId="21" fillId="4" fontId="1" numFmtId="165" xfId="0" applyBorder="1" applyFont="1" applyNumberFormat="1"/>
    <xf borderId="0" fillId="0" fontId="35" numFmtId="9" xfId="0" applyFont="1" applyNumberFormat="1"/>
    <xf borderId="0" fillId="0" fontId="24" numFmtId="165" xfId="0" applyFont="1" applyNumberFormat="1"/>
    <xf borderId="0" fillId="0" fontId="25" numFmtId="10" xfId="0" applyFont="1" applyNumberFormat="1"/>
    <xf borderId="50" fillId="10" fontId="8" numFmtId="0" xfId="0" applyAlignment="1" applyBorder="1" applyFont="1">
      <alignment horizontal="center" shrinkToFit="0" wrapText="1"/>
    </xf>
    <xf borderId="23" fillId="0" fontId="1" numFmtId="0" xfId="0" applyAlignment="1" applyBorder="1" applyFont="1">
      <alignment horizontal="center" textRotation="90" vertical="center"/>
    </xf>
    <xf borderId="23" fillId="0" fontId="2" numFmtId="165" xfId="0" applyBorder="1" applyFont="1" applyNumberFormat="1"/>
    <xf borderId="23" fillId="0" fontId="1" numFmtId="0" xfId="0" applyAlignment="1" applyBorder="1" applyFont="1">
      <alignment horizontal="center" readingOrder="0" textRotation="90" vertical="center"/>
    </xf>
    <xf borderId="56" fillId="0" fontId="2" numFmtId="165" xfId="0" applyBorder="1" applyFont="1" applyNumberFormat="1"/>
    <xf borderId="56" fillId="0" fontId="1" numFmtId="165" xfId="0" applyBorder="1" applyFont="1" applyNumberFormat="1"/>
    <xf borderId="0" fillId="0" fontId="25" numFmtId="10" xfId="0" applyAlignment="1" applyFont="1" applyNumberFormat="1">
      <alignment readingOrder="0"/>
    </xf>
    <xf borderId="0" fillId="0" fontId="25" numFmtId="9" xfId="0" applyFont="1" applyNumberFormat="1"/>
    <xf borderId="57" fillId="3" fontId="8" numFmtId="0" xfId="0" applyAlignment="1" applyBorder="1" applyFont="1">
      <alignment horizontal="center"/>
    </xf>
    <xf borderId="22" fillId="0" fontId="1" numFmtId="0" xfId="0" applyBorder="1" applyFont="1"/>
    <xf borderId="22" fillId="0" fontId="1" numFmtId="165" xfId="0" applyBorder="1" applyFont="1" applyNumberFormat="1"/>
    <xf borderId="58" fillId="11" fontId="1" numFmtId="0" xfId="0" applyBorder="1" applyFont="1"/>
    <xf borderId="58" fillId="11" fontId="1" numFmtId="165" xfId="0" applyBorder="1" applyFont="1" applyNumberFormat="1"/>
    <xf borderId="23" fillId="0" fontId="25" numFmtId="0" xfId="0" applyAlignment="1" applyBorder="1" applyFont="1">
      <alignment horizontal="left"/>
    </xf>
    <xf borderId="16" fillId="0" fontId="25" numFmtId="9" xfId="0" applyAlignment="1" applyBorder="1" applyFont="1" applyNumberFormat="1">
      <alignment horizontal="center"/>
    </xf>
    <xf borderId="0" fillId="0" fontId="27" numFmtId="0" xfId="0" applyFont="1"/>
    <xf borderId="16" fillId="0" fontId="25" numFmtId="0" xfId="0" applyAlignment="1" applyBorder="1" applyFont="1">
      <alignment horizontal="left"/>
    </xf>
    <xf borderId="21" fillId="11" fontId="1" numFmtId="165" xfId="0" applyBorder="1" applyFont="1" applyNumberFormat="1"/>
    <xf borderId="50" fillId="3" fontId="8" numFmtId="0" xfId="0" applyBorder="1" applyFont="1"/>
    <xf borderId="19" fillId="3" fontId="8" numFmtId="0" xfId="0" applyAlignment="1" applyBorder="1" applyFont="1">
      <alignment horizontal="center" readingOrder="0" shrinkToFit="0" wrapText="1"/>
    </xf>
    <xf borderId="0" fillId="0" fontId="2" numFmtId="38" xfId="0" applyFont="1" applyNumberFormat="1"/>
    <xf borderId="21" fillId="11" fontId="1" numFmtId="38" xfId="0" applyBorder="1" applyFont="1" applyNumberFormat="1"/>
    <xf borderId="14" fillId="11" fontId="1" numFmtId="38" xfId="0" applyBorder="1" applyFont="1" applyNumberFormat="1"/>
    <xf borderId="16" fillId="0" fontId="2" numFmtId="165" xfId="0" applyBorder="1" applyFont="1" applyNumberFormat="1"/>
    <xf borderId="16" fillId="0" fontId="2" numFmtId="38" xfId="0" applyBorder="1" applyFont="1" applyNumberFormat="1"/>
    <xf borderId="21" fillId="11" fontId="2" numFmtId="165" xfId="0" applyBorder="1" applyFont="1" applyNumberFormat="1"/>
    <xf borderId="23" fillId="0" fontId="1" numFmtId="38" xfId="0" applyBorder="1" applyFont="1" applyNumberFormat="1"/>
    <xf borderId="0" fillId="0" fontId="1" numFmtId="38" xfId="0" applyFont="1" applyNumberFormat="1"/>
    <xf borderId="22" fillId="0" fontId="1" numFmtId="38" xfId="0" applyBorder="1" applyFont="1" applyNumberFormat="1"/>
    <xf borderId="16" fillId="0" fontId="1" numFmtId="38" xfId="0" applyBorder="1" applyFont="1" applyNumberFormat="1"/>
    <xf borderId="21" fillId="11" fontId="1" numFmtId="165" xfId="0" applyAlignment="1" applyBorder="1" applyFont="1" applyNumberFormat="1">
      <alignment horizontal="center"/>
    </xf>
    <xf borderId="21" fillId="11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left"/>
    </xf>
    <xf borderId="0" fillId="0" fontId="25" numFmtId="167" xfId="0" applyFont="1" applyNumberFormat="1"/>
    <xf borderId="54" fillId="3" fontId="8" numFmtId="0" xfId="0" applyAlignment="1" applyBorder="1" applyFont="1">
      <alignment horizontal="center"/>
    </xf>
    <xf borderId="19" fillId="3" fontId="8" numFmtId="0" xfId="0" applyAlignment="1" applyBorder="1" applyFont="1">
      <alignment horizontal="center" readingOrder="0"/>
    </xf>
    <xf borderId="19" fillId="3" fontId="8" numFmtId="0" xfId="0" applyAlignment="1" applyBorder="1" applyFont="1">
      <alignment horizontal="center"/>
    </xf>
    <xf borderId="59" fillId="0" fontId="9" numFmtId="0" xfId="0" applyBorder="1" applyFont="1"/>
    <xf borderId="50" fillId="3" fontId="8" numFmtId="170" xfId="0" applyAlignment="1" applyBorder="1" applyFont="1" applyNumberFormat="1">
      <alignment horizontal="center"/>
    </xf>
    <xf borderId="34" fillId="4" fontId="1" numFmtId="0" xfId="0" applyBorder="1" applyFont="1"/>
    <xf borderId="34" fillId="4" fontId="1" numFmtId="165" xfId="0" applyBorder="1" applyFont="1" applyNumberFormat="1"/>
    <xf borderId="0" fillId="0" fontId="1" numFmtId="0" xfId="0" applyAlignment="1" applyFont="1">
      <alignment horizontal="right"/>
    </xf>
    <xf borderId="0" fillId="0" fontId="7" numFmtId="0" xfId="0" applyAlignment="1" applyFont="1">
      <alignment horizontal="right"/>
    </xf>
    <xf quotePrefix="1" borderId="0" fillId="0" fontId="7" numFmtId="0" xfId="0" applyAlignment="1" applyFont="1">
      <alignment horizontal="right"/>
    </xf>
    <xf borderId="19" fillId="0" fontId="2" numFmtId="0" xfId="0" applyBorder="1" applyFont="1"/>
    <xf borderId="19" fillId="0" fontId="2" numFmtId="3" xfId="0" applyBorder="1" applyFont="1" applyNumberFormat="1"/>
    <xf borderId="19" fillId="0" fontId="2" numFmtId="10" xfId="0" applyBorder="1" applyFont="1" applyNumberFormat="1"/>
    <xf borderId="19" fillId="0" fontId="2" numFmtId="165" xfId="0" applyBorder="1" applyFont="1" applyNumberFormat="1"/>
    <xf borderId="19" fillId="0" fontId="1" numFmtId="0" xfId="0" applyBorder="1" applyFont="1"/>
    <xf borderId="19" fillId="0" fontId="1" numFmtId="0" xfId="0" applyAlignment="1" applyBorder="1" applyFont="1">
      <alignment shrinkToFit="0" wrapText="1"/>
    </xf>
    <xf borderId="19" fillId="0" fontId="2" numFmtId="0" xfId="0" applyAlignment="1" applyBorder="1" applyFont="1">
      <alignment shrinkToFit="0" wrapText="1"/>
    </xf>
    <xf borderId="19" fillId="0" fontId="2" numFmtId="4" xfId="0" applyBorder="1" applyFont="1" applyNumberFormat="1"/>
    <xf borderId="19" fillId="0" fontId="2" numFmtId="167" xfId="0" applyBorder="1" applyFont="1" applyNumberFormat="1"/>
    <xf borderId="7" fillId="0" fontId="1" numFmtId="0" xfId="0" applyAlignment="1" applyBorder="1" applyFont="1">
      <alignment horizontal="right" shrinkToFit="0" wrapText="1"/>
    </xf>
    <xf borderId="7" fillId="0" fontId="2" numFmtId="4" xfId="0" applyBorder="1" applyFont="1" applyNumberFormat="1"/>
    <xf borderId="7" fillId="0" fontId="1" numFmtId="0" xfId="0" applyAlignment="1" applyBorder="1" applyFont="1">
      <alignment shrinkToFit="0" wrapText="1"/>
    </xf>
    <xf borderId="7" fillId="0" fontId="1" numFmtId="4" xfId="0" applyBorder="1" applyFont="1" applyNumberFormat="1"/>
    <xf borderId="50" fillId="0" fontId="1" numFmtId="0" xfId="0" applyAlignment="1" applyBorder="1" applyFont="1">
      <alignment shrinkToFit="0" wrapText="1"/>
    </xf>
    <xf borderId="50" fillId="0" fontId="1" numFmtId="10" xfId="0" applyBorder="1" applyFont="1" applyNumberFormat="1"/>
    <xf borderId="19" fillId="0" fontId="1" numFmtId="0" xfId="0" applyAlignment="1" applyBorder="1" applyFont="1">
      <alignment horizontal="left"/>
    </xf>
    <xf borderId="19" fillId="0" fontId="1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horizontal="right" readingOrder="0"/>
    </xf>
    <xf borderId="19" fillId="0" fontId="1" numFmtId="0" xfId="0" applyAlignment="1" applyBorder="1" applyFont="1">
      <alignment horizontal="right"/>
    </xf>
    <xf borderId="19" fillId="0" fontId="2" numFmtId="9" xfId="0" applyAlignment="1" applyBorder="1" applyFont="1" applyNumberFormat="1">
      <alignment readingOrder="0"/>
    </xf>
    <xf borderId="19" fillId="0" fontId="2" numFmtId="9" xfId="0" applyBorder="1" applyFont="1" applyNumberFormat="1"/>
    <xf borderId="7" fillId="0" fontId="1" numFmtId="0" xfId="0" applyAlignment="1" applyBorder="1" applyFont="1">
      <alignment horizontal="right"/>
    </xf>
    <xf borderId="7" fillId="0" fontId="2" numFmtId="165" xfId="0" applyAlignment="1" applyBorder="1" applyFont="1" applyNumberFormat="1">
      <alignment horizontal="center"/>
    </xf>
    <xf borderId="7" fillId="0" fontId="1" numFmtId="0" xfId="0" applyAlignment="1" applyBorder="1" applyFont="1">
      <alignment horizontal="right" readingOrder="0"/>
    </xf>
    <xf borderId="50" fillId="0" fontId="1" numFmtId="0" xfId="0" applyBorder="1" applyFont="1"/>
    <xf borderId="50" fillId="0" fontId="2" numFmtId="0" xfId="0" applyBorder="1" applyFont="1"/>
    <xf borderId="50" fillId="0" fontId="1" numFmtId="9" xfId="0" applyBorder="1" applyFont="1" applyNumberFormat="1"/>
    <xf borderId="50" fillId="0" fontId="1" numFmtId="167" xfId="0" applyBorder="1" applyFont="1" applyNumberFormat="1"/>
    <xf borderId="0" fillId="0" fontId="1" numFmtId="0" xfId="0" applyAlignment="1" applyFont="1">
      <alignment readingOrder="0"/>
    </xf>
    <xf borderId="19" fillId="0" fontId="36" numFmtId="0" xfId="0" applyAlignment="1" applyBorder="1" applyFont="1">
      <alignment vertical="bottom"/>
    </xf>
    <xf borderId="19" fillId="0" fontId="37" numFmtId="3" xfId="0" applyAlignment="1" applyBorder="1" applyFont="1" applyNumberFormat="1">
      <alignment horizontal="right" vertical="bottom"/>
    </xf>
    <xf borderId="19" fillId="0" fontId="38" numFmtId="165" xfId="0" applyAlignment="1" applyBorder="1" applyFont="1" applyNumberFormat="1">
      <alignment horizontal="right" vertical="bottom"/>
    </xf>
    <xf borderId="19" fillId="0" fontId="37" numFmtId="167" xfId="0" applyAlignment="1" applyBorder="1" applyFont="1" applyNumberFormat="1">
      <alignment horizontal="right" vertical="bottom"/>
    </xf>
    <xf quotePrefix="1" borderId="0" fillId="0" fontId="39" numFmtId="0" xfId="0" applyAlignment="1" applyFont="1">
      <alignment readingOrder="0"/>
    </xf>
    <xf borderId="0" fillId="0" fontId="39" numFmtId="9" xfId="0" applyAlignment="1" applyFont="1" applyNumberFormat="1">
      <alignment readingOrder="0"/>
    </xf>
    <xf borderId="60" fillId="10" fontId="8" numFmtId="0" xfId="0" applyAlignment="1" applyBorder="1" applyFont="1">
      <alignment horizontal="left"/>
    </xf>
    <xf borderId="61" fillId="0" fontId="9" numFmtId="0" xfId="0" applyBorder="1" applyFont="1"/>
    <xf borderId="62" fillId="0" fontId="9" numFmtId="0" xfId="0" applyBorder="1" applyFont="1"/>
    <xf borderId="0" fillId="0" fontId="2" numFmtId="9" xfId="0" applyAlignment="1" applyFont="1" applyNumberFormat="1">
      <alignment horizontal="center"/>
    </xf>
    <xf borderId="63" fillId="0" fontId="1" numFmtId="0" xfId="0" applyAlignment="1" applyBorder="1" applyFont="1">
      <alignment horizontal="right" shrinkToFit="0" wrapText="1"/>
    </xf>
    <xf borderId="64" fillId="0" fontId="1" numFmtId="0" xfId="0" applyAlignment="1" applyBorder="1" applyFont="1">
      <alignment horizontal="center"/>
    </xf>
    <xf borderId="65" fillId="0" fontId="1" numFmtId="0" xfId="0" applyAlignment="1" applyBorder="1" applyFont="1">
      <alignment horizontal="center"/>
    </xf>
    <xf borderId="66" fillId="0" fontId="9" numFmtId="0" xfId="0" applyBorder="1" applyFont="1"/>
    <xf borderId="67" fillId="0" fontId="9" numFmtId="0" xfId="0" applyBorder="1" applyFont="1"/>
    <xf borderId="68" fillId="0" fontId="9" numFmtId="0" xfId="0" applyBorder="1" applyFont="1"/>
    <xf borderId="7" fillId="0" fontId="1" numFmtId="9" xfId="0" applyAlignment="1" applyBorder="1" applyFont="1" applyNumberFormat="1">
      <alignment horizontal="center"/>
    </xf>
    <xf quotePrefix="1" borderId="7" fillId="0" fontId="1" numFmtId="0" xfId="0" applyAlignment="1" applyBorder="1" applyFont="1">
      <alignment horizontal="center"/>
    </xf>
    <xf borderId="69" fillId="0" fontId="1" numFmtId="9" xfId="0" applyAlignment="1" applyBorder="1" applyFont="1" applyNumberFormat="1">
      <alignment horizontal="center"/>
    </xf>
    <xf borderId="70" fillId="0" fontId="1" numFmtId="0" xfId="0" applyAlignment="1" applyBorder="1" applyFont="1">
      <alignment horizontal="left"/>
    </xf>
    <xf borderId="64" fillId="0" fontId="2" numFmtId="9" xfId="0" applyBorder="1" applyFont="1" applyNumberFormat="1"/>
    <xf borderId="64" fillId="0" fontId="1" numFmtId="9" xfId="0" applyBorder="1" applyFont="1" applyNumberFormat="1"/>
    <xf borderId="64" fillId="0" fontId="2" numFmtId="164" xfId="0" applyBorder="1" applyFont="1" applyNumberFormat="1"/>
    <xf borderId="71" fillId="0" fontId="2" numFmtId="0" xfId="0" applyBorder="1" applyFont="1"/>
    <xf borderId="72" fillId="0" fontId="2" numFmtId="0" xfId="0" applyBorder="1" applyFont="1"/>
    <xf borderId="19" fillId="0" fontId="2" numFmtId="166" xfId="0" applyBorder="1" applyFont="1" applyNumberFormat="1"/>
    <xf borderId="73" fillId="0" fontId="2" numFmtId="0" xfId="0" applyBorder="1" applyFont="1"/>
    <xf borderId="50" fillId="0" fontId="2" numFmtId="167" xfId="0" applyBorder="1" applyFont="1" applyNumberFormat="1"/>
    <xf borderId="50" fillId="0" fontId="2" numFmtId="9" xfId="0" applyBorder="1" applyFont="1" applyNumberFormat="1"/>
    <xf borderId="70" fillId="0" fontId="1" numFmtId="0" xfId="0" applyAlignment="1" applyBorder="1" applyFont="1">
      <alignment horizontal="center"/>
    </xf>
    <xf borderId="3" fillId="10" fontId="8" numFmtId="0" xfId="0" applyBorder="1" applyFont="1"/>
    <xf borderId="34" fillId="10" fontId="8" numFmtId="0" xfId="0" applyBorder="1" applyFont="1"/>
    <xf borderId="19" fillId="10" fontId="8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externalLink" Target="externalLinks/externalLink21.xml"/><Relationship Id="rId20" Type="http://schemas.openxmlformats.org/officeDocument/2006/relationships/externalLink" Target="externalLinks/externalLink1.xml"/><Relationship Id="rId42" Type="http://schemas.openxmlformats.org/officeDocument/2006/relationships/externalLink" Target="externalLinks/externalLink23.xml"/><Relationship Id="rId41" Type="http://schemas.openxmlformats.org/officeDocument/2006/relationships/externalLink" Target="externalLinks/externalLink22.xml"/><Relationship Id="rId22" Type="http://schemas.openxmlformats.org/officeDocument/2006/relationships/externalLink" Target="externalLinks/externalLink3.xml"/><Relationship Id="rId44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.xml"/><Relationship Id="rId43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5.xml"/><Relationship Id="rId46" Type="http://customschemas.google.com/relationships/workbookmetadata" Target="metadata"/><Relationship Id="rId23" Type="http://schemas.openxmlformats.org/officeDocument/2006/relationships/externalLink" Target="externalLinks/externalLink4.xml"/><Relationship Id="rId45" Type="http://schemas.openxmlformats.org/officeDocument/2006/relationships/externalLink" Target="externalLinks/externalLink2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externalLink" Target="externalLinks/externalLink7.xml"/><Relationship Id="rId25" Type="http://schemas.openxmlformats.org/officeDocument/2006/relationships/externalLink" Target="externalLinks/externalLink6.xml"/><Relationship Id="rId28" Type="http://schemas.openxmlformats.org/officeDocument/2006/relationships/externalLink" Target="externalLinks/externalLink9.xml"/><Relationship Id="rId27" Type="http://schemas.openxmlformats.org/officeDocument/2006/relationships/externalLink" Target="externalLinks/externalLink8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externalLink" Target="externalLinks/externalLink10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1.xml"/><Relationship Id="rId11" Type="http://schemas.openxmlformats.org/officeDocument/2006/relationships/worksheet" Target="worksheets/sheet8.xml"/><Relationship Id="rId33" Type="http://schemas.openxmlformats.org/officeDocument/2006/relationships/externalLink" Target="externalLinks/externalLink14.xml"/><Relationship Id="rId10" Type="http://schemas.openxmlformats.org/officeDocument/2006/relationships/worksheet" Target="worksheets/sheet7.xml"/><Relationship Id="rId32" Type="http://schemas.openxmlformats.org/officeDocument/2006/relationships/externalLink" Target="externalLinks/externalLink13.xml"/><Relationship Id="rId13" Type="http://schemas.openxmlformats.org/officeDocument/2006/relationships/worksheet" Target="worksheets/sheet10.xml"/><Relationship Id="rId35" Type="http://schemas.openxmlformats.org/officeDocument/2006/relationships/externalLink" Target="externalLinks/externalLink16.xml"/><Relationship Id="rId12" Type="http://schemas.openxmlformats.org/officeDocument/2006/relationships/worksheet" Target="worksheets/sheet9.xml"/><Relationship Id="rId34" Type="http://schemas.openxmlformats.org/officeDocument/2006/relationships/externalLink" Target="externalLinks/externalLink15.xml"/><Relationship Id="rId15" Type="http://schemas.openxmlformats.org/officeDocument/2006/relationships/worksheet" Target="worksheets/sheet12.xml"/><Relationship Id="rId37" Type="http://schemas.openxmlformats.org/officeDocument/2006/relationships/externalLink" Target="externalLinks/externalLink18.xml"/><Relationship Id="rId14" Type="http://schemas.openxmlformats.org/officeDocument/2006/relationships/worksheet" Target="worksheets/sheet11.xml"/><Relationship Id="rId36" Type="http://schemas.openxmlformats.org/officeDocument/2006/relationships/externalLink" Target="externalLinks/externalLink17.xml"/><Relationship Id="rId17" Type="http://schemas.openxmlformats.org/officeDocument/2006/relationships/worksheet" Target="worksheets/sheet14.xml"/><Relationship Id="rId39" Type="http://schemas.openxmlformats.org/officeDocument/2006/relationships/externalLink" Target="externalLinks/externalLink20.xml"/><Relationship Id="rId16" Type="http://schemas.openxmlformats.org/officeDocument/2006/relationships/worksheet" Target="worksheets/sheet13.xml"/><Relationship Id="rId38" Type="http://schemas.openxmlformats.org/officeDocument/2006/relationships/externalLink" Target="externalLinks/externalLink19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>
        <c:manualLayout>
          <c:xMode val="edge"/>
          <c:yMode val="edge"/>
          <c:x val="0.14782702115546922"/>
          <c:y val="0.2729779549779292"/>
          <c:w val="0.741666666666667"/>
          <c:h val="0.508678915135608"/>
        </c:manualLayout>
      </c:layout>
      <c:pie3D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Pt>
            <c:idx val="7"/>
            <c:spPr>
              <a:solidFill>
                <a:schemeClr val="accent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1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1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1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1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1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1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1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1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1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'Произв.затраты'!$B$8:$B$16</c:f>
            </c:strRef>
          </c:cat>
          <c:val>
            <c:numRef>
              <c:f>'Произв.затраты'!$O$8:$O$16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>
        <c:manualLayout>
          <c:xMode val="edge"/>
          <c:yMode val="edge"/>
          <c:x val="0.24588480810803465"/>
          <c:y val="0.3048591148328682"/>
          <c:w val="0.5415366673139338"/>
          <c:h val="0.516099576012308"/>
        </c:manualLayout>
      </c:layout>
      <c:pie3DChart>
        <c:varyColors val="1"/>
        <c:ser>
          <c:idx val="0"/>
          <c:order val="0"/>
          <c:dPt>
            <c:idx val="0"/>
            <c:explosion val="8"/>
            <c:spPr>
              <a:solidFill>
                <a:schemeClr val="accent1"/>
              </a:solidFill>
            </c:spPr>
          </c:dPt>
          <c:dPt>
            <c:idx val="1"/>
            <c:explosion val="9"/>
            <c:spPr>
              <a:solidFill>
                <a:schemeClr val="accent2"/>
              </a:solidFill>
            </c:spPr>
          </c:dPt>
          <c:dPt>
            <c:idx val="2"/>
            <c:explosion val="5"/>
            <c:spPr>
              <a:solidFill>
                <a:schemeClr val="accent3"/>
              </a:solidFill>
            </c:spPr>
          </c:dPt>
          <c:dPt>
            <c:idx val="3"/>
            <c:explosion val="4"/>
            <c:spPr>
              <a:solidFill>
                <a:schemeClr val="accent4"/>
              </a:solidFill>
            </c:spPr>
          </c:dPt>
          <c:dPt>
            <c:idx val="4"/>
            <c:explosion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Pt>
            <c:idx val="9"/>
            <c:spPr>
              <a:solidFill>
                <a:srgbClr val="A693BE"/>
              </a:solidFill>
            </c:spPr>
          </c:dPt>
          <c:dPt>
            <c:idx val="10"/>
            <c:spPr>
              <a:solidFill>
                <a:srgbClr val="81C5D7"/>
              </a:solidFill>
            </c:spPr>
          </c:dPt>
          <c:dPt>
            <c:idx val="11"/>
            <c:spPr>
              <a:solidFill>
                <a:srgbClr val="F9B67E"/>
              </a:solidFill>
            </c:spPr>
          </c:dPt>
          <c:dPt>
            <c:idx val="12"/>
            <c:spPr>
              <a:solidFill>
                <a:srgbClr val="B9CDE5"/>
              </a:solidFill>
            </c:spPr>
          </c:dPt>
          <c:dPt>
            <c:idx val="13"/>
            <c:spPr>
              <a:solidFill>
                <a:srgbClr val="E6B9B8"/>
              </a:solidFill>
            </c:spPr>
          </c:dPt>
          <c:dPt>
            <c:idx val="14"/>
            <c:spPr>
              <a:solidFill>
                <a:srgbClr val="D7E4BD"/>
              </a:solidFill>
            </c:spPr>
          </c:dPt>
          <c:dPt>
            <c:idx val="15"/>
            <c:spPr>
              <a:solidFill>
                <a:srgbClr val="CCC1DA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1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1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1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1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1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1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1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1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'Адм.затраты'!$B$8:$B$23</c:f>
            </c:strRef>
          </c:cat>
          <c:val>
            <c:numRef>
              <c:f>'Адм.затраты'!$AB$8:$AB$23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>
        <c:manualLayout>
          <c:xMode val="edge"/>
          <c:yMode val="edge"/>
          <c:x val="0.24588480810803465"/>
          <c:y val="0.3048591148328682"/>
          <c:w val="0.5415366673139338"/>
          <c:h val="0.516099576012308"/>
        </c:manualLayout>
      </c:layout>
      <c:pie3DChart>
        <c:varyColors val="1"/>
        <c:ser>
          <c:idx val="0"/>
          <c:order val="0"/>
          <c:dPt>
            <c:idx val="0"/>
            <c:explosion val="8"/>
            <c:spPr>
              <a:solidFill>
                <a:schemeClr val="accent1"/>
              </a:solidFill>
            </c:spPr>
          </c:dPt>
          <c:dPt>
            <c:idx val="1"/>
            <c:explosion val="9"/>
            <c:spPr>
              <a:solidFill>
                <a:schemeClr val="accent2"/>
              </a:solidFill>
            </c:spPr>
          </c:dPt>
          <c:dPt>
            <c:idx val="2"/>
            <c:explosion val="5"/>
            <c:spPr>
              <a:solidFill>
                <a:schemeClr val="accent3"/>
              </a:solidFill>
            </c:spPr>
          </c:dPt>
          <c:dPt>
            <c:idx val="3"/>
            <c:explosion val="4"/>
            <c:spPr>
              <a:solidFill>
                <a:schemeClr val="accent4"/>
              </a:solidFill>
            </c:spPr>
          </c:dPt>
          <c:dPt>
            <c:idx val="4"/>
            <c:explosion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Pt>
            <c:idx val="9"/>
            <c:spPr>
              <a:solidFill>
                <a:srgbClr val="A693BE"/>
              </a:solidFill>
            </c:spPr>
          </c:dPt>
          <c:dPt>
            <c:idx val="10"/>
            <c:spPr>
              <a:solidFill>
                <a:srgbClr val="81C5D7"/>
              </a:solidFill>
            </c:spPr>
          </c:dPt>
          <c:dPt>
            <c:idx val="11"/>
            <c:spPr>
              <a:solidFill>
                <a:srgbClr val="F9B67E"/>
              </a:solidFill>
            </c:spPr>
          </c:dPt>
          <c:dPt>
            <c:idx val="12"/>
            <c:spPr>
              <a:solidFill>
                <a:srgbClr val="B9CDE5"/>
              </a:solidFill>
            </c:spPr>
          </c:dPt>
          <c:dPt>
            <c:idx val="13"/>
            <c:spPr>
              <a:solidFill>
                <a:srgbClr val="E6B9B8"/>
              </a:solidFill>
            </c:spPr>
          </c:dPt>
          <c:dPt>
            <c:idx val="14"/>
            <c:spPr>
              <a:solidFill>
                <a:srgbClr val="D7E4BD"/>
              </a:solidFill>
            </c:spPr>
          </c:dPt>
          <c:dPt>
            <c:idx val="15"/>
            <c:spPr>
              <a:solidFill>
                <a:srgbClr val="CCC1DA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1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1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1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1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1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1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1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1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'Адм.затраты'!$B$8:$B$23</c:f>
            </c:strRef>
          </c:cat>
          <c:val>
            <c:numRef>
              <c:f>'Адм.затраты'!$AB$8:$AB$23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  <a:r>
              <a:rPr b="0" i="0" sz="1200">
                <a:solidFill>
                  <a:srgbClr val="000000"/>
                </a:solidFill>
                <a:latin typeface="Arial"/>
              </a:rPr>
              <a:t>Чувствительность ЧПС (NPV) и НД (IRR) к изменению тарифа, %</a:t>
            </a:r>
          </a:p>
        </c:rich>
      </c:tx>
      <c:layout>
        <c:manualLayout>
          <c:xMode val="edge"/>
          <c:yMode val="edge"/>
          <c:x val="0.14395543817210946"/>
          <c:y val="0.03802512185976753"/>
        </c:manualLayout>
      </c:layout>
      <c:overlay val="0"/>
    </c:title>
    <c:plotArea>
      <c:layout>
        <c:manualLayout>
          <c:xMode val="edge"/>
          <c:yMode val="edge"/>
          <c:x val="0.1845657772402274"/>
          <c:y val="0.24002099737532817"/>
          <c:w val="0.673619002953785"/>
          <c:h val="0.569047619047619"/>
        </c:manualLayout>
      </c:layout>
      <c:barChart>
        <c:barDir val="col"/>
        <c:ser>
          <c:idx val="0"/>
          <c:order val="0"/>
          <c:tx>
            <c:v>NPV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'Анализ чувст.'!$B$10:$L$10</c:f>
            </c:strRef>
          </c:cat>
          <c:val>
            <c:numRef>
              <c:f>'Анализ чувст.'!$B$12:$L$12</c:f>
              <c:numCache/>
            </c:numRef>
          </c:val>
        </c:ser>
        <c:axId val="1262451916"/>
        <c:axId val="1518720284"/>
      </c:barChart>
      <c:lineChart>
        <c:varyColors val="0"/>
        <c:ser>
          <c:idx val="1"/>
          <c:order val="1"/>
          <c:tx>
            <c:v>IRR</c:v>
          </c:tx>
          <c:spPr>
            <a:ln cmpd="sng" w="38100">
              <a:solidFill>
                <a:schemeClr val="accent1"/>
              </a:solidFill>
            </a:ln>
          </c:spPr>
          <c:marker>
            <c:symbol val="circle"/>
            <c:size val="8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'Анализ чувст.'!$B$10:$L$10</c:f>
            </c:strRef>
          </c:cat>
          <c:val>
            <c:numRef>
              <c:f>'Анализ чувст.'!$B$13:$L$13</c:f>
              <c:numCache/>
            </c:numRef>
          </c:val>
          <c:smooth val="1"/>
        </c:ser>
        <c:axId val="1262451916"/>
        <c:axId val="1518720284"/>
      </c:lineChart>
      <c:catAx>
        <c:axId val="12624519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518720284"/>
      </c:catAx>
      <c:valAx>
        <c:axId val="15187202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"/>
                  </a:rPr>
                  <a:t>ЧПС (NPV), млн.тенге</a:t>
                </a:r>
              </a:p>
            </c:rich>
          </c:tx>
          <c:layout>
            <c:manualLayout>
              <c:xMode val="edge"/>
              <c:yMode val="edge"/>
              <c:x val="0.02495100338163059"/>
              <c:y val="0.209838770153730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262451916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  <a:r>
              <a:rPr b="0" i="0" sz="1200">
                <a:solidFill>
                  <a:srgbClr val="000000"/>
                </a:solidFill>
                <a:latin typeface="Arial"/>
              </a:rPr>
              <a:t>Чувствительность ЧПС (NPV) и ВНД (IRR) к изменению фонда оплаты труда, %</a:t>
            </a:r>
          </a:p>
        </c:rich>
      </c:tx>
      <c:layout>
        <c:manualLayout>
          <c:xMode val="edge"/>
          <c:yMode val="edge"/>
          <c:x val="0.14106578083989507"/>
          <c:y val="0.012955005624296962"/>
        </c:manualLayout>
      </c:layout>
      <c:overlay val="0"/>
    </c:title>
    <c:plotArea>
      <c:layout>
        <c:manualLayout>
          <c:xMode val="edge"/>
          <c:yMode val="edge"/>
          <c:x val="0.1887675507020288"/>
          <c:y val="0.2426470588235294"/>
          <c:w val="0.659906396255852"/>
          <c:h val="0.6213235294117645"/>
        </c:manualLayout>
      </c:layout>
      <c:barChart>
        <c:barDir val="col"/>
        <c:ser>
          <c:idx val="0"/>
          <c:order val="0"/>
          <c:tx>
            <c:v>NPV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'Анализ чувст.'!$B$44:$L$44</c:f>
              <c:numCache/>
            </c:numRef>
          </c:val>
        </c:ser>
        <c:axId val="1136807901"/>
        <c:axId val="1215588965"/>
      </c:barChart>
      <c:lineChart>
        <c:varyColors val="0"/>
        <c:ser>
          <c:idx val="1"/>
          <c:order val="1"/>
          <c:tx>
            <c:v>IRR</c:v>
          </c:tx>
          <c:spPr>
            <a:ln cmpd="sng" w="38100">
              <a:solidFill>
                <a:schemeClr val="accent1"/>
              </a:solidFill>
            </a:ln>
          </c:spPr>
          <c:marker>
            <c:symbol val="circle"/>
            <c:size val="8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val>
            <c:numRef>
              <c:f>'Анализ чувст.'!$B$45:$L$45</c:f>
              <c:numCache/>
            </c:numRef>
          </c:val>
          <c:smooth val="1"/>
        </c:ser>
        <c:axId val="1136807901"/>
        <c:axId val="1215588965"/>
      </c:lineChart>
      <c:catAx>
        <c:axId val="11368079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out"/>
        <c:minorTickMark val="none"/>
        <c:spPr/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215588965"/>
      </c:catAx>
      <c:valAx>
        <c:axId val="12155889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"/>
                  </a:rPr>
                  <a:t>ЧПС (NPV), млн.тенге</a:t>
                </a:r>
              </a:p>
            </c:rich>
          </c:tx>
          <c:layout>
            <c:manualLayout>
              <c:xMode val="edge"/>
              <c:yMode val="edge"/>
              <c:x val="0.022354330708661427"/>
              <c:y val="0.226960629921259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136807901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  <a:r>
              <a:rPr b="0" i="0" sz="1200">
                <a:solidFill>
                  <a:srgbClr val="000000"/>
                </a:solidFill>
                <a:latin typeface="Arial"/>
              </a:rPr>
              <a:t>Чувствительность ЧПС (NPV) и ВНД (IRR) к изменению затрат на строительно-монтажные работы, %</a:t>
            </a:r>
          </a:p>
        </c:rich>
      </c:tx>
      <c:layout>
        <c:manualLayout>
          <c:xMode val="edge"/>
          <c:yMode val="edge"/>
          <c:x val="0.1202324475065617"/>
          <c:y val="0.012955005624296962"/>
        </c:manualLayout>
      </c:layout>
      <c:overlay val="0"/>
    </c:title>
    <c:plotArea>
      <c:layout>
        <c:manualLayout>
          <c:xMode val="edge"/>
          <c:yMode val="edge"/>
          <c:x val="0.1887675507020288"/>
          <c:y val="0.2426470588235294"/>
          <c:w val="0.659906396255852"/>
          <c:h val="0.6213235294117645"/>
        </c:manualLayout>
      </c:layout>
      <c:barChart>
        <c:barDir val="col"/>
        <c:ser>
          <c:idx val="0"/>
          <c:order val="0"/>
          <c:tx>
            <c:v>NPV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'Анализ чувст.'!$B$81:$L$81</c:f>
            </c:strRef>
          </c:cat>
          <c:val>
            <c:numRef>
              <c:f>'Анализ чувст.'!$B$83:$L$83</c:f>
              <c:numCache/>
            </c:numRef>
          </c:val>
        </c:ser>
        <c:axId val="316068625"/>
        <c:axId val="422133603"/>
      </c:barChart>
      <c:lineChart>
        <c:varyColors val="0"/>
        <c:ser>
          <c:idx val="1"/>
          <c:order val="1"/>
          <c:tx>
            <c:v>IRR</c:v>
          </c:tx>
          <c:spPr>
            <a:ln cmpd="sng" w="38100">
              <a:solidFill>
                <a:schemeClr val="accent1"/>
              </a:solidFill>
            </a:ln>
          </c:spPr>
          <c:marker>
            <c:symbol val="circle"/>
            <c:size val="8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'Анализ чувст.'!$B$81:$L$81</c:f>
            </c:strRef>
          </c:cat>
          <c:val>
            <c:numRef>
              <c:f>'Анализ чувст.'!$B$84:$L$84</c:f>
              <c:numCache/>
            </c:numRef>
          </c:val>
          <c:smooth val="1"/>
        </c:ser>
        <c:axId val="316068625"/>
        <c:axId val="422133603"/>
      </c:lineChart>
      <c:catAx>
        <c:axId val="3160686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out"/>
        <c:minorTickMark val="none"/>
        <c:spPr/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422133603"/>
      </c:catAx>
      <c:valAx>
        <c:axId val="4221336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"/>
                  </a:rPr>
                  <a:t>ЧПС (NPV), млн.тенге</a:t>
                </a:r>
              </a:p>
            </c:rich>
          </c:tx>
          <c:layout>
            <c:manualLayout>
              <c:xMode val="edge"/>
              <c:yMode val="edge"/>
              <c:x val="0.022354330708661427"/>
              <c:y val="0.226960629921259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316068625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  <a:r>
              <a:rPr b="0" i="0" sz="1200">
                <a:solidFill>
                  <a:srgbClr val="000000"/>
                </a:solidFill>
                <a:latin typeface="Arial"/>
              </a:rPr>
              <a:t>Чувствительность ЧПС (NPV) и ВНД (IRR) к изменению затрат на производственное оборудование, %</a:t>
            </a:r>
          </a:p>
        </c:rich>
      </c:tx>
      <c:layout>
        <c:manualLayout>
          <c:xMode val="edge"/>
          <c:yMode val="edge"/>
          <c:x val="0.12023241244610416"/>
          <c:y val="0.012955005624296962"/>
        </c:manualLayout>
      </c:layout>
      <c:overlay val="0"/>
    </c:title>
    <c:plotArea>
      <c:layout>
        <c:manualLayout>
          <c:xMode val="edge"/>
          <c:yMode val="edge"/>
          <c:x val="0.1887675507020288"/>
          <c:y val="0.2426470588235294"/>
          <c:w val="0.659906396255852"/>
          <c:h val="0.6213235294117645"/>
        </c:manualLayout>
      </c:layout>
      <c:barChart>
        <c:barDir val="col"/>
        <c:ser>
          <c:idx val="0"/>
          <c:order val="0"/>
          <c:tx>
            <c:v>NPV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'Анализ чувст.'!$B$114:$L$114</c:f>
            </c:strRef>
          </c:cat>
          <c:val>
            <c:numRef>
              <c:f>'Анализ чувст.'!$B$116:$L$116</c:f>
              <c:numCache/>
            </c:numRef>
          </c:val>
        </c:ser>
        <c:axId val="953337911"/>
        <c:axId val="1676647901"/>
      </c:barChart>
      <c:lineChart>
        <c:varyColors val="0"/>
        <c:ser>
          <c:idx val="1"/>
          <c:order val="1"/>
          <c:tx>
            <c:v>IRR</c:v>
          </c:tx>
          <c:spPr>
            <a:ln cmpd="sng" w="38100">
              <a:solidFill>
                <a:schemeClr val="accent1"/>
              </a:solidFill>
            </a:ln>
          </c:spPr>
          <c:marker>
            <c:symbol val="circle"/>
            <c:size val="8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'Анализ чувст.'!$B$114:$L$114</c:f>
            </c:strRef>
          </c:cat>
          <c:val>
            <c:numRef>
              <c:f>'Анализ чувст.'!$B$117:$L$117</c:f>
              <c:numCache/>
            </c:numRef>
          </c:val>
          <c:smooth val="1"/>
        </c:ser>
        <c:axId val="953337911"/>
        <c:axId val="1676647901"/>
      </c:lineChart>
      <c:catAx>
        <c:axId val="953337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out"/>
        <c:minorTickMark val="none"/>
        <c:spPr/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676647901"/>
      </c:catAx>
      <c:valAx>
        <c:axId val="16766479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"/>
                  </a:rPr>
                  <a:t>ЧПС (NPV), млн.тенге</a:t>
                </a:r>
              </a:p>
            </c:rich>
          </c:tx>
          <c:layout>
            <c:manualLayout>
              <c:xMode val="edge"/>
              <c:yMode val="edge"/>
              <c:x val="0.022354342992617345"/>
              <c:y val="0.226960629921259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953337911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96</xdr:col>
      <xdr:colOff>419100</xdr:colOff>
      <xdr:row>15</xdr:row>
      <xdr:rowOff>95250</xdr:rowOff>
    </xdr:from>
    <xdr:ext cx="7991475" cy="3667125"/>
    <xdr:graphicFrame>
      <xdr:nvGraphicFramePr>
        <xdr:cNvPr id="948888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57</xdr:col>
      <xdr:colOff>781050</xdr:colOff>
      <xdr:row>35</xdr:row>
      <xdr:rowOff>9525</xdr:rowOff>
    </xdr:from>
    <xdr:ext cx="3924300" cy="3486150"/>
    <xdr:graphicFrame>
      <xdr:nvGraphicFramePr>
        <xdr:cNvPr id="207477430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781050</xdr:colOff>
      <xdr:row>35</xdr:row>
      <xdr:rowOff>9525</xdr:rowOff>
    </xdr:from>
    <xdr:ext cx="3924300" cy="3486150"/>
    <xdr:graphicFrame>
      <xdr:nvGraphicFramePr>
        <xdr:cNvPr id="163375066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790575</xdr:colOff>
      <xdr:row>20</xdr:row>
      <xdr:rowOff>9525</xdr:rowOff>
    </xdr:from>
    <xdr:ext cx="6086475" cy="2590800"/>
    <xdr:graphicFrame>
      <xdr:nvGraphicFramePr>
        <xdr:cNvPr id="24396215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27</xdr:col>
      <xdr:colOff>457200</xdr:colOff>
      <xdr:row>94</xdr:row>
      <xdr:rowOff>19050</xdr:rowOff>
    </xdr:from>
    <xdr:ext cx="5829300" cy="2590800"/>
    <xdr:graphicFrame>
      <xdr:nvGraphicFramePr>
        <xdr:cNvPr id="11025945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695325</xdr:colOff>
      <xdr:row>92</xdr:row>
      <xdr:rowOff>95250</xdr:rowOff>
    </xdr:from>
    <xdr:ext cx="6115050" cy="2590800"/>
    <xdr:graphicFrame>
      <xdr:nvGraphicFramePr>
        <xdr:cNvPr id="906841589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571500</xdr:colOff>
      <xdr:row>122</xdr:row>
      <xdr:rowOff>142875</xdr:rowOff>
    </xdr:from>
    <xdr:ext cx="6115050" cy="2590800"/>
    <xdr:graphicFrame>
      <xdr:nvGraphicFramePr>
        <xdr:cNvPr id="1089620546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Documents%20and%20Settings/Siddharth%20Periwal/My%20Documents/Document_Recovery/CMD%20for%20$ticker$%20-%20V3.1beta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microsoft.com/office/2006/relationships/xlExternalLinkPath/xlPathMissing" Target="&#1041;&#1055;%20&#1058;&#1041;&#1054;%20&#1040;&#1082;&#1090;&#1086;&#1073;&#1077;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microsoft.com/office/2006/relationships/xlExternalLinkPath/xlPathMissing" Target="&#1047;&#1086;&#1083;&#1086;&#1090;&#1086;&#1081;%20&#1087;&#1088;&#1080;&#1080;&#1089;&#1082;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microsoft.com/office/2006/relationships/xlExternalLinkPath/xlPathMissing" Target="BAL_&#1047;&#1077;&#1088;&#1085;&#1051;&#1050;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microsoft.com/office/2006/relationships/xlExternalLinkPath/xlPathMissing" Target="&#1041;&#1087;%20breton.xls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microsoft.com/office/2006/relationships/xlExternalLinkPath/xlPathMissing" Target="&#1041;&#1055;%20&#1082;&#1080;&#1088;%20&#1079;&#1072;&#1074;&#1086;&#1076;%203.3%20%20(40%20&#1084;&#1083;&#1085;.%20+20%20&#1079;&#1072;&#1073;&#1091;&#1090;%20&#1088;&#1077;&#1072;&#1083;%20&#1085;&#1072;%2018.07.06%20&#1076;&#1083;&#1103;%20&#1040;&#1060;%20&#1091;&#1074;&#1077;&#1083;%20&#1082;&#1091;&#1088;&#1089;)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microsoft.com/office/2006/relationships/xlExternalLinkPath/xlPathMissing" Target="Invest_project_1_8%20&#8470;%20&#1041;&#1040;&#1058;&#1067;&#1056;%20&#1055;&#1045;&#1057;&#1057;&#1048;&#1052;&#1048;&#1057;&#1058;&#1048;&#1063;&#1053;&#1067;&#1049;1.xls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microsoft.com/office/2006/relationships/xlExternalLinkPath/xlPathMissing" Target="Docu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microsoft.com/office/2006/relationships/xlExternalLinkPath/xlPathMissing" Target="Invest_pr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microsoft.com/office/2006/relationships/xlExternalLinkPath/xlPathMissing" Target="&#1085;&#1086;&#1074;&#1099;&#1081;%20&#1041;&#1055;%20%20&#1080;&#1089;&#1087;&#1088;%20&#1089;%20&#1091;&#1095;.%20&#1092;&#1080;&#1085;.%20NB%2007.02.06.xls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microsoft.com/office/2006/relationships/xlExternalLinkPath/xlPathMissing" Target="Proj_&#1047;&#1051;&#1050;_&#1087;&#1096;&#1077;&#1085;&#1080;&#1094;&#1072;_50%25_&#1083;&#1080;&#1079;_&#1087;&#1083;&#1072;&#1090;.xls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microsoft.com/office/2006/relationships/xlExternalLinkPath/xlPathMissing" Target="&#1041;&#1055;%20&#1097;&#1077;&#1073;&#1077;&#1085;&#1100;%201.05%20&#1076;&#1083;&#1103;%20&#1041;&#1058;&#1040;.xls" TargetMode="External"/></Relationships>
</file>

<file path=xl/externalLinks/_rels/externalLink13.xml.rels><?xml version="1.0" encoding="UTF-8" standalone="yes"?><Relationships xmlns="http://schemas.openxmlformats.org/package/2006/relationships"><Relationship Id="rId1" Type="http://schemas.microsoft.com/office/2006/relationships/xlExternalLinkPath/xlPathMissing" Target="6A75EE9B.xls" TargetMode="External"/></Relationships>
</file>

<file path=xl/externalLinks/_rels/externalLink14.xml.rels><?xml version="1.0" encoding="UTF-8" standalone="yes"?><Relationships xmlns="http://schemas.openxmlformats.org/package/2006/relationships"><Relationship Id="rId1" Type="http://schemas.microsoft.com/office/2006/relationships/xlExternalLinkPath/xlPathMissing" Target="&#1041;&#1102;&#1076;&#1078;&#1077;&#1090;%20&#1085;&#1072;%202-%20&#1086;&#1077;%20&#1087;&#1086;&#1083;&#1091;&#1075;&#1086;&#1076;&#1080;&#1077;%202007%20&#1075;..xls" TargetMode="External"/></Relationships>
</file>

<file path=xl/externalLinks/_rels/externalLink15.xml.rels><?xml version="1.0" encoding="UTF-8" standalone="yes"?><Relationships xmlns="http://schemas.openxmlformats.org/package/2006/relationships"><Relationship Id="rId1" Type="http://schemas.microsoft.com/office/2006/relationships/xlExternalLinkPath/xlPathMissing" Target="&#1052;&#1051;&#1044;&#1050;%20&#1060;3+&#1060;2%20&#1073;&#1077;&#1079;%20&#1048;&#1060;&#1050;.xls" TargetMode="External"/></Relationships>
</file>

<file path=xl/externalLinks/_rels/externalLink16.xml.rels><?xml version="1.0" encoding="UTF-8" standalone="yes"?><Relationships xmlns="http://schemas.openxmlformats.org/package/2006/relationships"><Relationship Id="rId1" Type="http://schemas.microsoft.com/office/2006/relationships/xlExternalLinkPath/xlPathMissing" Target="&#1069;&#1082;&#1086;&#1090;&#1086;&#1085;%2011.03.04.xls" TargetMode="External"/></Relationships>
</file>

<file path=xl/externalLinks/_rels/externalLink17.xml.rels><?xml version="1.0" encoding="UTF-8" standalone="yes"?><Relationships xmlns="http://schemas.openxmlformats.org/package/2006/relationships"><Relationship Id="rId1" Type="http://schemas.microsoft.com/office/2006/relationships/xlExternalLinkPath/xlPathMissing" Target="test.xls" TargetMode="External"/></Relationships>
</file>

<file path=xl/externalLinks/_rels/externalLink18.xml.rels><?xml version="1.0" encoding="UTF-8" standalone="yes"?><Relationships xmlns="http://schemas.openxmlformats.org/package/2006/relationships"><Relationship Id="rId1" Type="http://schemas.microsoft.com/office/2006/relationships/xlExternalLinkPath/xlPathMissing" Target="BUDGET%20Mon%20Amie%20(2010-2017)%20draft%20(IIS)2.xls" TargetMode="External"/></Relationships>
</file>

<file path=xl/externalLinks/_rels/externalLink19.xml.rels><?xml version="1.0" encoding="UTF-8" standalone="yes"?><Relationships xmlns="http://schemas.openxmlformats.org/package/2006/relationships"><Relationship Id="rId1" Type="http://schemas.microsoft.com/office/2006/relationships/xlExternalLinkPath/xlPathMissing" Target="&#1053;&#1077;&#1088;&#1091;&#1076;%20&#1084;&#1086;&#1080;%20&#1088;&#1072;&#1089;&#1095;&#1105;&#1090;&#1099;.xls" TargetMode="External"/></Relationships>
</file>

<file path=xl/externalLinks/_rels/externalLink20.xml.rels><?xml version="1.0" encoding="UTF-8" standalone="yes"?><Relationships xmlns="http://schemas.openxmlformats.org/package/2006/relationships"><Relationship Id="rId1" Type="http://schemas.microsoft.com/office/2006/relationships/xlExternalLinkPath/xlPathMissing" Target="15E674EE.xls" TargetMode="External"/></Relationships>
</file>

<file path=xl/externalLinks/_rels/externalLink2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&#1056;&#1072;&#1073;&#1086;&#1090;&#1072;\Reach%20Partners\1.%20&#1053;&#1086;&#1089;&#1082;&#1080;\&#1048;&#1085;&#1090;&#1077;&#1088;&#1085;&#1077;&#1090;\FinansovayaModelProekta_TEO_PrilozheniyaBiznesPlana_VyrashivanieVinnogoVinogradaIStolovykhSortovVinogradaVVinogradnikakh.xls" TargetMode="External"/></Relationships>
</file>

<file path=xl/externalLinks/_rels/externalLink22.xml.rels><?xml version="1.0" encoding="UTF-8" standalone="yes"?><Relationships xmlns="http://schemas.openxmlformats.org/package/2006/relationships"><Relationship Id="rId1" Type="http://schemas.microsoft.com/office/2006/relationships/xlExternalLinkPath/xlPathMissing" Target="BUDGET%20Mon%20Amie%20(2010-2017)%20draft%20(IIS).xls" TargetMode="External"/></Relationships>
</file>

<file path=xl/externalLinks/_rels/externalLink23.xml.rels><?xml version="1.0" encoding="UTF-8" standalone="yes"?><Relationships xmlns="http://schemas.openxmlformats.org/package/2006/relationships"><Relationship Id="rId1" Type="http://schemas.microsoft.com/office/2006/relationships/xlExternalLinkPath/xlPathMissing" Target="&#1041;&#1055;%20&#1082;&#1080;&#1088;%20&#1079;&#1072;&#1074;&#1086;&#1076;%204%20%20(14.01.08)%20&#1087;&#1077;&#1089;&#1089;&#1080;&#1084;.xls" TargetMode="External"/></Relationships>
</file>

<file path=xl/externalLinks/_rels/externalLink24.xml.rels><?xml version="1.0" encoding="UTF-8" standalone="yes"?><Relationships xmlns="http://schemas.openxmlformats.org/package/2006/relationships"><Relationship Id="rId1" Type="http://schemas.microsoft.com/office/2006/relationships/xlExternalLinkPath/xlPathMissing" Target="Proj_&#1057;&#1072;&#1088;&#1076;&#1072;&#1083;&#1072;.xls" TargetMode="External"/></Relationships>
</file>

<file path=xl/externalLinks/_rels/externalLink2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&#1056;&#1072;&#1073;&#1086;&#1090;&#1072;\Reach%20Partners\86.%20&#1043;&#1069;&#1057;%20&#1041;&#1056;&#1050;\Financial%20model%20&#1043;&#1069;&#1057;%202.xls" TargetMode="External"/></Relationships>
</file>

<file path=xl/externalLinks/_rels/externalLink2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erver\obmen\Documents%20and%20Settings\&#1075;&#1099;&#1091;&#1082;\&#1052;&#1086;&#1080;%20&#1076;&#1086;&#1082;&#1091;&#1084;&#1077;&#1085;&#1090;&#1099;\1%20Clients\15%20Almaty%20Greenhouse%20Plant\Fin%20model\Fin_mod_Teplitsa_20-10-2008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.0 Readme"/>
      <sheetName val="1.1 SETUP"/>
      <sheetName val="1.2 EV &amp; WACC"/>
      <sheetName val="1.3 Historical"/>
      <sheetName val="1.4 Restated"/>
      <sheetName val="1.5 Adjusted"/>
      <sheetName val="1.6 TRS Data"/>
      <sheetName val="1.7 Multiples Data"/>
      <sheetName val="2.1 TRS Chart"/>
      <sheetName val="2.2 Multiples Chart"/>
      <sheetName val="2.3 SCM Chart"/>
      <sheetName val="2.4 Worm Chart"/>
      <sheetName val="2.5 Performance Chart"/>
      <sheetName val="2.6 ROIC Tree"/>
      <sheetName val="3.1 Analyst Forecast"/>
      <sheetName val="3.2 Valuation"/>
      <sheetName val="3.3 Growth-Spread"/>
      <sheetName val="3.4 ERA Data"/>
      <sheetName val="3.5 ERA Charts"/>
      <sheetName val="4.1 BU Allocation"/>
      <sheetName val="4.1b BU ROIC Tree"/>
      <sheetName val="BU 1"/>
      <sheetName val="BU 2"/>
      <sheetName val="BU 3"/>
      <sheetName val="BU 4"/>
      <sheetName val="BU 5"/>
      <sheetName val="BU 6"/>
      <sheetName val="BU 7"/>
      <sheetName val="BU 8"/>
      <sheetName val="Elimination"/>
      <sheetName val="Corporate"/>
      <sheetName val="4.2 Sum of Parts"/>
      <sheetName val="4.3 BU Summary"/>
      <sheetName val="4.4 BU Growth-Spread"/>
      <sheetName val="4.5 Multiples Valuation"/>
      <sheetName val="Basic data"/>
      <sheetName val="3.3 Isoqua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Главн"/>
      <sheetName val="Пояснения"/>
      <sheetName val="Эффективность"/>
      <sheetName val="Рас.эффект"/>
      <sheetName val="№ 2 Товар.выпуск"/>
      <sheetName val="№ 3 Реализация"/>
      <sheetName val="Доходы"/>
      <sheetName val="Себест реал"/>
      <sheetName val="Cash"/>
      <sheetName val="CF"/>
      <sheetName val="P&amp;L"/>
      <sheetName val="Кредиты"/>
      <sheetName val="Кредиты 2"/>
      <sheetName val="Кредиты 3"/>
      <sheetName val="№ 1 Произв.прогр"/>
      <sheetName val="Произв.мощн"/>
      <sheetName val="График работ"/>
      <sheetName val="Invest"/>
      <sheetName val="Лист1"/>
      <sheetName val="Граф кап инвестиц"/>
      <sheetName val="Граф произв инвестиц"/>
      <sheetName val="Амортиз"/>
      <sheetName val="Спр.мат"/>
      <sheetName val="Материалы"/>
      <sheetName val="№ 4 Материалы полн"/>
      <sheetName val="Материалы по ассорт"/>
      <sheetName val="Упаковка"/>
      <sheetName val="№ 4-1 Мат 0,5 ЗС"/>
      <sheetName val="№ 4-2 Мат 0,7 ЗС"/>
      <sheetName val="№ 4-3 Мат 0,5 обл"/>
      <sheetName val="№ 4-4 Мат 0,5 ст"/>
      <sheetName val="№ 4-5 Мат 0,5 ст шелкогр"/>
      <sheetName val="Мат 6"/>
      <sheetName val="Мат 7"/>
      <sheetName val="Мат 8"/>
      <sheetName val="Мат 9"/>
      <sheetName val="Мат 10"/>
      <sheetName val="Мат 11"/>
      <sheetName val="Мат 12"/>
      <sheetName val="Мат 13"/>
      <sheetName val="Мат 14"/>
      <sheetName val="Мат Тов-15"/>
      <sheetName val="Мат Тов-16"/>
      <sheetName val="Мат Тов-17"/>
      <sheetName val="Мат Тов-18"/>
      <sheetName val="Мат Тов-19"/>
      <sheetName val="Мат Тов-20"/>
      <sheetName val="№ 5 Энерго"/>
      <sheetName val="Персонал"/>
      <sheetName val="Налоги"/>
      <sheetName val="№ 6-1 Свод затрат без НДС"/>
      <sheetName val="№ 6-2 Свод затрат с НДС"/>
      <sheetName val="№ 7 КАЛЬКУЛ 1-2"/>
      <sheetName val="№ 7 КАЛЬКУЛ 3-4"/>
      <sheetName val="КАЛЬКУЛ 5"/>
      <sheetName val="Затраты по месяцам"/>
      <sheetName val="Нал на трансп"/>
      <sheetName val="Ставки соц"/>
      <sheetName val="Ставки под.физ"/>
      <sheetName val="ГСМ"/>
      <sheetName val="Граф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Задание"/>
      <sheetName val="NPV"/>
      <sheetName val="IRRa"/>
      <sheetName val="IRRb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Титул"/>
      <sheetName val="Исх докум"/>
      <sheetName val="Указатель"/>
      <sheetName val="Б1"/>
      <sheetName val="О1"/>
      <sheetName val="Б2"/>
      <sheetName val="О2"/>
      <sheetName val="Б3!!!"/>
      <sheetName val="О3!!!"/>
      <sheetName val="Исх.1"/>
      <sheetName val="Исх.2"/>
      <sheetName val="Исх.3!!!"/>
      <sheetName val="Нетто1"/>
      <sheetName val="Нетто2"/>
      <sheetName val="Нетто3!!!"/>
      <sheetName val="Гориз"/>
      <sheetName val="Верт!!!"/>
      <sheetName val="К-ф!!!"/>
      <sheetName val="Активы (размещ)!!!"/>
      <sheetName val="Уровень показателей!!!"/>
      <sheetName val="Фин. ресурсы!!!"/>
      <sheetName val="Наличие об ср-в!!!"/>
      <sheetName val="Кт!!!"/>
      <sheetName val="Дин. оборотн. ср-в!!!"/>
      <sheetName val="Дт"/>
      <sheetName val="Ликв баланса!!!"/>
      <sheetName val="Самофинанс!!!"/>
      <sheetName val="Рынок сырья"/>
      <sheetName val="Вид продукции"/>
      <sheetName val="Справка_НБ"/>
      <sheetName val="Анализ"/>
      <sheetName val="Показатели"/>
      <sheetName val="Модуль2"/>
      <sheetName val="Аванс кап"/>
      <sheetName val="Текст"/>
      <sheetName val="Б3___"/>
      <sheetName val="Уровень показателей___"/>
      <sheetName val="Дин_ оборотн_ ср_в___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Свод"/>
      <sheetName val="Коэфф"/>
      <sheetName val="Ф2"/>
      <sheetName val="Ф3"/>
      <sheetName val="Кредит"/>
      <sheetName val="Перемен"/>
      <sheetName val="Постоян"/>
      <sheetName val="Себст"/>
      <sheetName val="Безуб"/>
      <sheetName val="Смета"/>
      <sheetName val="Инвест"/>
      <sheetName val="Штат"/>
      <sheetName val="План пр-ва"/>
      <sheetName val="Продаж"/>
      <sheetName val="Налог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  <sheetData sheetId="14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Об пр-ва"/>
      <sheetName val="Осн. пара"/>
      <sheetName val="Осн пар Свод"/>
      <sheetName val="3Ф"/>
      <sheetName val="2Ф"/>
      <sheetName val="Норм"/>
      <sheetName val="ОС"/>
      <sheetName val="Граф строит"/>
      <sheetName val="Пост Рх"/>
      <sheetName val="кредит"/>
      <sheetName val="Глины"/>
      <sheetName val="Рас по тр-ту"/>
      <sheetName val="ЗП"/>
      <sheetName val="IRR NPV"/>
      <sheetName val="Амор"/>
      <sheetName val="влиян топл"/>
      <sheetName val="Себест-ть"/>
      <sheetName val="обоснование"/>
      <sheetName val="цены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II"/>
      <sheetName val="Report"/>
      <sheetName val="Data-in"/>
      <sheetName val="Balance"/>
      <sheetName val="Results"/>
      <sheetName val="Sensivity"/>
      <sheetName val="Kredit"/>
      <sheetName val="NPV"/>
      <sheetName val="Break-even"/>
      <sheetName val="Liquidity"/>
      <sheetName val="Profitability"/>
      <sheetName val="Activity"/>
      <sheetName val="Assets"/>
      <sheetName val="Sens"/>
      <sheetName val="es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II"/>
      <sheetName val="Report"/>
      <sheetName val="Data-in"/>
      <sheetName val="Balance"/>
      <sheetName val="Results"/>
      <sheetName val="Sensivity"/>
      <sheetName val="Kredit"/>
      <sheetName val="NPV"/>
      <sheetName val="Break-even"/>
      <sheetName val="Liquidity"/>
      <sheetName val="Profitability"/>
      <sheetName val="Activity"/>
      <sheetName val="Assets"/>
      <sheetName val="Sens"/>
      <sheetName val="es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II"/>
      <sheetName val="Report"/>
      <sheetName val="Data-in"/>
      <sheetName val="Balance"/>
      <sheetName val="Results"/>
      <sheetName val="Sensivity"/>
      <sheetName val="Kredit"/>
      <sheetName val="NPV"/>
      <sheetName val="Break-even"/>
      <sheetName val="Liquidity"/>
      <sheetName val="Profitability"/>
      <sheetName val="Activity"/>
      <sheetName val="Assets"/>
      <sheetName val="Sens"/>
      <sheetName val="es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Лист1"/>
      <sheetName val="IRR"/>
      <sheetName val="Ф3"/>
      <sheetName val="Ф2"/>
      <sheetName val="ПриобрОС"/>
      <sheetName val="Фин. пок-ли"/>
      <sheetName val="Пр-во сбыт"/>
      <sheetName val="Врем.смета"/>
      <sheetName val="Перем. затр"/>
      <sheetName val="Пост.затр"/>
      <sheetName val="Затр. на про-во"/>
      <sheetName val="штат"/>
      <sheetName val="АФ1"/>
      <sheetName val="АФ"/>
      <sheetName val="БВУ"/>
      <sheetName val="Доп"/>
      <sheetName val="Ф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ИсхД+"/>
      <sheetName val="КапЗатр+"/>
      <sheetName val="Вып1+"/>
      <sheetName val="Капит_1"/>
      <sheetName val="Вып2"/>
      <sheetName val="Капит_2"/>
      <sheetName val="Вып3"/>
      <sheetName val="Капит_3"/>
      <sheetName val="Вып4"/>
      <sheetName val="Капит_4"/>
      <sheetName val="СвВып+"/>
      <sheetName val="Аморт"/>
      <sheetName val="ВырРеал+"/>
      <sheetName val="Зерно"/>
      <sheetName val="Зерно_1"/>
      <sheetName val="Себест+"/>
      <sheetName val="ОбКап+"/>
      <sheetName val="Нетто3!!!"/>
      <sheetName val="отчприб1"/>
      <sheetName val="РостАкт+"/>
      <sheetName val="Приб+"/>
      <sheetName val="ПотокНал+"/>
      <sheetName val="потокден1"/>
      <sheetName val="ФинПок+"/>
      <sheetName val="Налоги"/>
      <sheetName val="СтоимПр1+"/>
      <sheetName val="СтоимПр2"/>
      <sheetName val="ЗЛК_осн"/>
      <sheetName val="ЗЛК_%"/>
      <sheetName val="ЗЛК_цена"/>
      <sheetName val="Не_удалять!!!"/>
      <sheetName val="Графики"/>
      <sheetName val="ПрогБал"/>
      <sheetName val="КоэфЧувств-ти"/>
      <sheetName val="РезЧувств"/>
      <sheetName val="Залог"/>
      <sheetName val="РискЗалога"/>
      <sheetName val="РезЗал"/>
      <sheetName val="Чувств1"/>
      <sheetName val="Чувств1-1"/>
      <sheetName val="Чувств1-2"/>
      <sheetName val="Чувств2"/>
      <sheetName val="Чувств2-1"/>
      <sheetName val="Чувств2-2"/>
      <sheetName val="Чувств3"/>
      <sheetName val="Чувтсв3-1"/>
      <sheetName val="Чувств3-2"/>
      <sheetName val="Чувств4"/>
      <sheetName val="Чувств4-1"/>
      <sheetName val="Чувств4-2"/>
      <sheetName val="Чувств5"/>
      <sheetName val="IR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Осн пар Свод"/>
      <sheetName val="3Ф"/>
      <sheetName val="2Ф "/>
      <sheetName val="кр"/>
      <sheetName val="Гр стр"/>
      <sheetName val="Пост"/>
      <sheetName val="оборуд"/>
      <sheetName val="Перем."/>
      <sheetName val="IRR NPV"/>
      <sheetName val="Штат до ввода"/>
      <sheetName val="Штат пос ввода"/>
      <sheetName val="карьеры"/>
      <sheetName val="Налог(имущ)"/>
      <sheetName val="Осн.пока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Параметры"/>
      <sheetName val="Производство и сбыт"/>
      <sheetName val="Персонал"/>
      <sheetName val="Амортизация"/>
      <sheetName val="Приобретение ОС"/>
      <sheetName val="Временные расходы"/>
      <sheetName val="Пост расходы"/>
      <sheetName val="График"/>
      <sheetName val="Прямые затраты"/>
      <sheetName val="ГСМ Налоги"/>
      <sheetName val="Адмрасходы"/>
      <sheetName val="NPV"/>
      <sheetName val="ОПиУ"/>
      <sheetName val="ОДДС"/>
      <sheetName val="Баланс"/>
      <sheetName val="Эффективност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пост. пар."/>
      <sheetName val="ф-ма2"/>
      <sheetName val="ф-ма3 с НДС"/>
      <sheetName val="Гр стр №"/>
      <sheetName val="КП"/>
      <sheetName val="кредит"/>
      <sheetName val="оборуд.1"/>
      <sheetName val="Расчет фонда опл. с 01.07.07 №1"/>
      <sheetName val="ГСМ №2"/>
      <sheetName val="Аренда №3"/>
      <sheetName val="Команд.№4"/>
      <sheetName val="Связь№5"/>
      <sheetName val="Банк№6"/>
      <sheetName val="платежи в бюджет №7"/>
      <sheetName val="прочие ОАР №8"/>
      <sheetName val="Приобретение ОС №9"/>
      <sheetName val="Амортизация №10"/>
      <sheetName val="налог на имущ.№11"/>
      <sheetName val="Охрана №12"/>
      <sheetName val="оборуд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Исх"/>
      <sheetName val="ДДС_без 4,5"/>
      <sheetName val="ф3"/>
      <sheetName val="ф2"/>
      <sheetName val="кр"/>
      <sheetName val="Натур пок-ли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Фин. пок-ли"/>
      <sheetName val="Перем. затраты"/>
      <sheetName val="Пост.затраты"/>
      <sheetName val="Затр. на произ-во"/>
      <sheetName val="Анализ себест-ти"/>
      <sheetName val="Анализ с-ст-ти"/>
      <sheetName val="Вспом.расчеты"/>
      <sheetName val="План производства"/>
      <sheetName val="План сбыта"/>
      <sheetName val="График 2004 год"/>
      <sheetName val="График 2005 год"/>
      <sheetName val="Баланс прибылей"/>
      <sheetName val="cash-flow"/>
      <sheetName val="Форма №1"/>
      <sheetName val="Форма №2"/>
      <sheetName val="Форма №3"/>
      <sheetName val="Врем.смета"/>
      <sheetName val="Приобретение О.С."/>
      <sheetName val="Лизинг"/>
      <sheetName val="Кредит БРК"/>
      <sheetName val="Кредит СЗБ (А-Ф)"/>
      <sheetName val="Кредит доп"/>
      <sheetName val="Кредит А-Ф"/>
      <sheetName val="Шт.расп.Блоки"/>
      <sheetName val="Шт.расп.АУП"/>
      <sheetName val="Шт.расп.Вспом.персонал"/>
      <sheetName val="Сводное штатное расписание"/>
      <sheetName val="Шт.расп.Армир.эл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курсы"/>
      <sheetName val="БТА"/>
      <sheetName val="ККБ"/>
      <sheetName val="год"/>
      <sheetName val="деньги"/>
      <sheetName val="объекты общества"/>
      <sheetName val="расторжения"/>
      <sheetName val="констант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"/>
      <sheetName val="Себестоимость"/>
      <sheetName val="General BUDJET"/>
      <sheetName val="Statment"/>
      <sheetName val="Statment (без кредита)"/>
      <sheetName val="профицит-дефицит"/>
      <sheetName val="%обор."/>
      <sheetName val="Кредиты"/>
      <sheetName val="Расходы по открытию"/>
      <sheetName val="НДС"/>
      <sheetName val="Продаж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Осн.показ"/>
      <sheetName val="ОС"/>
      <sheetName val="Аморт"/>
      <sheetName val="Налоги"/>
      <sheetName val="Оборотка"/>
      <sheetName val="Пост"/>
      <sheetName val="Перем."/>
      <sheetName val="Штат до ввода"/>
      <sheetName val="Штат пос ввода"/>
      <sheetName val="Оценка"/>
      <sheetName val="кредит"/>
      <sheetName val="График стр."/>
      <sheetName val="ФХД АФ"/>
      <sheetName val="Cash пр"/>
      <sheetName val="IRR NPV"/>
      <sheetName val="Torna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Параметры"/>
      <sheetName val="Производство и сбыт"/>
      <sheetName val="Прямые затраты"/>
      <sheetName val="Персонал"/>
      <sheetName val="ГСМ Налоги"/>
      <sheetName val="Амортизация"/>
      <sheetName val="Приобретение ОС"/>
      <sheetName val="Временные расходы"/>
      <sheetName val="Пост расходы"/>
      <sheetName val="График"/>
      <sheetName val="ОПиУ"/>
      <sheetName val="ОДДС"/>
      <sheetName val="Эффективност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-Ф3"/>
      <sheetName val="2-ф2"/>
      <sheetName val="3-Баланс"/>
      <sheetName val="Исх"/>
      <sheetName val="Дох"/>
      <sheetName val="Расх перем"/>
      <sheetName val="Производство"/>
      <sheetName val="Пост"/>
      <sheetName val="ФОТ"/>
      <sheetName val="кр"/>
      <sheetName val="Инв"/>
      <sheetName val="безубыт"/>
      <sheetName val="Осн.пок-ли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"/>
      <sheetName val="Себестоимость"/>
      <sheetName val="General BUDJET"/>
      <sheetName val="Statment"/>
      <sheetName val="Statment (без кредита)"/>
      <sheetName val="профицит-дефицит"/>
      <sheetName val="%обор."/>
      <sheetName val="Кредиты"/>
      <sheetName val="Расходы по открытию"/>
      <sheetName val="НДС"/>
      <sheetName val="Продажи"/>
      <sheetName val="Заку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Баланс"/>
      <sheetName val="Риски"/>
      <sheetName val="Осн. пара"/>
      <sheetName val="Оценка "/>
      <sheetName val="Модель"/>
      <sheetName val="IRR NPV"/>
      <sheetName val="фин пок СК 1"/>
      <sheetName val="фин пок 1"/>
      <sheetName val="Осн пар Свод"/>
      <sheetName val="2Ф"/>
      <sheetName val="3Ф"/>
      <sheetName val="Граф стр"/>
      <sheetName val="кредит с БРК"/>
      <sheetName val="Норм"/>
      <sheetName val="Пост Рх"/>
      <sheetName val="Глины"/>
      <sheetName val="Рас по тр-ту"/>
      <sheetName val="ЗП"/>
      <sheetName val="Амор"/>
      <sheetName val="Стр. фин"/>
      <sheetName val="Свод кредиты"/>
      <sheetName val="Об пр-ва"/>
      <sheetName val="влиян топл"/>
      <sheetName val="кредит"/>
      <sheetName val="ОС"/>
      <sheetName val="констр"/>
      <sheetName val="под"/>
      <sheetName val="График кредит"/>
      <sheetName val="Лист1"/>
      <sheetName val="Себест-ть"/>
      <sheetName val="Граф строит"/>
      <sheetName val="обоснование"/>
      <sheetName val="цены"/>
      <sheetName val="Ф3 для АФ"/>
      <sheetName val="3A для АФ"/>
      <sheetName val="Ф2 для А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</sheetDataSet>
  </externalBook>
</externalLink>
</file>

<file path=xl/externalLinks/externalLink2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Общ_Д"/>
      <sheetName val="Граф_осв"/>
      <sheetName val="L-1"/>
      <sheetName val="L-2"/>
      <sheetName val="g-1"/>
      <sheetName val="Займы"/>
      <sheetName val="АО"/>
      <sheetName val="СС"/>
      <sheetName val="Стр_СС"/>
      <sheetName val="Н"/>
      <sheetName val="Дох"/>
      <sheetName val="Стр_Дох"/>
      <sheetName val="Приб"/>
      <sheetName val="Потоки"/>
      <sheetName val="NPV "/>
      <sheetName val="Анализ"/>
      <sheetName val="Чувств"/>
      <sheetName val="Коэфф"/>
      <sheetName val="Зал"/>
      <sheetName val="График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dex list"/>
      <sheetName val="Panel"/>
      <sheetName val="A"/>
      <sheetName val="A-0"/>
      <sheetName val="A-0 (2)"/>
      <sheetName val="A-1"/>
      <sheetName val="B"/>
      <sheetName val=" ТП разверн"/>
      <sheetName val="С-1"/>
      <sheetName val="С-2"/>
      <sheetName val="D"/>
      <sheetName val="D-1"/>
      <sheetName val="D-1-1"/>
      <sheetName val="D-2"/>
      <sheetName val="D-2-1"/>
      <sheetName val="D-3"/>
      <sheetName val="D-4"/>
      <sheetName val="D-4-1"/>
      <sheetName val="D-5"/>
      <sheetName val="D-6"/>
      <sheetName val="D-7"/>
      <sheetName val="D-8"/>
      <sheetName val="D-9"/>
      <sheetName val="E"/>
      <sheetName val="E-1"/>
      <sheetName val="E-1-1"/>
      <sheetName val="E-2"/>
      <sheetName val="E-3"/>
      <sheetName val="E-4"/>
      <sheetName val="E-5"/>
      <sheetName val="E-6"/>
      <sheetName val="F"/>
      <sheetName val="G"/>
      <sheetName val="H"/>
      <sheetName val="I"/>
      <sheetName val="J"/>
      <sheetName val="J-1"/>
      <sheetName val="K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dex list"/>
      <sheetName val="A"/>
      <sheetName val="B"/>
      <sheetName val="B-1"/>
      <sheetName val="B-2"/>
      <sheetName val="B-2-1"/>
      <sheetName val="B-2-2"/>
      <sheetName val="B-2-3"/>
      <sheetName val="B-2-4"/>
      <sheetName val="B-3"/>
      <sheetName val="B-4"/>
      <sheetName val="B-5"/>
      <sheetName val="C"/>
      <sheetName val="C-1-1"/>
      <sheetName val="C-1-2"/>
      <sheetName val="C-1-3"/>
      <sheetName val="C-1-4"/>
      <sheetName val="C-2"/>
      <sheetName val="C-3"/>
      <sheetName val="C-4"/>
      <sheetName val="С-4-1"/>
      <sheetName val="C-4-2"/>
      <sheetName val="С-4-3"/>
      <sheetName val="С-5"/>
      <sheetName val="C-6"/>
      <sheetName val="С-7"/>
      <sheetName val="C-8"/>
      <sheetName val="C-9"/>
      <sheetName val="D"/>
      <sheetName val="D-1"/>
      <sheetName val="D-2"/>
      <sheetName val="D-3"/>
      <sheetName val="D-4"/>
      <sheetName val="D-4-1"/>
      <sheetName val="D-5"/>
      <sheetName val="E"/>
      <sheetName val="E-1"/>
      <sheetName val="E-2"/>
      <sheetName val="E-3"/>
      <sheetName val="F"/>
      <sheetName val="G"/>
      <sheetName val="G-1"/>
      <sheetName val="H"/>
      <sheetName val="I"/>
      <sheetName val="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tat.gov.kz/ru/industries/economy/prices/publications/281083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www.nationalbank.kz/?docid=753&amp;switch=russian" TargetMode="External"/><Relationship Id="rId2" Type="http://schemas.openxmlformats.org/officeDocument/2006/relationships/hyperlink" Target="http://pages.stern.nyu.edu/~adamodar/New_Home_Page/datafile/Betas.html" TargetMode="External"/><Relationship Id="rId3" Type="http://schemas.openxmlformats.org/officeDocument/2006/relationships/hyperlink" Target="http://nationalbank.kz/?docid=305&amp;switch=russian" TargetMode="External"/><Relationship Id="rId4" Type="http://schemas.openxmlformats.org/officeDocument/2006/relationships/hyperlink" Target="http://www.kase.kz/" TargetMode="External"/><Relationship Id="rId5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67.14"/>
    <col customWidth="1" min="2" max="2" width="21.0"/>
    <col customWidth="1" min="3" max="3" width="24.29"/>
    <col customWidth="1" min="4" max="4" width="10.14"/>
    <col customWidth="1" min="5" max="5" width="12.57"/>
    <col customWidth="1" min="6" max="7" width="12.14"/>
    <col customWidth="1" min="8" max="9" width="13.86"/>
    <col customWidth="1" min="10" max="10" width="15.14"/>
    <col customWidth="1" min="11" max="11" width="10.86"/>
    <col customWidth="1" min="12" max="13" width="15.14"/>
    <col customWidth="1" min="14" max="26" width="8.86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/>
      <c r="B5" s="4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5" t="s">
        <v>1</v>
      </c>
      <c r="B6" s="6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7" t="s">
        <v>2</v>
      </c>
      <c r="B7" s="8">
        <v>0.0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7" t="s">
        <v>3</v>
      </c>
      <c r="B8" s="8">
        <v>0.0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7" t="s">
        <v>4</v>
      </c>
      <c r="B9" s="8">
        <v>0.0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7" t="s">
        <v>5</v>
      </c>
      <c r="B10" s="8">
        <v>0.0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7"/>
      <c r="B11" s="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5" t="s">
        <v>6</v>
      </c>
      <c r="B12" s="6"/>
      <c r="C12" s="2"/>
      <c r="D12" s="2"/>
      <c r="E12" s="2"/>
      <c r="F12" s="9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0" t="s">
        <v>7</v>
      </c>
      <c r="B13" s="11">
        <f>'ОСДП'!B7</f>
        <v>0.09727176707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0" t="s">
        <v>8</v>
      </c>
      <c r="B14" s="12">
        <f>'ОСДП'!B19</f>
        <v>2605678.032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0"/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5" t="s">
        <v>9</v>
      </c>
      <c r="B16" s="1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0" t="s">
        <v>10</v>
      </c>
      <c r="B17" s="13">
        <f>'ОСДП'!B24</f>
        <v>7.39849159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4" t="s">
        <v>11</v>
      </c>
      <c r="B18" s="15">
        <f>'ОСДП'!B25</f>
        <v>9.704842217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6" t="s">
        <v>12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 t="s">
        <v>13</v>
      </c>
      <c r="B21" s="17" t="s">
        <v>14</v>
      </c>
      <c r="C21" s="18" t="s">
        <v>15</v>
      </c>
      <c r="D21" s="17" t="s">
        <v>16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 t="s">
        <v>17</v>
      </c>
      <c r="B22" s="19">
        <v>15.0</v>
      </c>
      <c r="C22" s="2" t="s">
        <v>18</v>
      </c>
      <c r="D22" s="20">
        <f t="shared" ref="D22:D23" si="1">1/B22</f>
        <v>0.06666666667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 t="s">
        <v>19</v>
      </c>
      <c r="B23" s="19">
        <v>15.0</v>
      </c>
      <c r="C23" s="2" t="s">
        <v>18</v>
      </c>
      <c r="D23" s="20">
        <f t="shared" si="1"/>
        <v>0.06666666667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19"/>
      <c r="C24" s="2"/>
      <c r="D24" s="20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6" t="s">
        <v>20</v>
      </c>
      <c r="B25" s="21">
        <v>2026.0</v>
      </c>
      <c r="C25" s="21"/>
      <c r="D25" s="21"/>
      <c r="E25" s="2"/>
      <c r="F25" s="2"/>
      <c r="G25" s="2"/>
      <c r="H25" s="2"/>
      <c r="I25" s="1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 t="s">
        <v>21</v>
      </c>
      <c r="B26" s="22">
        <v>0.16</v>
      </c>
      <c r="C26" s="23"/>
      <c r="D26" s="2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 t="s">
        <v>22</v>
      </c>
      <c r="B27" s="24">
        <v>0.2</v>
      </c>
      <c r="C27" s="24"/>
      <c r="D27" s="24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5"/>
      <c r="B28" s="2"/>
      <c r="C28" s="2"/>
      <c r="D28" s="2"/>
      <c r="E28" s="2"/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6" t="s">
        <v>23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 t="s">
        <v>24</v>
      </c>
      <c r="B30" s="26">
        <v>85000.0</v>
      </c>
      <c r="C30" s="2" t="s">
        <v>25</v>
      </c>
      <c r="D30" s="2"/>
      <c r="E30" s="2"/>
      <c r="F30" s="2"/>
      <c r="G30" s="27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 t="s">
        <v>26</v>
      </c>
      <c r="B31" s="26">
        <v>4325.0</v>
      </c>
      <c r="C31" s="2" t="s">
        <v>25</v>
      </c>
      <c r="D31" s="2"/>
      <c r="E31" s="2"/>
      <c r="F31" s="2"/>
      <c r="G31" s="2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 t="s">
        <v>27</v>
      </c>
      <c r="B32" s="28">
        <v>0.06</v>
      </c>
      <c r="C32" s="2"/>
      <c r="D32" s="2"/>
      <c r="E32" s="2"/>
      <c r="F32" s="2"/>
      <c r="G32" s="27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 t="s">
        <v>28</v>
      </c>
      <c r="B33" s="28">
        <v>0.05</v>
      </c>
      <c r="C33" s="2"/>
      <c r="D33" s="2"/>
      <c r="E33" s="2"/>
      <c r="F33" s="2"/>
      <c r="G33" s="27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 t="s">
        <v>29</v>
      </c>
      <c r="B34" s="29">
        <f>B30*B33</f>
        <v>4250</v>
      </c>
      <c r="C34" s="2" t="s">
        <v>25</v>
      </c>
      <c r="D34" s="2"/>
      <c r="E34" s="2"/>
      <c r="F34" s="2"/>
      <c r="G34" s="27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 t="s">
        <v>30</v>
      </c>
      <c r="B35" s="29">
        <f>7*B30*B33</f>
        <v>29750</v>
      </c>
      <c r="C35" s="2" t="s">
        <v>25</v>
      </c>
      <c r="D35" s="2"/>
      <c r="E35" s="2"/>
      <c r="F35" s="2"/>
      <c r="G35" s="27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 t="s">
        <v>31</v>
      </c>
      <c r="B36" s="29">
        <f>B30*B32</f>
        <v>5100</v>
      </c>
      <c r="C36" s="2" t="s">
        <v>25</v>
      </c>
      <c r="D36" s="2"/>
      <c r="E36" s="2"/>
      <c r="F36" s="2"/>
      <c r="G36" s="27"/>
      <c r="H36" s="2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 t="s">
        <v>32</v>
      </c>
      <c r="B37" s="24">
        <v>0.1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 t="s">
        <v>33</v>
      </c>
      <c r="B38" s="24">
        <v>0.1</v>
      </c>
      <c r="C38" s="2" t="s">
        <v>34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 t="s">
        <v>35</v>
      </c>
      <c r="B39" s="28">
        <v>0.015</v>
      </c>
      <c r="C39" s="2"/>
      <c r="D39" s="2"/>
      <c r="E39" s="2"/>
      <c r="F39" s="2"/>
      <c r="G39" s="2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30" t="s">
        <v>36</v>
      </c>
      <c r="B40" s="24">
        <v>0.02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30" t="s">
        <v>37</v>
      </c>
      <c r="B41" s="24">
        <v>0.03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6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 t="s">
        <v>38</v>
      </c>
      <c r="B43" s="28">
        <v>0.117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5" footer="0.0" header="0.0" left="0.75" right="0.75" top="0.5"/>
  <pageSetup paperSize="9" scale="5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82.86"/>
    <col customWidth="1" min="3" max="3" width="17.71"/>
    <col customWidth="1" min="4" max="4" width="15.71"/>
    <col customWidth="1" min="5" max="5" width="22.43"/>
    <col customWidth="1" min="6" max="6" width="18.43"/>
    <col customWidth="1" min="7" max="7" width="20.29"/>
    <col customWidth="1" min="8" max="8" width="18.0"/>
    <col customWidth="1" min="9" max="9" width="17.71"/>
    <col customWidth="1" min="10" max="10" width="14.43"/>
    <col customWidth="1" min="11" max="11" width="14.29"/>
    <col customWidth="1" min="12" max="26" width="8.86"/>
  </cols>
  <sheetData>
    <row r="1" ht="12.75" customHeight="1">
      <c r="A1" s="1" t="str">
        <f>Panel!A1</f>
        <v/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 t="str">
        <f>Panel!A2</f>
        <v>Строительство ГЭС -5 МВТ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"/>
      <c r="B3" s="2"/>
      <c r="C3" s="2"/>
      <c r="D3" s="2"/>
      <c r="E3" s="2"/>
      <c r="F3" s="2"/>
      <c r="G3" s="2"/>
      <c r="H3" s="2"/>
      <c r="I3" s="2"/>
      <c r="J3" s="31" t="s">
        <v>39</v>
      </c>
      <c r="K3" s="32">
        <f>69000*3*335</f>
        <v>69345000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" t="s">
        <v>40</v>
      </c>
      <c r="B4" s="2"/>
      <c r="C4" s="2"/>
      <c r="D4" s="2"/>
      <c r="E4" s="2"/>
      <c r="F4" s="2"/>
      <c r="G4" s="2"/>
      <c r="H4" s="2"/>
      <c r="I4" s="2"/>
      <c r="J4" s="31" t="s">
        <v>41</v>
      </c>
      <c r="K4" s="32">
        <f>15000000*6</f>
        <v>90000000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"/>
      <c r="B5" s="2"/>
      <c r="C5" s="2"/>
      <c r="D5" s="3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4" t="s">
        <v>42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35" t="s">
        <v>43</v>
      </c>
      <c r="B7" s="35" t="s">
        <v>44</v>
      </c>
      <c r="C7" s="36" t="s">
        <v>45</v>
      </c>
      <c r="D7" s="36" t="s">
        <v>46</v>
      </c>
      <c r="E7" s="37" t="s">
        <v>47</v>
      </c>
      <c r="F7" s="38"/>
      <c r="G7" s="39" t="s">
        <v>48</v>
      </c>
      <c r="H7" s="40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41"/>
      <c r="B8" s="41"/>
      <c r="C8" s="41"/>
      <c r="D8" s="41"/>
      <c r="E8" s="42" t="s">
        <v>49</v>
      </c>
      <c r="F8" s="42" t="s">
        <v>50</v>
      </c>
      <c r="G8" s="42" t="s">
        <v>49</v>
      </c>
      <c r="H8" s="42" t="s">
        <v>50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19">
        <v>1.0</v>
      </c>
      <c r="B9" s="43" t="s">
        <v>51</v>
      </c>
      <c r="C9" s="44">
        <f>'Смета'!G29*(1+Panel!$B$26)*(1+2%)</f>
        <v>107875.7516</v>
      </c>
      <c r="D9" s="45">
        <f t="shared" ref="D9:D14" si="1">C9/$C$15</f>
        <v>0.03583529907</v>
      </c>
      <c r="E9" s="44">
        <f t="shared" ref="E9:E14" si="2">C9*G9</f>
        <v>72379.94628</v>
      </c>
      <c r="F9" s="44">
        <f t="shared" ref="F9:F14" si="3">C9*H9</f>
        <v>35495.80534</v>
      </c>
      <c r="G9" s="22">
        <f>100%-H9</f>
        <v>0.6709565884</v>
      </c>
      <c r="H9" s="22">
        <v>0.3290434115747381</v>
      </c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2.0" customHeight="1">
      <c r="A10" s="19">
        <v>2.0</v>
      </c>
      <c r="B10" s="43" t="s">
        <v>52</v>
      </c>
      <c r="C10" s="44">
        <f>'Смета'!G30*(1+Panel!$B$26)*(1+2%)</f>
        <v>2363.588847</v>
      </c>
      <c r="D10" s="45">
        <f t="shared" si="1"/>
        <v>0.0007851617435</v>
      </c>
      <c r="E10" s="44">
        <f t="shared" si="2"/>
        <v>2363.588847</v>
      </c>
      <c r="F10" s="44">
        <f t="shared" si="3"/>
        <v>0</v>
      </c>
      <c r="G10" s="22">
        <v>1.0</v>
      </c>
      <c r="H10" s="22">
        <f t="shared" ref="H10:H14" si="4">100%-G10</f>
        <v>0</v>
      </c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2.0" customHeight="1">
      <c r="A11" s="19">
        <v>3.0</v>
      </c>
      <c r="B11" s="43" t="s">
        <v>53</v>
      </c>
      <c r="C11" s="44">
        <f>'A-0'!AM10</f>
        <v>969225.5422</v>
      </c>
      <c r="D11" s="45">
        <f t="shared" si="1"/>
        <v>0.3219675104</v>
      </c>
      <c r="E11" s="44">
        <f t="shared" si="2"/>
        <v>570489.2158</v>
      </c>
      <c r="F11" s="44">
        <f t="shared" si="3"/>
        <v>398736.3264</v>
      </c>
      <c r="G11" s="22">
        <v>0.588603158903</v>
      </c>
      <c r="H11" s="22">
        <f t="shared" si="4"/>
        <v>0.4113968411</v>
      </c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2.0" customHeight="1">
      <c r="A12" s="19">
        <v>4.0</v>
      </c>
      <c r="B12" s="43" t="s">
        <v>19</v>
      </c>
      <c r="C12" s="44">
        <f>'A-0'!AM11</f>
        <v>1883220.537</v>
      </c>
      <c r="D12" s="45">
        <f t="shared" si="1"/>
        <v>0.6255879579</v>
      </c>
      <c r="E12" s="44">
        <f t="shared" si="2"/>
        <v>0</v>
      </c>
      <c r="F12" s="44">
        <f t="shared" si="3"/>
        <v>1883220.537</v>
      </c>
      <c r="G12" s="22">
        <v>0.0</v>
      </c>
      <c r="H12" s="22">
        <f t="shared" si="4"/>
        <v>1</v>
      </c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2.0" customHeight="1">
      <c r="A13" s="19">
        <v>5.0</v>
      </c>
      <c r="B13" s="43" t="s">
        <v>54</v>
      </c>
      <c r="C13" s="44">
        <f>'A-0'!AM12</f>
        <v>41930.678</v>
      </c>
      <c r="D13" s="45">
        <f t="shared" si="1"/>
        <v>0.01392897258</v>
      </c>
      <c r="E13" s="44">
        <f t="shared" si="2"/>
        <v>8386.135601</v>
      </c>
      <c r="F13" s="44">
        <f t="shared" si="3"/>
        <v>33544.5424</v>
      </c>
      <c r="G13" s="22">
        <v>0.2</v>
      </c>
      <c r="H13" s="22">
        <f t="shared" si="4"/>
        <v>0.8</v>
      </c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2.0" customHeight="1">
      <c r="A14" s="19">
        <v>6.0</v>
      </c>
      <c r="B14" s="43" t="s">
        <v>55</v>
      </c>
      <c r="C14" s="44">
        <f>'A-0'!AM13</f>
        <v>5704.85415</v>
      </c>
      <c r="D14" s="45">
        <f t="shared" si="1"/>
        <v>0.001895098311</v>
      </c>
      <c r="E14" s="44">
        <f t="shared" si="2"/>
        <v>1140.97083</v>
      </c>
      <c r="F14" s="44">
        <f t="shared" si="3"/>
        <v>4563.88332</v>
      </c>
      <c r="G14" s="22">
        <v>0.2</v>
      </c>
      <c r="H14" s="22">
        <f t="shared" si="4"/>
        <v>0.8</v>
      </c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3.5" customHeight="1">
      <c r="A15" s="47"/>
      <c r="B15" s="48" t="s">
        <v>56</v>
      </c>
      <c r="C15" s="49">
        <f t="shared" ref="C15:F15" si="5">SUM(C9:C14)</f>
        <v>3010320.952</v>
      </c>
      <c r="D15" s="50">
        <f t="shared" si="5"/>
        <v>1</v>
      </c>
      <c r="E15" s="49">
        <f t="shared" si="5"/>
        <v>654759.8574</v>
      </c>
      <c r="F15" s="49">
        <f t="shared" si="5"/>
        <v>2355561.094</v>
      </c>
      <c r="G15" s="51"/>
      <c r="H15" s="5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2"/>
      <c r="C16" s="2"/>
      <c r="D16" s="2"/>
      <c r="E16" s="5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1"/>
      <c r="C17" s="53"/>
      <c r="D17" s="24"/>
      <c r="E17" s="2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6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6">
        <f>F15-750000</f>
        <v>1605561.094</v>
      </c>
      <c r="G19" s="24">
        <v>0.6702332551879954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6">
        <v>750000.0</v>
      </c>
      <c r="G20" s="24">
        <v>0.32976674481200463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6"/>
      <c r="D21" s="2"/>
      <c r="E21" s="5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5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5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5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7:A8"/>
    <mergeCell ref="B7:B8"/>
    <mergeCell ref="C7:C8"/>
    <mergeCell ref="D7:D8"/>
    <mergeCell ref="E7:F7"/>
    <mergeCell ref="G7:H7"/>
  </mergeCells>
  <printOptions/>
  <pageMargins bottom="1.0" footer="0.0" header="0.0" left="0.75" right="0.75" top="1.0"/>
  <pageSetup paperSize="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 outlineLevelCol="1"/>
  <cols>
    <col customWidth="1" min="1" max="1" width="9.29"/>
    <col customWidth="1" min="2" max="2" width="34.29"/>
    <col customWidth="1" min="3" max="9" width="5.57" outlineLevel="1"/>
    <col customWidth="1" min="10" max="13" width="12.29" outlineLevel="1"/>
    <col customWidth="1" min="14" max="14" width="9.57" outlineLevel="1"/>
    <col customWidth="1" min="15" max="21" width="12.29" outlineLevel="1"/>
    <col customWidth="1" min="22" max="38" width="9.57" outlineLevel="1"/>
    <col customWidth="1" min="39" max="39" width="18.43"/>
    <col customWidth="1" min="40" max="40" width="9.14"/>
    <col customWidth="1" min="41" max="41" width="20.0"/>
  </cols>
  <sheetData>
    <row r="1" ht="12.75" customHeight="1">
      <c r="A1" s="1" t="str">
        <f>Panel!A1</f>
        <v/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6">
        <f>SUM(V11:AG11)</f>
        <v>784675.2237</v>
      </c>
      <c r="W1" s="26">
        <f>SUM(AH11:AL11)</f>
        <v>0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2.75" customHeight="1">
      <c r="A2" s="1" t="str">
        <f>Panel!A2</f>
        <v>Строительство ГЭС -5 МВТ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6"/>
      <c r="W2" s="26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6"/>
      <c r="W3" s="26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ht="12.75" customHeight="1">
      <c r="A4" s="1" t="s">
        <v>57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6"/>
      <c r="W4" s="26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18"/>
      <c r="AN5" s="2"/>
      <c r="AO5" s="2"/>
    </row>
    <row r="6" ht="12.75" customHeight="1">
      <c r="A6" s="34" t="s">
        <v>42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18"/>
      <c r="AN6" s="2"/>
      <c r="AO6" s="2"/>
    </row>
    <row r="7" ht="12.75" customHeight="1">
      <c r="A7" s="55" t="s">
        <v>43</v>
      </c>
      <c r="B7" s="55" t="s">
        <v>58</v>
      </c>
      <c r="C7" s="37">
        <v>2018.0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7"/>
      <c r="O7" s="37">
        <v>2026.0</v>
      </c>
      <c r="P7" s="56"/>
      <c r="Q7" s="56"/>
      <c r="R7" s="56"/>
      <c r="S7" s="56"/>
      <c r="T7" s="56"/>
      <c r="U7" s="56"/>
      <c r="V7" s="56"/>
      <c r="W7" s="56"/>
      <c r="X7" s="56"/>
      <c r="Y7" s="56"/>
      <c r="Z7" s="57"/>
      <c r="AA7" s="37">
        <v>2027.0</v>
      </c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7"/>
      <c r="AM7" s="36" t="s">
        <v>56</v>
      </c>
      <c r="AN7" s="2"/>
      <c r="AO7" s="2"/>
    </row>
    <row r="8" ht="12.75" customHeight="1">
      <c r="A8" s="58"/>
      <c r="B8" s="58"/>
      <c r="C8" s="59" t="s">
        <v>59</v>
      </c>
      <c r="D8" s="59" t="s">
        <v>60</v>
      </c>
      <c r="E8" s="59" t="s">
        <v>61</v>
      </c>
      <c r="F8" s="59" t="s">
        <v>62</v>
      </c>
      <c r="G8" s="59" t="s">
        <v>63</v>
      </c>
      <c r="H8" s="59" t="s">
        <v>64</v>
      </c>
      <c r="I8" s="59" t="s">
        <v>65</v>
      </c>
      <c r="J8" s="59" t="s">
        <v>66</v>
      </c>
      <c r="K8" s="59" t="s">
        <v>67</v>
      </c>
      <c r="L8" s="59" t="s">
        <v>68</v>
      </c>
      <c r="M8" s="59" t="s">
        <v>69</v>
      </c>
      <c r="N8" s="59" t="s">
        <v>70</v>
      </c>
      <c r="O8" s="59" t="s">
        <v>59</v>
      </c>
      <c r="P8" s="59" t="s">
        <v>60</v>
      </c>
      <c r="Q8" s="59" t="s">
        <v>61</v>
      </c>
      <c r="R8" s="59" t="s">
        <v>62</v>
      </c>
      <c r="S8" s="59" t="s">
        <v>63</v>
      </c>
      <c r="T8" s="59" t="s">
        <v>64</v>
      </c>
      <c r="U8" s="59" t="s">
        <v>65</v>
      </c>
      <c r="V8" s="59" t="s">
        <v>66</v>
      </c>
      <c r="W8" s="59" t="s">
        <v>67</v>
      </c>
      <c r="X8" s="59" t="s">
        <v>68</v>
      </c>
      <c r="Y8" s="59" t="s">
        <v>69</v>
      </c>
      <c r="Z8" s="59" t="s">
        <v>70</v>
      </c>
      <c r="AA8" s="59" t="s">
        <v>59</v>
      </c>
      <c r="AB8" s="59" t="s">
        <v>60</v>
      </c>
      <c r="AC8" s="59" t="s">
        <v>61</v>
      </c>
      <c r="AD8" s="59" t="s">
        <v>62</v>
      </c>
      <c r="AE8" s="59" t="s">
        <v>63</v>
      </c>
      <c r="AF8" s="59" t="s">
        <v>64</v>
      </c>
      <c r="AG8" s="59" t="s">
        <v>65</v>
      </c>
      <c r="AH8" s="59" t="s">
        <v>66</v>
      </c>
      <c r="AI8" s="59" t="s">
        <v>67</v>
      </c>
      <c r="AJ8" s="59" t="s">
        <v>68</v>
      </c>
      <c r="AK8" s="59" t="s">
        <v>69</v>
      </c>
      <c r="AL8" s="59" t="s">
        <v>70</v>
      </c>
      <c r="AM8" s="60"/>
      <c r="AN8" s="2"/>
      <c r="AO8" s="2"/>
    </row>
    <row r="9" ht="12.75" customHeight="1">
      <c r="A9" s="61">
        <v>1.0</v>
      </c>
      <c r="B9" s="62" t="s">
        <v>51</v>
      </c>
      <c r="C9" s="63"/>
      <c r="D9" s="63"/>
      <c r="E9" s="63"/>
      <c r="F9" s="63"/>
      <c r="G9" s="63"/>
      <c r="H9" s="63"/>
      <c r="I9" s="63" t="str">
        <f t="shared" ref="I9:I10" si="1">H9</f>
        <v/>
      </c>
      <c r="J9" s="63"/>
      <c r="K9" s="63"/>
      <c r="L9" s="63"/>
      <c r="M9" s="63"/>
      <c r="N9" s="63"/>
      <c r="O9" s="63">
        <f>'Инвестиции'!F9</f>
        <v>35495.80534</v>
      </c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>
        <f t="shared" ref="AM9:AM13" si="3">SUM(C9:AL9)</f>
        <v>35495.80534</v>
      </c>
      <c r="AN9" s="2"/>
      <c r="AO9" s="64"/>
    </row>
    <row r="10" ht="12.75" customHeight="1">
      <c r="A10" s="61">
        <v>2.0</v>
      </c>
      <c r="B10" s="62" t="str">
        <f>'Инвестиции'!B11</f>
        <v>Cтроительно-монтажные работы</v>
      </c>
      <c r="C10" s="63"/>
      <c r="D10" s="63"/>
      <c r="E10" s="63"/>
      <c r="F10" s="63"/>
      <c r="G10" s="63"/>
      <c r="H10" s="63"/>
      <c r="I10" s="63" t="str">
        <f t="shared" si="1"/>
        <v/>
      </c>
      <c r="J10" s="63"/>
      <c r="K10" s="63"/>
      <c r="L10" s="63"/>
      <c r="M10" s="63"/>
      <c r="N10" s="63"/>
      <c r="O10" s="63">
        <f>(('Смета'!D27)/12)*(1+Panel!$B$26)*(1+2.002%)*(1+Panel!$B$9)</f>
        <v>80768.79518</v>
      </c>
      <c r="P10" s="63">
        <f t="shared" ref="P10:Z10" si="2">O10</f>
        <v>80768.79518</v>
      </c>
      <c r="Q10" s="63">
        <f t="shared" si="2"/>
        <v>80768.79518</v>
      </c>
      <c r="R10" s="63">
        <f t="shared" si="2"/>
        <v>80768.79518</v>
      </c>
      <c r="S10" s="63">
        <f t="shared" si="2"/>
        <v>80768.79518</v>
      </c>
      <c r="T10" s="63">
        <f t="shared" si="2"/>
        <v>80768.79518</v>
      </c>
      <c r="U10" s="63">
        <f t="shared" si="2"/>
        <v>80768.79518</v>
      </c>
      <c r="V10" s="63">
        <f t="shared" si="2"/>
        <v>80768.79518</v>
      </c>
      <c r="W10" s="63">
        <f t="shared" si="2"/>
        <v>80768.79518</v>
      </c>
      <c r="X10" s="63">
        <f t="shared" si="2"/>
        <v>80768.79518</v>
      </c>
      <c r="Y10" s="63">
        <f t="shared" si="2"/>
        <v>80768.79518</v>
      </c>
      <c r="Z10" s="63">
        <f t="shared" si="2"/>
        <v>80768.79518</v>
      </c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>
        <f t="shared" si="3"/>
        <v>969225.5422</v>
      </c>
      <c r="AN10" s="2"/>
      <c r="AO10" s="64"/>
    </row>
    <row r="11" ht="12.75" customHeight="1">
      <c r="A11" s="61">
        <v>3.0</v>
      </c>
      <c r="B11" s="62" t="str">
        <f>'Инвестиции'!B12</f>
        <v>Производственное оборудование</v>
      </c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>
        <f>(('Смета'!E27)/12)*(1+Panel!$B$26)*(1+2%)*(1+Panel!$B$10)</f>
        <v>156935.0447</v>
      </c>
      <c r="P11" s="63">
        <f t="shared" ref="P11:Z11" si="4">O11</f>
        <v>156935.0447</v>
      </c>
      <c r="Q11" s="63">
        <f t="shared" si="4"/>
        <v>156935.0447</v>
      </c>
      <c r="R11" s="63">
        <f t="shared" si="4"/>
        <v>156935.0447</v>
      </c>
      <c r="S11" s="63">
        <f t="shared" si="4"/>
        <v>156935.0447</v>
      </c>
      <c r="T11" s="63">
        <f t="shared" si="4"/>
        <v>156935.0447</v>
      </c>
      <c r="U11" s="63">
        <f t="shared" si="4"/>
        <v>156935.0447</v>
      </c>
      <c r="V11" s="63">
        <f t="shared" si="4"/>
        <v>156935.0447</v>
      </c>
      <c r="W11" s="63">
        <f t="shared" si="4"/>
        <v>156935.0447</v>
      </c>
      <c r="X11" s="63">
        <f t="shared" si="4"/>
        <v>156935.0447</v>
      </c>
      <c r="Y11" s="63">
        <f t="shared" si="4"/>
        <v>156935.0447</v>
      </c>
      <c r="Z11" s="63">
        <f t="shared" si="4"/>
        <v>156935.0447</v>
      </c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>
        <f t="shared" si="3"/>
        <v>1883220.537</v>
      </c>
      <c r="AN11" s="2"/>
      <c r="AO11" s="64"/>
    </row>
    <row r="12" ht="12.75" customHeight="1">
      <c r="A12" s="61">
        <v>4.0</v>
      </c>
      <c r="B12" s="62" t="str">
        <f>'Инвестиции'!B13</f>
        <v>Технический надзор</v>
      </c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>
        <f>(('Смета'!G32)/12)*(1+Panel!$B$26)*(1+2%)*(1+Panel!$B$9)</f>
        <v>3494.223167</v>
      </c>
      <c r="P12" s="63">
        <f t="shared" ref="P12:Z12" si="5">O12</f>
        <v>3494.223167</v>
      </c>
      <c r="Q12" s="63">
        <f t="shared" si="5"/>
        <v>3494.223167</v>
      </c>
      <c r="R12" s="63">
        <f t="shared" si="5"/>
        <v>3494.223167</v>
      </c>
      <c r="S12" s="63">
        <f t="shared" si="5"/>
        <v>3494.223167</v>
      </c>
      <c r="T12" s="63">
        <f t="shared" si="5"/>
        <v>3494.223167</v>
      </c>
      <c r="U12" s="63">
        <f t="shared" si="5"/>
        <v>3494.223167</v>
      </c>
      <c r="V12" s="63">
        <f t="shared" si="5"/>
        <v>3494.223167</v>
      </c>
      <c r="W12" s="63">
        <f t="shared" si="5"/>
        <v>3494.223167</v>
      </c>
      <c r="X12" s="63">
        <f t="shared" si="5"/>
        <v>3494.223167</v>
      </c>
      <c r="Y12" s="63">
        <f t="shared" si="5"/>
        <v>3494.223167</v>
      </c>
      <c r="Z12" s="63">
        <f t="shared" si="5"/>
        <v>3494.223167</v>
      </c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>
        <f t="shared" si="3"/>
        <v>41930.678</v>
      </c>
      <c r="AN12" s="2"/>
      <c r="AO12" s="2"/>
    </row>
    <row r="13" ht="12.75" customHeight="1">
      <c r="A13" s="61">
        <v>5.0</v>
      </c>
      <c r="B13" s="62" t="str">
        <f>'Инвестиции'!B14</f>
        <v>Авторский надзор</v>
      </c>
      <c r="C13" s="63"/>
      <c r="D13" s="63"/>
      <c r="E13" s="63"/>
      <c r="F13" s="63"/>
      <c r="G13" s="63"/>
      <c r="H13" s="63"/>
      <c r="I13" s="63" t="str">
        <f>H13</f>
        <v/>
      </c>
      <c r="J13" s="63"/>
      <c r="K13" s="63"/>
      <c r="L13" s="63"/>
      <c r="M13" s="63"/>
      <c r="N13" s="63"/>
      <c r="O13" s="63">
        <f>(('Смета'!G34)/12)*(1+Panel!$B$26)*(1+2%)*(1+Panel!$B$9)</f>
        <v>475.4045125</v>
      </c>
      <c r="P13" s="63">
        <f t="shared" ref="P13:Z13" si="6">O13</f>
        <v>475.4045125</v>
      </c>
      <c r="Q13" s="63">
        <f t="shared" si="6"/>
        <v>475.4045125</v>
      </c>
      <c r="R13" s="63">
        <f t="shared" si="6"/>
        <v>475.4045125</v>
      </c>
      <c r="S13" s="63">
        <f t="shared" si="6"/>
        <v>475.4045125</v>
      </c>
      <c r="T13" s="63">
        <f t="shared" si="6"/>
        <v>475.4045125</v>
      </c>
      <c r="U13" s="63">
        <f t="shared" si="6"/>
        <v>475.4045125</v>
      </c>
      <c r="V13" s="63">
        <f t="shared" si="6"/>
        <v>475.4045125</v>
      </c>
      <c r="W13" s="63">
        <f t="shared" si="6"/>
        <v>475.4045125</v>
      </c>
      <c r="X13" s="63">
        <f t="shared" si="6"/>
        <v>475.4045125</v>
      </c>
      <c r="Y13" s="63">
        <f t="shared" si="6"/>
        <v>475.4045125</v>
      </c>
      <c r="Z13" s="63">
        <f t="shared" si="6"/>
        <v>475.4045125</v>
      </c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>
        <f t="shared" si="3"/>
        <v>5704.85415</v>
      </c>
      <c r="AN13" s="2"/>
      <c r="AO13" s="2"/>
    </row>
    <row r="14" ht="12.75" customHeight="1">
      <c r="A14" s="65"/>
      <c r="B14" s="66" t="s">
        <v>71</v>
      </c>
      <c r="C14" s="67">
        <f t="shared" ref="C14:AM14" si="7">SUM(C10:C13)</f>
        <v>0</v>
      </c>
      <c r="D14" s="67">
        <f t="shared" si="7"/>
        <v>0</v>
      </c>
      <c r="E14" s="67">
        <f t="shared" si="7"/>
        <v>0</v>
      </c>
      <c r="F14" s="67">
        <f t="shared" si="7"/>
        <v>0</v>
      </c>
      <c r="G14" s="67">
        <f t="shared" si="7"/>
        <v>0</v>
      </c>
      <c r="H14" s="67">
        <f t="shared" si="7"/>
        <v>0</v>
      </c>
      <c r="I14" s="67">
        <f t="shared" si="7"/>
        <v>0</v>
      </c>
      <c r="J14" s="67">
        <f t="shared" si="7"/>
        <v>0</v>
      </c>
      <c r="K14" s="67">
        <f t="shared" si="7"/>
        <v>0</v>
      </c>
      <c r="L14" s="67">
        <f t="shared" si="7"/>
        <v>0</v>
      </c>
      <c r="M14" s="67">
        <f t="shared" si="7"/>
        <v>0</v>
      </c>
      <c r="N14" s="67">
        <f t="shared" si="7"/>
        <v>0</v>
      </c>
      <c r="O14" s="67">
        <f t="shared" si="7"/>
        <v>241673.4676</v>
      </c>
      <c r="P14" s="67">
        <f t="shared" si="7"/>
        <v>241673.4676</v>
      </c>
      <c r="Q14" s="67">
        <f t="shared" si="7"/>
        <v>241673.4676</v>
      </c>
      <c r="R14" s="67">
        <f t="shared" si="7"/>
        <v>241673.4676</v>
      </c>
      <c r="S14" s="67">
        <f t="shared" si="7"/>
        <v>241673.4676</v>
      </c>
      <c r="T14" s="67">
        <f t="shared" si="7"/>
        <v>241673.4676</v>
      </c>
      <c r="U14" s="67">
        <f t="shared" si="7"/>
        <v>241673.4676</v>
      </c>
      <c r="V14" s="67">
        <f t="shared" si="7"/>
        <v>241673.4676</v>
      </c>
      <c r="W14" s="67">
        <f t="shared" si="7"/>
        <v>241673.4676</v>
      </c>
      <c r="X14" s="67">
        <f t="shared" si="7"/>
        <v>241673.4676</v>
      </c>
      <c r="Y14" s="67">
        <f t="shared" si="7"/>
        <v>241673.4676</v>
      </c>
      <c r="Z14" s="67">
        <f t="shared" si="7"/>
        <v>241673.4676</v>
      </c>
      <c r="AA14" s="67">
        <f t="shared" si="7"/>
        <v>0</v>
      </c>
      <c r="AB14" s="67">
        <f t="shared" si="7"/>
        <v>0</v>
      </c>
      <c r="AC14" s="67">
        <f t="shared" si="7"/>
        <v>0</v>
      </c>
      <c r="AD14" s="67">
        <f t="shared" si="7"/>
        <v>0</v>
      </c>
      <c r="AE14" s="67">
        <f t="shared" si="7"/>
        <v>0</v>
      </c>
      <c r="AF14" s="67">
        <f t="shared" si="7"/>
        <v>0</v>
      </c>
      <c r="AG14" s="67">
        <f t="shared" si="7"/>
        <v>0</v>
      </c>
      <c r="AH14" s="67">
        <f t="shared" si="7"/>
        <v>0</v>
      </c>
      <c r="AI14" s="67">
        <f t="shared" si="7"/>
        <v>0</v>
      </c>
      <c r="AJ14" s="67">
        <f t="shared" si="7"/>
        <v>0</v>
      </c>
      <c r="AK14" s="67">
        <f t="shared" si="7"/>
        <v>0</v>
      </c>
      <c r="AL14" s="67">
        <f t="shared" si="7"/>
        <v>0</v>
      </c>
      <c r="AM14" s="67">
        <f t="shared" si="7"/>
        <v>2900081.611</v>
      </c>
      <c r="AN14" s="2"/>
      <c r="AO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ht="12.75" customHeight="1">
      <c r="A16" s="2"/>
      <c r="B16" s="68" t="s">
        <v>49</v>
      </c>
      <c r="C16" s="69">
        <f t="shared" ref="C16:AL16" si="8">SUM(C17:C21)</f>
        <v>0</v>
      </c>
      <c r="D16" s="69">
        <f t="shared" si="8"/>
        <v>0</v>
      </c>
      <c r="E16" s="69">
        <f t="shared" si="8"/>
        <v>0</v>
      </c>
      <c r="F16" s="69">
        <f t="shared" si="8"/>
        <v>0</v>
      </c>
      <c r="G16" s="69">
        <f t="shared" si="8"/>
        <v>0</v>
      </c>
      <c r="H16" s="69">
        <f t="shared" si="8"/>
        <v>0</v>
      </c>
      <c r="I16" s="69">
        <f t="shared" si="8"/>
        <v>0</v>
      </c>
      <c r="J16" s="69">
        <f t="shared" si="8"/>
        <v>0</v>
      </c>
      <c r="K16" s="69">
        <f t="shared" si="8"/>
        <v>0</v>
      </c>
      <c r="L16" s="69">
        <f t="shared" si="8"/>
        <v>0</v>
      </c>
      <c r="M16" s="69">
        <f t="shared" si="8"/>
        <v>0</v>
      </c>
      <c r="N16" s="69">
        <f t="shared" si="8"/>
        <v>0</v>
      </c>
      <c r="O16" s="69">
        <f t="shared" si="8"/>
        <v>48334.69352</v>
      </c>
      <c r="P16" s="69">
        <f t="shared" si="8"/>
        <v>48334.69352</v>
      </c>
      <c r="Q16" s="69">
        <f t="shared" si="8"/>
        <v>48334.69352</v>
      </c>
      <c r="R16" s="69">
        <f t="shared" si="8"/>
        <v>48334.69352</v>
      </c>
      <c r="S16" s="69">
        <f t="shared" si="8"/>
        <v>48334.69352</v>
      </c>
      <c r="T16" s="69">
        <f t="shared" si="8"/>
        <v>48334.69352</v>
      </c>
      <c r="U16" s="69">
        <f t="shared" si="8"/>
        <v>48334.69352</v>
      </c>
      <c r="V16" s="69">
        <f t="shared" si="8"/>
        <v>48334.69352</v>
      </c>
      <c r="W16" s="69">
        <f t="shared" si="8"/>
        <v>48334.69352</v>
      </c>
      <c r="X16" s="69">
        <f t="shared" si="8"/>
        <v>48334.69352</v>
      </c>
      <c r="Y16" s="69">
        <f t="shared" si="8"/>
        <v>48334.69352</v>
      </c>
      <c r="Z16" s="69">
        <f t="shared" si="8"/>
        <v>48334.69352</v>
      </c>
      <c r="AA16" s="69">
        <f t="shared" si="8"/>
        <v>0</v>
      </c>
      <c r="AB16" s="69">
        <f t="shared" si="8"/>
        <v>0</v>
      </c>
      <c r="AC16" s="69">
        <f t="shared" si="8"/>
        <v>0</v>
      </c>
      <c r="AD16" s="69">
        <f t="shared" si="8"/>
        <v>0</v>
      </c>
      <c r="AE16" s="69">
        <f t="shared" si="8"/>
        <v>0</v>
      </c>
      <c r="AF16" s="69">
        <f t="shared" si="8"/>
        <v>0</v>
      </c>
      <c r="AG16" s="69">
        <f t="shared" si="8"/>
        <v>0</v>
      </c>
      <c r="AH16" s="69">
        <f t="shared" si="8"/>
        <v>0</v>
      </c>
      <c r="AI16" s="69">
        <f t="shared" si="8"/>
        <v>0</v>
      </c>
      <c r="AJ16" s="69">
        <f t="shared" si="8"/>
        <v>0</v>
      </c>
      <c r="AK16" s="69">
        <f t="shared" si="8"/>
        <v>0</v>
      </c>
      <c r="AL16" s="69">
        <f t="shared" si="8"/>
        <v>0</v>
      </c>
      <c r="AM16" s="69">
        <f t="shared" ref="AM16:AM27" si="9">SUM(E16:AL16)</f>
        <v>580016.3223</v>
      </c>
      <c r="AN16" s="2"/>
      <c r="AO16" s="2"/>
    </row>
    <row r="17" ht="12.75" customHeight="1">
      <c r="A17" s="2"/>
      <c r="B17" s="2" t="s">
        <v>51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>
        <f t="shared" si="9"/>
        <v>0</v>
      </c>
      <c r="AN17" s="2"/>
      <c r="AO17" s="2"/>
    </row>
    <row r="18" ht="12.75" customHeight="1">
      <c r="A18" s="2"/>
      <c r="B18" s="2" t="s">
        <v>53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>
        <f>O10*'Инвестиции'!$G$11</f>
        <v>47540.76799</v>
      </c>
      <c r="P18" s="26">
        <f>P10*'Инвестиции'!$G$11</f>
        <v>47540.76799</v>
      </c>
      <c r="Q18" s="26">
        <f>Q10*'Инвестиции'!$G$11</f>
        <v>47540.76799</v>
      </c>
      <c r="R18" s="26">
        <f>R10*'Инвестиции'!$G$11</f>
        <v>47540.76799</v>
      </c>
      <c r="S18" s="26">
        <f>S10*'Инвестиции'!$G$11</f>
        <v>47540.76799</v>
      </c>
      <c r="T18" s="26">
        <f>T10*'Инвестиции'!$G$11</f>
        <v>47540.76799</v>
      </c>
      <c r="U18" s="26">
        <f>U10*'Инвестиции'!$G$11</f>
        <v>47540.76799</v>
      </c>
      <c r="V18" s="26">
        <f>V10*'Инвестиции'!$G$11</f>
        <v>47540.76799</v>
      </c>
      <c r="W18" s="26">
        <f>W10*'Инвестиции'!$G$11</f>
        <v>47540.76799</v>
      </c>
      <c r="X18" s="26">
        <f>X10*'Инвестиции'!$G$11</f>
        <v>47540.76799</v>
      </c>
      <c r="Y18" s="26">
        <f>Y10*'Инвестиции'!$G$11</f>
        <v>47540.76799</v>
      </c>
      <c r="Z18" s="26">
        <f>Z10*'Инвестиции'!$G$11</f>
        <v>47540.76799</v>
      </c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>
        <f t="shared" si="9"/>
        <v>570489.2158</v>
      </c>
      <c r="AN18" s="2"/>
      <c r="AO18" s="2"/>
    </row>
    <row r="19" ht="12.75" customHeight="1">
      <c r="A19" s="2"/>
      <c r="B19" s="2" t="s">
        <v>19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>
        <f>O11*'Инвестиции'!$G$12</f>
        <v>0</v>
      </c>
      <c r="P19" s="26">
        <f>P11*'Инвестиции'!$G$12</f>
        <v>0</v>
      </c>
      <c r="Q19" s="26">
        <f>Q11*'Инвестиции'!$G$12</f>
        <v>0</v>
      </c>
      <c r="R19" s="26">
        <f>R11*'Инвестиции'!$G$12</f>
        <v>0</v>
      </c>
      <c r="S19" s="26">
        <f>S11*'Инвестиции'!$G$12</f>
        <v>0</v>
      </c>
      <c r="T19" s="26">
        <f>T11*'Инвестиции'!$G$12</f>
        <v>0</v>
      </c>
      <c r="U19" s="26">
        <f>U11*'Инвестиции'!$G$12</f>
        <v>0</v>
      </c>
      <c r="V19" s="26">
        <f>V11*'Инвестиции'!$G$12</f>
        <v>0</v>
      </c>
      <c r="W19" s="26">
        <f>W11*'Инвестиции'!$G$12</f>
        <v>0</v>
      </c>
      <c r="X19" s="26">
        <f>X11*'Инвестиции'!$G$12</f>
        <v>0</v>
      </c>
      <c r="Y19" s="26">
        <f>Y11*'Инвестиции'!$G$12</f>
        <v>0</v>
      </c>
      <c r="Z19" s="26">
        <f>Z11*'Инвестиции'!$G$12</f>
        <v>0</v>
      </c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>
        <f t="shared" si="9"/>
        <v>0</v>
      </c>
      <c r="AN19" s="2"/>
      <c r="AO19" s="2"/>
    </row>
    <row r="20" ht="12.75" customHeight="1">
      <c r="A20" s="2"/>
      <c r="B20" s="2" t="s">
        <v>54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>
        <f>O12*'Инвестиции'!$G$13</f>
        <v>698.8446334</v>
      </c>
      <c r="P20" s="26">
        <f>P12*'Инвестиции'!$G$13</f>
        <v>698.8446334</v>
      </c>
      <c r="Q20" s="26">
        <f>Q12*'Инвестиции'!$G$13</f>
        <v>698.8446334</v>
      </c>
      <c r="R20" s="26">
        <f>R12*'Инвестиции'!$G$13</f>
        <v>698.8446334</v>
      </c>
      <c r="S20" s="26">
        <f>S12*'Инвестиции'!$G$13</f>
        <v>698.8446334</v>
      </c>
      <c r="T20" s="26">
        <f>T12*'Инвестиции'!$G$13</f>
        <v>698.8446334</v>
      </c>
      <c r="U20" s="26">
        <f>U12*'Инвестиции'!$G$13</f>
        <v>698.8446334</v>
      </c>
      <c r="V20" s="26">
        <f>V12*'Инвестиции'!$G$13</f>
        <v>698.8446334</v>
      </c>
      <c r="W20" s="26">
        <f>W12*'Инвестиции'!$G$13</f>
        <v>698.8446334</v>
      </c>
      <c r="X20" s="26">
        <f>X12*'Инвестиции'!$G$13</f>
        <v>698.8446334</v>
      </c>
      <c r="Y20" s="26">
        <f>Y12*'Инвестиции'!$G$13</f>
        <v>698.8446334</v>
      </c>
      <c r="Z20" s="26">
        <f>Z12*'Инвестиции'!$G$13</f>
        <v>698.8446334</v>
      </c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>
        <f t="shared" si="9"/>
        <v>8386.135601</v>
      </c>
      <c r="AN20" s="2"/>
      <c r="AO20" s="2"/>
    </row>
    <row r="21" ht="12.75" customHeight="1">
      <c r="A21" s="2"/>
      <c r="B21" s="2" t="s">
        <v>55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>
        <f>O13*'Инвестиции'!$G$14</f>
        <v>95.0809025</v>
      </c>
      <c r="P21" s="26">
        <f>P13*'Инвестиции'!$G$14</f>
        <v>95.0809025</v>
      </c>
      <c r="Q21" s="26">
        <f>Q13*'Инвестиции'!$G$14</f>
        <v>95.0809025</v>
      </c>
      <c r="R21" s="26">
        <f>R13*'Инвестиции'!$G$14</f>
        <v>95.0809025</v>
      </c>
      <c r="S21" s="26">
        <f>S13*'Инвестиции'!$G$14</f>
        <v>95.0809025</v>
      </c>
      <c r="T21" s="26">
        <f>T13*'Инвестиции'!$G$14</f>
        <v>95.0809025</v>
      </c>
      <c r="U21" s="26">
        <f>U13*'Инвестиции'!$G$14</f>
        <v>95.0809025</v>
      </c>
      <c r="V21" s="26">
        <f>V13*'Инвестиции'!$G$14</f>
        <v>95.0809025</v>
      </c>
      <c r="W21" s="26">
        <f>W13*'Инвестиции'!$G$14</f>
        <v>95.0809025</v>
      </c>
      <c r="X21" s="26">
        <f>X13*'Инвестиции'!$G$14</f>
        <v>95.0809025</v>
      </c>
      <c r="Y21" s="26">
        <f>Y13*'Инвестиции'!$G$14</f>
        <v>95.0809025</v>
      </c>
      <c r="Z21" s="26">
        <f>Z13*'Инвестиции'!$G$14</f>
        <v>95.0809025</v>
      </c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>
        <f t="shared" si="9"/>
        <v>1140.97083</v>
      </c>
      <c r="AN21" s="2"/>
      <c r="AO21" s="2"/>
    </row>
    <row r="22" ht="12.75" customHeight="1">
      <c r="A22" s="2"/>
      <c r="B22" s="68" t="s">
        <v>50</v>
      </c>
      <c r="C22" s="69">
        <f t="shared" ref="C22:AL22" si="10">SUM(C23:C27)</f>
        <v>0</v>
      </c>
      <c r="D22" s="69">
        <f t="shared" si="10"/>
        <v>0</v>
      </c>
      <c r="E22" s="69">
        <f t="shared" si="10"/>
        <v>0</v>
      </c>
      <c r="F22" s="69">
        <f t="shared" si="10"/>
        <v>0</v>
      </c>
      <c r="G22" s="69">
        <f t="shared" si="10"/>
        <v>0</v>
      </c>
      <c r="H22" s="69">
        <f t="shared" si="10"/>
        <v>0</v>
      </c>
      <c r="I22" s="69">
        <f t="shared" si="10"/>
        <v>0</v>
      </c>
      <c r="J22" s="69">
        <f t="shared" si="10"/>
        <v>0</v>
      </c>
      <c r="K22" s="69">
        <f t="shared" si="10"/>
        <v>0</v>
      </c>
      <c r="L22" s="69">
        <f t="shared" si="10"/>
        <v>0</v>
      </c>
      <c r="M22" s="69">
        <f t="shared" si="10"/>
        <v>0</v>
      </c>
      <c r="N22" s="69">
        <f t="shared" si="10"/>
        <v>0</v>
      </c>
      <c r="O22" s="69">
        <f t="shared" si="10"/>
        <v>228834.5794</v>
      </c>
      <c r="P22" s="69">
        <f t="shared" si="10"/>
        <v>193338.7741</v>
      </c>
      <c r="Q22" s="69">
        <f t="shared" si="10"/>
        <v>193338.7741</v>
      </c>
      <c r="R22" s="69">
        <f t="shared" si="10"/>
        <v>193338.7741</v>
      </c>
      <c r="S22" s="69">
        <f t="shared" si="10"/>
        <v>193338.7741</v>
      </c>
      <c r="T22" s="69">
        <f t="shared" si="10"/>
        <v>193338.7741</v>
      </c>
      <c r="U22" s="69">
        <f t="shared" si="10"/>
        <v>193338.7741</v>
      </c>
      <c r="V22" s="69">
        <f t="shared" si="10"/>
        <v>193338.7741</v>
      </c>
      <c r="W22" s="69">
        <f t="shared" si="10"/>
        <v>193338.7741</v>
      </c>
      <c r="X22" s="69">
        <f t="shared" si="10"/>
        <v>193338.7741</v>
      </c>
      <c r="Y22" s="69">
        <f t="shared" si="10"/>
        <v>193338.7741</v>
      </c>
      <c r="Z22" s="69">
        <f t="shared" si="10"/>
        <v>193338.7741</v>
      </c>
      <c r="AA22" s="69">
        <f t="shared" si="10"/>
        <v>0</v>
      </c>
      <c r="AB22" s="69">
        <f t="shared" si="10"/>
        <v>0</v>
      </c>
      <c r="AC22" s="69">
        <f t="shared" si="10"/>
        <v>0</v>
      </c>
      <c r="AD22" s="69">
        <f t="shared" si="10"/>
        <v>0</v>
      </c>
      <c r="AE22" s="69">
        <f t="shared" si="10"/>
        <v>0</v>
      </c>
      <c r="AF22" s="69">
        <f t="shared" si="10"/>
        <v>0</v>
      </c>
      <c r="AG22" s="69">
        <f t="shared" si="10"/>
        <v>0</v>
      </c>
      <c r="AH22" s="69">
        <f t="shared" si="10"/>
        <v>0</v>
      </c>
      <c r="AI22" s="69">
        <f t="shared" si="10"/>
        <v>0</v>
      </c>
      <c r="AJ22" s="69">
        <f t="shared" si="10"/>
        <v>0</v>
      </c>
      <c r="AK22" s="69">
        <f t="shared" si="10"/>
        <v>0</v>
      </c>
      <c r="AL22" s="69">
        <f t="shared" si="10"/>
        <v>0</v>
      </c>
      <c r="AM22" s="69">
        <f t="shared" si="9"/>
        <v>2355561.094</v>
      </c>
      <c r="AN22" s="2"/>
      <c r="AO22" s="2"/>
    </row>
    <row r="23" ht="12.75" customHeight="1">
      <c r="A23" s="2"/>
      <c r="B23" s="2" t="s">
        <v>51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6">
        <f t="shared" ref="O23:Z23" si="11">O9</f>
        <v>35495.80534</v>
      </c>
      <c r="P23" s="26" t="str">
        <f t="shared" si="11"/>
        <v/>
      </c>
      <c r="Q23" s="26" t="str">
        <f t="shared" si="11"/>
        <v/>
      </c>
      <c r="R23" s="26" t="str">
        <f t="shared" si="11"/>
        <v/>
      </c>
      <c r="S23" s="26" t="str">
        <f t="shared" si="11"/>
        <v/>
      </c>
      <c r="T23" s="26" t="str">
        <f t="shared" si="11"/>
        <v/>
      </c>
      <c r="U23" s="26" t="str">
        <f t="shared" si="11"/>
        <v/>
      </c>
      <c r="V23" s="26" t="str">
        <f t="shared" si="11"/>
        <v/>
      </c>
      <c r="W23" s="26" t="str">
        <f t="shared" si="11"/>
        <v/>
      </c>
      <c r="X23" s="26" t="str">
        <f t="shared" si="11"/>
        <v/>
      </c>
      <c r="Y23" s="26" t="str">
        <f t="shared" si="11"/>
        <v/>
      </c>
      <c r="Z23" s="26" t="str">
        <f t="shared" si="11"/>
        <v/>
      </c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6">
        <f t="shared" si="9"/>
        <v>35495.80534</v>
      </c>
      <c r="AN23" s="2"/>
      <c r="AO23" s="2"/>
    </row>
    <row r="24" ht="12.75" customHeight="1">
      <c r="A24" s="2"/>
      <c r="B24" s="2" t="s">
        <v>53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6">
        <f>O10*'Инвестиции'!$H$11</f>
        <v>33228.0272</v>
      </c>
      <c r="P24" s="26">
        <f>P10*'Инвестиции'!$H$11</f>
        <v>33228.0272</v>
      </c>
      <c r="Q24" s="26">
        <f>Q10*'Инвестиции'!$H$11</f>
        <v>33228.0272</v>
      </c>
      <c r="R24" s="26">
        <f>R10*'Инвестиции'!$H$11</f>
        <v>33228.0272</v>
      </c>
      <c r="S24" s="26">
        <f>S10*'Инвестиции'!$H$11</f>
        <v>33228.0272</v>
      </c>
      <c r="T24" s="26">
        <f>T10*'Инвестиции'!$H$11</f>
        <v>33228.0272</v>
      </c>
      <c r="U24" s="26">
        <f>U10*'Инвестиции'!$H$11</f>
        <v>33228.0272</v>
      </c>
      <c r="V24" s="26">
        <f>V10*'Инвестиции'!$H$11</f>
        <v>33228.0272</v>
      </c>
      <c r="W24" s="26">
        <f>W10*'Инвестиции'!$H$11</f>
        <v>33228.0272</v>
      </c>
      <c r="X24" s="26">
        <f>X10*'Инвестиции'!$H$11</f>
        <v>33228.0272</v>
      </c>
      <c r="Y24" s="26">
        <f>Y10*'Инвестиции'!$H$11</f>
        <v>33228.0272</v>
      </c>
      <c r="Z24" s="26">
        <f>Z10*'Инвестиции'!$H$11</f>
        <v>33228.0272</v>
      </c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6">
        <f t="shared" si="9"/>
        <v>398736.3264</v>
      </c>
      <c r="AN24" s="26"/>
      <c r="AO24" s="26"/>
    </row>
    <row r="25" ht="12.75" customHeight="1">
      <c r="A25" s="2"/>
      <c r="B25" s="2" t="s">
        <v>19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6">
        <f>O11*'Инвестиции'!$H$12</f>
        <v>156935.0447</v>
      </c>
      <c r="P25" s="26">
        <f>P11*'Инвестиции'!$H$12</f>
        <v>156935.0447</v>
      </c>
      <c r="Q25" s="26">
        <f>Q11*'Инвестиции'!$H$12</f>
        <v>156935.0447</v>
      </c>
      <c r="R25" s="26">
        <f>R11*'Инвестиции'!$H$12</f>
        <v>156935.0447</v>
      </c>
      <c r="S25" s="26">
        <f>S11*'Инвестиции'!$H$12</f>
        <v>156935.0447</v>
      </c>
      <c r="T25" s="26">
        <f>T11*'Инвестиции'!$H$12</f>
        <v>156935.0447</v>
      </c>
      <c r="U25" s="26">
        <f>U11*'Инвестиции'!$H$12</f>
        <v>156935.0447</v>
      </c>
      <c r="V25" s="26">
        <f>V11*'Инвестиции'!$H$12</f>
        <v>156935.0447</v>
      </c>
      <c r="W25" s="26">
        <f>W11*'Инвестиции'!$H$12</f>
        <v>156935.0447</v>
      </c>
      <c r="X25" s="26">
        <f>X11*'Инвестиции'!$H$12</f>
        <v>156935.0447</v>
      </c>
      <c r="Y25" s="26">
        <f>Y11*'Инвестиции'!$H$12</f>
        <v>156935.0447</v>
      </c>
      <c r="Z25" s="26">
        <f>Z11*'Инвестиции'!$H$12</f>
        <v>156935.0447</v>
      </c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6">
        <f t="shared" si="9"/>
        <v>1883220.537</v>
      </c>
      <c r="AN25" s="70"/>
      <c r="AO25" s="70"/>
    </row>
    <row r="26" ht="12.75" customHeight="1">
      <c r="A26" s="2"/>
      <c r="B26" s="2" t="s">
        <v>54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6">
        <f>O12*'Инвестиции'!$H$13</f>
        <v>2795.378534</v>
      </c>
      <c r="P26" s="26">
        <f>P12*'Инвестиции'!$H$13</f>
        <v>2795.378534</v>
      </c>
      <c r="Q26" s="26">
        <f>Q12*'Инвестиции'!$H$13</f>
        <v>2795.378534</v>
      </c>
      <c r="R26" s="26">
        <f>R12*'Инвестиции'!$H$13</f>
        <v>2795.378534</v>
      </c>
      <c r="S26" s="26">
        <f>S12*'Инвестиции'!$H$13</f>
        <v>2795.378534</v>
      </c>
      <c r="T26" s="26">
        <f>T12*'Инвестиции'!$H$13</f>
        <v>2795.378534</v>
      </c>
      <c r="U26" s="26">
        <f>U12*'Инвестиции'!$H$13</f>
        <v>2795.378534</v>
      </c>
      <c r="V26" s="26">
        <f>V12*'Инвестиции'!$H$13</f>
        <v>2795.378534</v>
      </c>
      <c r="W26" s="26">
        <f>W12*'Инвестиции'!$H$13</f>
        <v>2795.378534</v>
      </c>
      <c r="X26" s="26">
        <f>X12*'Инвестиции'!$H$13</f>
        <v>2795.378534</v>
      </c>
      <c r="Y26" s="26">
        <f>Y12*'Инвестиции'!$H$13</f>
        <v>2795.378534</v>
      </c>
      <c r="Z26" s="26">
        <f>Z12*'Инвестиции'!$H$13</f>
        <v>2795.378534</v>
      </c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6">
        <f t="shared" si="9"/>
        <v>33544.5424</v>
      </c>
      <c r="AN26" s="70"/>
      <c r="AO26" s="70"/>
    </row>
    <row r="27" ht="12.75" customHeight="1">
      <c r="A27" s="2"/>
      <c r="B27" s="71" t="s">
        <v>55</v>
      </c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2">
        <f>O13*'Инвестиции'!$H$14</f>
        <v>380.32361</v>
      </c>
      <c r="P27" s="72">
        <f>P13*'Инвестиции'!$H$14</f>
        <v>380.32361</v>
      </c>
      <c r="Q27" s="72">
        <f>Q13*'Инвестиции'!$H$14</f>
        <v>380.32361</v>
      </c>
      <c r="R27" s="72">
        <f>R13*'Инвестиции'!$H$14</f>
        <v>380.32361</v>
      </c>
      <c r="S27" s="72">
        <f>S13*'Инвестиции'!$H$14</f>
        <v>380.32361</v>
      </c>
      <c r="T27" s="72">
        <f>T13*'Инвестиции'!$H$14</f>
        <v>380.32361</v>
      </c>
      <c r="U27" s="72">
        <f>U13*'Инвестиции'!$H$14</f>
        <v>380.32361</v>
      </c>
      <c r="V27" s="72">
        <f>V13*'Инвестиции'!$H$14</f>
        <v>380.32361</v>
      </c>
      <c r="W27" s="72">
        <f>W13*'Инвестиции'!$H$14</f>
        <v>380.32361</v>
      </c>
      <c r="X27" s="72">
        <f>X13*'Инвестиции'!$H$14</f>
        <v>380.32361</v>
      </c>
      <c r="Y27" s="72">
        <f>Y13*'Инвестиции'!$H$14</f>
        <v>380.32361</v>
      </c>
      <c r="Z27" s="72">
        <f>Z13*'Инвестиции'!$H$14</f>
        <v>380.32361</v>
      </c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2">
        <f t="shared" si="9"/>
        <v>4563.88332</v>
      </c>
      <c r="AN27" s="2"/>
      <c r="AO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6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</row>
  </sheetData>
  <mergeCells count="6">
    <mergeCell ref="A7:A8"/>
    <mergeCell ref="B7:B8"/>
    <mergeCell ref="C7:N7"/>
    <mergeCell ref="O7:Z7"/>
    <mergeCell ref="AA7:AL7"/>
    <mergeCell ref="AM7:AM8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min="1" max="1" width="7.14"/>
    <col customWidth="1" min="2" max="2" width="13.57"/>
    <col customWidth="1" min="3" max="3" width="57.86"/>
    <col customWidth="1" min="4" max="4" width="13.57"/>
    <col customWidth="1" min="5" max="5" width="13.14"/>
    <col customWidth="1" min="6" max="6" width="11.71"/>
    <col customWidth="1" min="7" max="7" width="13.14"/>
    <col customWidth="1" min="8" max="8" width="15.57"/>
    <col customWidth="1" min="9" max="9" width="9.14"/>
    <col customWidth="1" min="10" max="10" width="12.71"/>
    <col customWidth="1" min="11" max="26" width="8.71"/>
  </cols>
  <sheetData>
    <row r="1" ht="12.75" customHeight="1">
      <c r="A1" s="73"/>
      <c r="B1" s="73"/>
      <c r="C1" s="73" t="str">
        <f>Panel!A2</f>
        <v>Строительство ГЭС -5 МВТ</v>
      </c>
      <c r="D1" s="73"/>
      <c r="E1" s="73"/>
      <c r="F1" s="73"/>
      <c r="G1" s="74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ht="12.75" customHeight="1">
      <c r="A2" s="73"/>
      <c r="B2" s="73"/>
      <c r="C2" s="75" t="s">
        <v>72</v>
      </c>
      <c r="D2" s="76"/>
      <c r="E2" s="76"/>
      <c r="F2" s="76"/>
      <c r="G2" s="76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ht="12.75" customHeight="1">
      <c r="A3" s="77" t="s">
        <v>73</v>
      </c>
      <c r="C3" s="73"/>
      <c r="D3" s="73"/>
      <c r="E3" s="73"/>
      <c r="F3" s="73"/>
      <c r="G3" s="74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ht="12.75" customHeight="1">
      <c r="A4" s="77"/>
      <c r="B4" s="77"/>
      <c r="C4" s="73"/>
      <c r="D4" s="73"/>
      <c r="E4" s="73"/>
      <c r="F4" s="73"/>
      <c r="G4" s="74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ht="12.75" customHeight="1">
      <c r="A5" s="78" t="s">
        <v>74</v>
      </c>
      <c r="B5" s="79"/>
      <c r="C5" s="79"/>
      <c r="D5" s="79"/>
      <c r="E5" s="79"/>
      <c r="F5" s="80">
        <f>G40</f>
        <v>3010320.952</v>
      </c>
      <c r="G5" s="81" t="s">
        <v>75</v>
      </c>
      <c r="H5" s="73"/>
      <c r="I5" s="73"/>
      <c r="J5" s="82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ht="12.75" customHeight="1">
      <c r="A6" s="77"/>
      <c r="B6" s="83" t="s">
        <v>76</v>
      </c>
      <c r="C6" s="84"/>
      <c r="D6" s="73"/>
      <c r="E6" s="73"/>
      <c r="F6" s="74"/>
      <c r="G6" s="74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ht="12.75" customHeight="1">
      <c r="A7" s="77"/>
      <c r="B7" s="83" t="s">
        <v>77</v>
      </c>
      <c r="C7" s="84"/>
      <c r="D7" s="84"/>
      <c r="E7" s="84"/>
      <c r="F7" s="85">
        <f>G39</f>
        <v>415216.683</v>
      </c>
      <c r="G7" s="81" t="s">
        <v>75</v>
      </c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ht="12.75" customHeight="1">
      <c r="A8" s="86"/>
      <c r="B8" s="77"/>
      <c r="C8" s="77"/>
      <c r="D8" s="77"/>
      <c r="E8" s="77"/>
      <c r="F8" s="87"/>
      <c r="G8" s="87"/>
      <c r="H8" s="77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ht="12.75" customHeight="1">
      <c r="A9" s="77"/>
      <c r="B9" s="86"/>
      <c r="C9" s="86"/>
      <c r="D9" s="86"/>
      <c r="E9" s="86"/>
      <c r="F9" s="86"/>
      <c r="G9" s="87"/>
      <c r="H9" s="77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ht="12.75" customHeight="1">
      <c r="A10" s="73"/>
      <c r="B10" s="88"/>
      <c r="C10" s="89"/>
      <c r="D10" s="89"/>
      <c r="E10" s="89"/>
      <c r="F10" s="89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ht="12.75" customHeight="1">
      <c r="A11" s="90"/>
      <c r="B11" s="91" t="s">
        <v>78</v>
      </c>
      <c r="C11" s="92"/>
      <c r="D11" s="92"/>
      <c r="E11" s="92"/>
      <c r="F11" s="92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ht="12.75" customHeight="1">
      <c r="A12" s="93"/>
      <c r="B12" s="93"/>
      <c r="C12" s="93"/>
      <c r="D12" s="93"/>
      <c r="E12" s="93"/>
      <c r="F12" s="93"/>
      <c r="G12" s="9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ht="12.75" customHeight="1">
      <c r="A13" s="77" t="s">
        <v>79</v>
      </c>
      <c r="D13" s="73"/>
      <c r="E13" s="73"/>
      <c r="F13" s="73"/>
      <c r="G13" s="74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ht="12.75" customHeight="1">
      <c r="A14" s="73"/>
      <c r="B14" s="73"/>
      <c r="C14" s="73"/>
      <c r="D14" s="73"/>
      <c r="E14" s="73"/>
      <c r="F14" s="73"/>
      <c r="G14" s="74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ht="12.75" customHeight="1">
      <c r="A15" s="73"/>
      <c r="B15" s="94" t="s">
        <v>80</v>
      </c>
      <c r="G15" s="74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ht="12.75" customHeight="1">
      <c r="A16" s="73"/>
      <c r="B16" s="73"/>
      <c r="C16" s="73"/>
      <c r="D16" s="73"/>
      <c r="E16" s="73"/>
      <c r="F16" s="73"/>
      <c r="G16" s="74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ht="12.75" customHeight="1">
      <c r="A17" s="73"/>
      <c r="B17" s="95" t="str">
        <f>Panel!A2</f>
        <v>Строительство ГЭС -5 МВТ</v>
      </c>
      <c r="C17" s="96"/>
      <c r="D17" s="96"/>
      <c r="E17" s="96"/>
      <c r="F17" s="96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ht="12.75" customHeight="1">
      <c r="A18" s="90"/>
      <c r="B18" s="91" t="s">
        <v>81</v>
      </c>
      <c r="C18" s="92"/>
      <c r="D18" s="92"/>
      <c r="E18" s="92"/>
      <c r="F18" s="92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ht="12.75" customHeight="1">
      <c r="A19" s="90"/>
      <c r="B19" s="93"/>
      <c r="C19" s="93"/>
      <c r="D19" s="93"/>
      <c r="E19" s="93"/>
      <c r="F19" s="9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ht="15.0" customHeight="1">
      <c r="A20" s="97" t="s">
        <v>82</v>
      </c>
      <c r="B20" s="98"/>
      <c r="C20" s="98"/>
      <c r="D20" s="98"/>
      <c r="E20" s="98"/>
      <c r="F20" s="98"/>
      <c r="G20" s="99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ht="12.75" customHeight="1">
      <c r="A21" s="100" t="s">
        <v>83</v>
      </c>
      <c r="B21" s="100" t="s">
        <v>84</v>
      </c>
      <c r="C21" s="100" t="s">
        <v>85</v>
      </c>
      <c r="D21" s="101" t="s">
        <v>86</v>
      </c>
      <c r="E21" s="56"/>
      <c r="F21" s="57"/>
      <c r="G21" s="100" t="s">
        <v>87</v>
      </c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ht="36.0" customHeight="1">
      <c r="A22" s="60"/>
      <c r="B22" s="60"/>
      <c r="C22" s="60"/>
      <c r="D22" s="103" t="s">
        <v>88</v>
      </c>
      <c r="E22" s="104" t="s">
        <v>89</v>
      </c>
      <c r="F22" s="104" t="s">
        <v>90</v>
      </c>
      <c r="G22" s="60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ht="12.75" customHeight="1">
      <c r="A23" s="105">
        <v>1.0</v>
      </c>
      <c r="B23" s="106">
        <v>2.0</v>
      </c>
      <c r="C23" s="106">
        <v>3.0</v>
      </c>
      <c r="D23" s="107">
        <v>4.0</v>
      </c>
      <c r="E23" s="108">
        <v>5.0</v>
      </c>
      <c r="F23" s="108">
        <v>6.0</v>
      </c>
      <c r="G23" s="106">
        <v>7.0</v>
      </c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ht="12.75" customHeight="1">
      <c r="A24" s="109"/>
      <c r="B24" s="109"/>
      <c r="C24" s="109"/>
      <c r="D24" s="109"/>
      <c r="E24" s="109"/>
      <c r="F24" s="109"/>
      <c r="G24" s="109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ht="12.75" customHeight="1">
      <c r="A25" s="110" t="s">
        <v>91</v>
      </c>
      <c r="B25" s="111"/>
      <c r="C25" s="112" t="s">
        <v>92</v>
      </c>
      <c r="D25" s="113">
        <f>423355.51+6622.34-20467.84-176502+18416.2</f>
        <v>251424.21</v>
      </c>
      <c r="E25" s="114">
        <f>336182.14-22553.74-86297.5-213914.81+456698.5+18416.2</f>
        <v>488530.79</v>
      </c>
      <c r="F25" s="115"/>
      <c r="G25" s="116">
        <f>D25+E25+F25</f>
        <v>739955</v>
      </c>
      <c r="H25" s="117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ht="12.75" customHeight="1">
      <c r="A26" s="110"/>
      <c r="B26" s="119"/>
      <c r="C26" s="120"/>
      <c r="D26" s="121"/>
      <c r="E26" s="122"/>
      <c r="F26" s="123"/>
      <c r="G26" s="116"/>
      <c r="H26" s="117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ht="12.75" customHeight="1">
      <c r="A27" s="110"/>
      <c r="B27" s="119">
        <v>1.0</v>
      </c>
      <c r="C27" s="120" t="s">
        <v>93</v>
      </c>
      <c r="D27" s="124">
        <f t="shared" ref="D27:E27" si="1">D25*3.258</f>
        <v>819140.0762</v>
      </c>
      <c r="E27" s="125">
        <f t="shared" si="1"/>
        <v>1591633.314</v>
      </c>
      <c r="F27" s="123"/>
      <c r="G27" s="116">
        <f>D27+E27+F27</f>
        <v>2410773.39</v>
      </c>
      <c r="H27" s="117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ht="12.75" customHeight="1">
      <c r="A28" s="110"/>
      <c r="B28" s="119"/>
      <c r="C28" s="120"/>
      <c r="D28" s="126"/>
      <c r="E28" s="122"/>
      <c r="F28" s="123"/>
      <c r="G28" s="116"/>
      <c r="H28" s="117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ht="12.75" customHeight="1">
      <c r="A29" s="110">
        <v>2.0</v>
      </c>
      <c r="B29" s="119"/>
      <c r="C29" s="127" t="s">
        <v>94</v>
      </c>
      <c r="D29" s="128"/>
      <c r="E29" s="129"/>
      <c r="F29" s="125">
        <f>61172.88+30000</f>
        <v>91172.88</v>
      </c>
      <c r="G29" s="130">
        <f t="shared" ref="G29:G30" si="2">F29</f>
        <v>91172.88</v>
      </c>
      <c r="H29" s="117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ht="12.75" customHeight="1">
      <c r="A30" s="110">
        <v>3.0</v>
      </c>
      <c r="B30" s="119"/>
      <c r="C30" s="127" t="s">
        <v>95</v>
      </c>
      <c r="D30" s="131"/>
      <c r="E30" s="129"/>
      <c r="F30" s="125">
        <v>1997.62411</v>
      </c>
      <c r="G30" s="130">
        <f t="shared" si="2"/>
        <v>1997.62411</v>
      </c>
      <c r="H30" s="117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ht="12.75" customHeight="1">
      <c r="A31" s="110"/>
      <c r="B31" s="111"/>
      <c r="C31" s="119"/>
      <c r="D31" s="131"/>
      <c r="E31" s="129"/>
      <c r="F31" s="129"/>
      <c r="G31" s="129"/>
      <c r="H31" s="117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ht="12.75" customHeight="1">
      <c r="A32" s="110">
        <v>4.0</v>
      </c>
      <c r="B32" s="111"/>
      <c r="C32" s="127" t="s">
        <v>96</v>
      </c>
      <c r="D32" s="132"/>
      <c r="E32" s="133"/>
      <c r="F32" s="134">
        <f>G27*0.0147</f>
        <v>35438.36883</v>
      </c>
      <c r="G32" s="134">
        <f>F32</f>
        <v>35438.36883</v>
      </c>
      <c r="H32" s="135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ht="12.75" customHeight="1">
      <c r="A33" s="110">
        <v>5.0</v>
      </c>
      <c r="B33" s="111"/>
      <c r="C33" s="111"/>
      <c r="D33" s="132"/>
      <c r="E33" s="133"/>
      <c r="F33" s="134"/>
      <c r="G33" s="134"/>
      <c r="H33" s="136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ht="12.75" customHeight="1">
      <c r="A34" s="110">
        <v>6.0</v>
      </c>
      <c r="B34" s="111"/>
      <c r="C34" s="127" t="s">
        <v>97</v>
      </c>
      <c r="D34" s="132"/>
      <c r="E34" s="133"/>
      <c r="F34" s="114">
        <f>G27*0.002</f>
        <v>4821.54678</v>
      </c>
      <c r="G34" s="134">
        <f>F34</f>
        <v>4821.54678</v>
      </c>
      <c r="H34" s="117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ht="12.75" customHeight="1">
      <c r="A35" s="110">
        <v>7.0</v>
      </c>
      <c r="B35" s="111"/>
      <c r="C35" s="111"/>
      <c r="D35" s="132"/>
      <c r="E35" s="133"/>
      <c r="F35" s="115"/>
      <c r="G35" s="137"/>
      <c r="H35" s="117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ht="12.75" customHeight="1">
      <c r="A36" s="138"/>
      <c r="B36" s="139"/>
      <c r="C36" s="139" t="s">
        <v>56</v>
      </c>
      <c r="D36" s="140">
        <f>D26+D27+D28+F26+F27+F28</f>
        <v>819140.0762</v>
      </c>
      <c r="E36" s="141">
        <f>E26+E27+E28</f>
        <v>1591633.314</v>
      </c>
      <c r="F36" s="141">
        <f>F30+F32+F33+F34+F35+F29</f>
        <v>133430.4197</v>
      </c>
      <c r="G36" s="141">
        <f>G26+G27+G28+G31+G32+G33+G34+G35+G29+G30</f>
        <v>2544203.81</v>
      </c>
      <c r="H36" s="142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ht="12.75" customHeight="1">
      <c r="A37" s="110">
        <v>8.0</v>
      </c>
      <c r="B37" s="111"/>
      <c r="C37" s="111" t="s">
        <v>98</v>
      </c>
      <c r="D37" s="113">
        <f>D36*0.02002</f>
        <v>16399.18433</v>
      </c>
      <c r="E37" s="114">
        <f t="shared" ref="E37:F37" si="3">E36*0.02</f>
        <v>31832.66628</v>
      </c>
      <c r="F37" s="114">
        <f t="shared" si="3"/>
        <v>2668.608394</v>
      </c>
      <c r="G37" s="114">
        <f>F37+E37+D37</f>
        <v>50900.459</v>
      </c>
      <c r="H37" s="117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ht="12.75" customHeight="1">
      <c r="A38" s="138"/>
      <c r="B38" s="139"/>
      <c r="C38" s="139" t="s">
        <v>56</v>
      </c>
      <c r="D38" s="140">
        <f t="shared" ref="D38:G38" si="4">D36+D37</f>
        <v>835539.2605</v>
      </c>
      <c r="E38" s="141">
        <f t="shared" si="4"/>
        <v>1623465.98</v>
      </c>
      <c r="F38" s="141">
        <f t="shared" si="4"/>
        <v>136099.0281</v>
      </c>
      <c r="G38" s="141">
        <f t="shared" si="4"/>
        <v>2595104.269</v>
      </c>
      <c r="H38" s="142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ht="12.75" customHeight="1">
      <c r="A39" s="110">
        <v>9.0</v>
      </c>
      <c r="B39" s="111" t="s">
        <v>99</v>
      </c>
      <c r="C39" s="111" t="s">
        <v>100</v>
      </c>
      <c r="D39" s="113">
        <f>D38*Panel!$B$26</f>
        <v>133686.2817</v>
      </c>
      <c r="E39" s="113">
        <f>E38*Panel!$B$26</f>
        <v>259754.5568</v>
      </c>
      <c r="F39" s="113">
        <f>F38*Panel!$B$26</f>
        <v>21775.8445</v>
      </c>
      <c r="G39" s="113">
        <f>G38*Panel!$B$26</f>
        <v>415216.683</v>
      </c>
      <c r="H39" s="117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ht="12.75" customHeight="1">
      <c r="A40" s="138"/>
      <c r="B40" s="139"/>
      <c r="C40" s="139" t="s">
        <v>101</v>
      </c>
      <c r="D40" s="140">
        <f t="shared" ref="D40:G40" si="5">D38+D39</f>
        <v>969225.5422</v>
      </c>
      <c r="E40" s="141">
        <f t="shared" si="5"/>
        <v>1883220.537</v>
      </c>
      <c r="F40" s="141">
        <f t="shared" si="5"/>
        <v>157874.8726</v>
      </c>
      <c r="G40" s="141">
        <f t="shared" si="5"/>
        <v>3010320.952</v>
      </c>
      <c r="H40" s="142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ht="12.75" customHeight="1">
      <c r="A41" s="86"/>
      <c r="B41" s="86"/>
      <c r="C41" s="143" t="s">
        <v>102</v>
      </c>
      <c r="D41" s="144"/>
      <c r="E41" s="145"/>
      <c r="F41" s="145"/>
      <c r="G41" s="146" t="str">
        <f>G40-G43</f>
        <v>#REF!</v>
      </c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ht="12.75" customHeight="1">
      <c r="A42" s="86"/>
      <c r="B42" s="86"/>
      <c r="C42" s="147" t="s">
        <v>103</v>
      </c>
      <c r="D42" s="148"/>
      <c r="E42" s="146"/>
      <c r="F42" s="146"/>
      <c r="G42" s="14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ht="12.75" customHeight="1">
      <c r="A43" s="86"/>
      <c r="B43" s="86"/>
      <c r="C43" s="145" t="s">
        <v>104</v>
      </c>
      <c r="D43" s="149"/>
      <c r="E43" s="150"/>
      <c r="F43" s="150"/>
      <c r="G43" s="150" t="str">
        <f>#REF!+#REF!+#REF!+#REF!</f>
        <v>#REF!</v>
      </c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ht="12.75" customHeight="1">
      <c r="A44" s="86"/>
      <c r="B44" s="86"/>
      <c r="C44" s="145" t="s">
        <v>105</v>
      </c>
      <c r="D44" s="149"/>
      <c r="E44" s="150"/>
      <c r="F44" s="150"/>
      <c r="G44" s="150" t="str">
        <f t="shared" ref="G44:G45" si="6">#REF!+#REF!</f>
        <v>#REF!</v>
      </c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ht="12.75" customHeight="1">
      <c r="A45" s="86"/>
      <c r="B45" s="86"/>
      <c r="C45" s="145" t="s">
        <v>106</v>
      </c>
      <c r="D45" s="149"/>
      <c r="E45" s="150"/>
      <c r="F45" s="150"/>
      <c r="G45" s="150" t="str">
        <f t="shared" si="6"/>
        <v>#REF!</v>
      </c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ht="12.75" customHeight="1">
      <c r="A46" s="86"/>
      <c r="B46" s="86"/>
      <c r="C46" s="145" t="s">
        <v>107</v>
      </c>
      <c r="D46" s="149"/>
      <c r="E46" s="150"/>
      <c r="F46" s="150"/>
      <c r="G46" s="150">
        <v>31302.0</v>
      </c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ht="12.75" customHeight="1">
      <c r="A47" s="86"/>
      <c r="B47" s="86"/>
      <c r="C47" s="145" t="s">
        <v>108</v>
      </c>
      <c r="D47" s="149"/>
      <c r="E47" s="150"/>
      <c r="F47" s="150"/>
      <c r="G47" s="150">
        <f>G46+51000/100*12</f>
        <v>37422</v>
      </c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ht="12.75" customHeight="1">
      <c r="A48" s="86"/>
      <c r="B48" s="86"/>
      <c r="C48" s="145" t="s">
        <v>109</v>
      </c>
      <c r="D48" s="149"/>
      <c r="E48" s="150"/>
      <c r="F48" s="150"/>
      <c r="G48" s="150" t="str">
        <f>(G45-G47)/2</f>
        <v>#REF!</v>
      </c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ht="12.75" customHeight="1">
      <c r="A49" s="86"/>
      <c r="B49" s="86"/>
      <c r="C49" s="145" t="s">
        <v>110</v>
      </c>
      <c r="D49" s="149"/>
      <c r="E49" s="150"/>
      <c r="F49" s="150"/>
      <c r="G49" s="150" t="str">
        <f>(G45-G47)/2</f>
        <v>#REF!</v>
      </c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ht="12.75" customHeight="1">
      <c r="A50" s="86"/>
      <c r="B50" s="86"/>
      <c r="C50" s="147" t="s">
        <v>111</v>
      </c>
      <c r="D50" s="148"/>
      <c r="E50" s="146"/>
      <c r="F50" s="146"/>
      <c r="G50" s="146">
        <f>G62</f>
        <v>35759.4048</v>
      </c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ht="12.75" customHeight="1">
      <c r="A51" s="86"/>
      <c r="B51" s="86"/>
      <c r="C51" s="147" t="s">
        <v>112</v>
      </c>
      <c r="D51" s="148"/>
      <c r="E51" s="146"/>
      <c r="F51" s="146"/>
      <c r="G51" s="146" t="str">
        <f t="shared" ref="G51:G53" si="7">#REF!</f>
        <v>#REF!</v>
      </c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ht="12.75" customHeight="1">
      <c r="A52" s="86"/>
      <c r="B52" s="86"/>
      <c r="C52" s="147" t="s">
        <v>113</v>
      </c>
      <c r="D52" s="148"/>
      <c r="E52" s="146"/>
      <c r="F52" s="146"/>
      <c r="G52" s="146" t="str">
        <f t="shared" si="7"/>
        <v>#REF!</v>
      </c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 ht="12.75" customHeight="1">
      <c r="A53" s="86"/>
      <c r="B53" s="86"/>
      <c r="C53" s="147" t="s">
        <v>114</v>
      </c>
      <c r="D53" s="148"/>
      <c r="E53" s="146"/>
      <c r="F53" s="146"/>
      <c r="G53" s="146" t="str">
        <f t="shared" si="7"/>
        <v>#REF!</v>
      </c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 ht="12.75" customHeight="1">
      <c r="A54" s="86"/>
      <c r="B54" s="86"/>
      <c r="C54" s="147"/>
      <c r="D54" s="148"/>
      <c r="E54" s="146"/>
      <c r="F54" s="151"/>
      <c r="G54" s="14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 ht="12.75" customHeight="1">
      <c r="A55" s="86"/>
      <c r="B55" s="86"/>
      <c r="C55" s="147" t="s">
        <v>115</v>
      </c>
      <c r="D55" s="148"/>
      <c r="E55" s="146"/>
      <c r="F55" s="151"/>
      <c r="G55" s="14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 ht="12.75" customHeight="1">
      <c r="A56" s="86"/>
      <c r="B56" s="86"/>
      <c r="C56" s="147"/>
      <c r="D56" s="148"/>
      <c r="E56" s="146"/>
      <c r="F56" s="151"/>
      <c r="G56" s="14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 ht="12.75" customHeight="1">
      <c r="A57" s="86"/>
      <c r="B57" s="86"/>
      <c r="C57" s="147" t="s">
        <v>116</v>
      </c>
      <c r="D57" s="148"/>
      <c r="E57" s="146"/>
      <c r="F57" s="151"/>
      <c r="G57" s="14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 ht="12.75" customHeight="1">
      <c r="A58" s="86"/>
      <c r="B58" s="86"/>
      <c r="C58" s="145" t="s">
        <v>117</v>
      </c>
      <c r="D58" s="148"/>
      <c r="E58" s="146"/>
      <c r="F58" s="151">
        <v>31302.0</v>
      </c>
      <c r="G58" s="146">
        <f t="shared" ref="G58:G62" si="8">F58</f>
        <v>31302</v>
      </c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 ht="12.75" customHeight="1">
      <c r="A59" s="86"/>
      <c r="B59" s="86"/>
      <c r="C59" s="111" t="s">
        <v>98</v>
      </c>
      <c r="D59" s="148"/>
      <c r="E59" s="146"/>
      <c r="F59" s="151">
        <f>G58/100*2</f>
        <v>626.04</v>
      </c>
      <c r="G59" s="146">
        <f t="shared" si="8"/>
        <v>626.04</v>
      </c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 ht="12.75" customHeight="1">
      <c r="A60" s="86"/>
      <c r="B60" s="86"/>
      <c r="C60" s="145" t="s">
        <v>118</v>
      </c>
      <c r="D60" s="148"/>
      <c r="E60" s="146"/>
      <c r="F60" s="151">
        <f>F58+F59</f>
        <v>31928.04</v>
      </c>
      <c r="G60" s="146">
        <f t="shared" si="8"/>
        <v>31928.04</v>
      </c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 ht="12.75" customHeight="1">
      <c r="A61" s="86"/>
      <c r="B61" s="86"/>
      <c r="C61" s="145" t="s">
        <v>21</v>
      </c>
      <c r="D61" s="148"/>
      <c r="E61" s="146"/>
      <c r="F61" s="151">
        <f>F60/100*12</f>
        <v>3831.3648</v>
      </c>
      <c r="G61" s="146">
        <f t="shared" si="8"/>
        <v>3831.3648</v>
      </c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ht="12.75" customHeight="1">
      <c r="A62" s="86"/>
      <c r="B62" s="86"/>
      <c r="C62" s="147" t="s">
        <v>119</v>
      </c>
      <c r="D62" s="148"/>
      <c r="E62" s="146"/>
      <c r="F62" s="151">
        <f>F60+F61</f>
        <v>35759.4048</v>
      </c>
      <c r="G62" s="146">
        <f t="shared" si="8"/>
        <v>35759.4048</v>
      </c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ht="12.75" customHeight="1">
      <c r="A63" s="86"/>
      <c r="B63" s="86"/>
      <c r="C63" s="86"/>
      <c r="D63" s="152"/>
      <c r="E63" s="153"/>
      <c r="F63" s="86"/>
      <c r="G63" s="154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 ht="12.7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 ht="12.7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 ht="12.7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 ht="12.7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 ht="12.7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 ht="12.7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 ht="12.7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 ht="12.7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 ht="12.7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 ht="12.7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 ht="12.7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 ht="12.7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 ht="12.7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 ht="12.7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 ht="12.7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 ht="12.7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 ht="12.7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 ht="12.7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 ht="12.7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 ht="12.7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 ht="12.7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 ht="12.7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 ht="12.7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 ht="12.7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 ht="12.7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 ht="12.7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 ht="12.7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 ht="12.7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 ht="12.7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 ht="12.7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 ht="12.7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 ht="12.7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 ht="12.7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 ht="12.7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 ht="12.7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 ht="12.7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 ht="12.7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 ht="12.7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 ht="12.7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 ht="12.7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 ht="12.7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 ht="12.7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 ht="12.7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 ht="12.7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 ht="12.7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 ht="12.7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 ht="12.7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 ht="12.7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 ht="12.7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 ht="12.7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 ht="12.7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 ht="12.7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 ht="12.7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 ht="12.7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 ht="12.7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 ht="12.7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 ht="12.7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 ht="12.7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 ht="12.7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 ht="12.7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 ht="12.7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 ht="12.7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 ht="12.7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 ht="12.7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 ht="12.7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 ht="12.7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 ht="12.7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 ht="12.7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 ht="12.7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 ht="12.7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 ht="12.7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 ht="12.7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 ht="12.7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 ht="12.7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 ht="12.7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 ht="12.7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 ht="12.7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 ht="12.7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 ht="12.7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 ht="12.7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 ht="12.7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 ht="12.7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 ht="12.7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 ht="12.7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 ht="12.7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 ht="12.7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 ht="12.7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 ht="12.7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 ht="12.7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 ht="12.7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 ht="12.7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 ht="12.7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 ht="12.7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 ht="12.7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 ht="12.7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 ht="12.7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 ht="12.7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 ht="12.7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 ht="12.7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 ht="12.7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 ht="12.7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 ht="12.7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 ht="12.7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 ht="12.7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 ht="12.7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 ht="12.7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 ht="12.7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 ht="12.7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 ht="12.7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 ht="12.7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 ht="12.7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 ht="12.7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 ht="12.7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 ht="12.7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 ht="12.7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 ht="12.7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 ht="12.7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 ht="12.7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 ht="12.7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 ht="12.7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 ht="12.7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 ht="12.7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 ht="12.7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 ht="12.7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 ht="12.7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 ht="12.7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 ht="12.7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 ht="12.7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 ht="12.7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 ht="12.7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 ht="12.7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 ht="12.7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 ht="12.7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 ht="12.7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 ht="12.7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 ht="12.7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 ht="12.7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 ht="12.7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 ht="12.7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 ht="12.7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 ht="12.7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 ht="12.7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 ht="12.7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 ht="12.7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 ht="12.7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 ht="12.7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 ht="12.7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 ht="12.7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 ht="12.7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 ht="12.7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 ht="12.7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 ht="12.7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 ht="12.7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 ht="12.7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 ht="12.7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 ht="12.7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 ht="12.7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 ht="12.7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 ht="12.7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 ht="12.7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 ht="12.7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 ht="12.7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 ht="12.7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 ht="12.7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 ht="12.7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 ht="12.7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 ht="12.7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 ht="12.7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 ht="12.7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 ht="12.7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 ht="12.7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 ht="12.7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 ht="12.7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 ht="12.7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 ht="12.7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 ht="12.7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 ht="12.7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 ht="12.7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 ht="12.7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 ht="12.7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 ht="12.7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 ht="12.7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 ht="12.7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 ht="12.7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 ht="12.7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 ht="12.7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 ht="12.7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 ht="12.7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 ht="12.7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 ht="12.7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 ht="12.7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 ht="12.7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 ht="12.7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 ht="12.7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 ht="12.7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 ht="12.7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 ht="12.7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 ht="12.7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 ht="12.7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 ht="12.7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 ht="12.7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 ht="12.7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 ht="12.7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 ht="12.7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 ht="12.7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 ht="12.7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 ht="12.7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 ht="12.7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 ht="12.7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 ht="12.7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 ht="12.7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 ht="12.7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 ht="12.7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 ht="12.7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 ht="12.7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 ht="12.7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 ht="12.7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 ht="12.7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 ht="12.7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 ht="12.7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 ht="12.7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 ht="12.7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 ht="12.7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 ht="12.7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 ht="12.7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 ht="12.7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 ht="12.7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 ht="12.7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 ht="12.7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 ht="12.7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 ht="12.7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 ht="12.7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 ht="12.7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 ht="12.7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 ht="12.7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 ht="12.7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 ht="12.7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 ht="12.7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 ht="12.7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 ht="12.7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 ht="12.7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 ht="12.7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 ht="12.7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 ht="12.7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 ht="12.7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 ht="12.7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 ht="12.7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 ht="12.7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 ht="12.7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 ht="12.7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 ht="12.7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 ht="12.7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 ht="12.7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 ht="12.7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 ht="12.7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 ht="12.7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 ht="12.7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 ht="12.7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 ht="12.7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 ht="12.7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 ht="12.7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 ht="12.7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 ht="12.7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 ht="12.7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 ht="12.7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 ht="12.7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 ht="12.7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 ht="12.7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 ht="12.7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 ht="12.7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 ht="12.7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 ht="12.7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 ht="12.7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 ht="12.7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 ht="12.7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 ht="12.7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 ht="12.7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 ht="12.7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 ht="12.7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 ht="12.7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 ht="12.7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 ht="12.7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 ht="12.7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 ht="12.7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 ht="12.7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 ht="12.7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 ht="12.7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 ht="12.7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 ht="12.7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 ht="12.7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 ht="12.7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 ht="12.7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 ht="12.7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 ht="12.7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 ht="12.7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 ht="12.7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 ht="12.7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 ht="12.7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 ht="12.7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 ht="12.7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 ht="12.7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 ht="12.7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 ht="12.7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 ht="12.7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 ht="12.7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 ht="12.7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 ht="12.7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 ht="12.7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 ht="12.7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 ht="12.7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 ht="12.7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 ht="12.7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 ht="12.7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 ht="12.7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 ht="12.7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 ht="12.7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 ht="12.7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 ht="12.7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 ht="12.7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 ht="12.7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 ht="12.7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 ht="12.7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 ht="12.7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 ht="12.7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 ht="12.7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 ht="12.7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 ht="12.7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 ht="12.7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 ht="12.7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 ht="12.7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 ht="12.7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 ht="12.7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 ht="12.7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 ht="12.7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 ht="12.7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 ht="12.7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 ht="12.7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 ht="12.7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 ht="12.7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 ht="12.7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 ht="12.7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 ht="12.7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 ht="12.7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 ht="12.7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 ht="12.7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 ht="12.7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 ht="12.7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 ht="12.7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 ht="12.7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 ht="12.7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 ht="12.7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 ht="12.7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 ht="12.7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 ht="12.7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 ht="12.7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 ht="12.7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 ht="12.7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 ht="12.7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 ht="12.7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 ht="12.7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 ht="12.7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 ht="12.7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 ht="12.7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 ht="12.7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 ht="12.7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 ht="12.7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 ht="12.7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 ht="12.7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 ht="12.7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 ht="12.7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 ht="12.7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 ht="12.7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 ht="12.7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 ht="12.7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 ht="12.7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 ht="12.7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 ht="12.7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 ht="12.7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 ht="12.7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 ht="12.7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 ht="12.7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 ht="12.7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 ht="12.7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 ht="12.7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 ht="12.7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 ht="12.7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 ht="12.7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 ht="12.7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 ht="12.7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 ht="12.7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 ht="12.7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 ht="12.7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 ht="12.7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 ht="12.7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 ht="12.7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 ht="12.7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 ht="12.7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 ht="12.7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 ht="12.7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 ht="12.7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 ht="12.7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 ht="12.7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 ht="12.7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 ht="12.7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 ht="12.7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 ht="12.7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 ht="12.7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 ht="12.7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 ht="12.7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 ht="12.7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 ht="12.7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 ht="12.7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 ht="12.7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 ht="12.7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 ht="12.7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 ht="12.7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 ht="12.7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 ht="12.7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 ht="12.7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 ht="12.7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 ht="12.7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 ht="12.7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 ht="12.7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 ht="12.7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 ht="12.7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 ht="12.7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 ht="12.7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 ht="12.7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 ht="12.7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 ht="12.7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 ht="12.7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 ht="12.7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 ht="12.7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 ht="12.7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 ht="12.7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 ht="12.7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 ht="12.7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 ht="12.7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 ht="12.7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 ht="12.7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 ht="12.7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 ht="12.7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 ht="12.7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 ht="12.7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 ht="12.7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 ht="12.7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 ht="12.7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 ht="12.7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 ht="12.7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 ht="12.7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 ht="12.7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 ht="12.7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 ht="12.7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 ht="12.7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 ht="12.7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 ht="12.7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 ht="12.7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 ht="12.7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 ht="12.7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 ht="12.7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 ht="12.7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 ht="12.7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 ht="12.7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 ht="12.7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 ht="12.7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 ht="12.7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 ht="12.7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 ht="12.7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 ht="12.7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 ht="12.7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 ht="12.7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 ht="12.7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 ht="12.7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 ht="12.7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 ht="12.7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 ht="12.7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 ht="12.7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 ht="12.7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 ht="12.7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 ht="12.7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 ht="12.7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 ht="12.7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 ht="12.7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 ht="12.7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 ht="12.7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 ht="12.7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 ht="12.7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 ht="12.7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 ht="12.7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 ht="12.7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 ht="12.7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 ht="12.7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 ht="12.7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 ht="12.7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 ht="12.7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 ht="12.7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 ht="12.7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 ht="12.7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 ht="12.7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 ht="12.7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 ht="12.7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 ht="12.7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 ht="12.7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 ht="12.7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 ht="12.7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 ht="12.7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 ht="12.7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 ht="12.7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 ht="12.7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 ht="12.7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 ht="12.7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 ht="12.7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 ht="12.7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 ht="12.7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 ht="12.7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 ht="12.7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 ht="12.7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 ht="12.7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 ht="12.7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 ht="12.7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 ht="12.7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 ht="12.7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 ht="12.7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 ht="12.7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 ht="12.7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 ht="12.7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 ht="12.7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 ht="12.7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 ht="12.7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 ht="12.7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 ht="12.7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 ht="12.7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 ht="12.7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 ht="12.7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 ht="12.7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 ht="12.7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 ht="12.7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 ht="12.7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 ht="12.7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 ht="12.7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 ht="12.7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 ht="12.7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 ht="12.7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 ht="12.7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 ht="12.7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 ht="12.7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 ht="12.7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 ht="12.7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 ht="12.7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 ht="12.7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 ht="12.7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 ht="12.7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 ht="12.7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 ht="12.7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 ht="12.7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 ht="12.7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 ht="12.7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 ht="12.7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 ht="12.7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 ht="12.7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 ht="12.7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 ht="12.7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 ht="12.7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 ht="12.7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 ht="12.7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 ht="12.7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 ht="12.7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 ht="12.7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 ht="12.7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 ht="12.7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 ht="12.7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 ht="12.7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 ht="12.7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 ht="12.7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 ht="12.7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 ht="12.7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 ht="12.7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 ht="12.7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 ht="12.7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 ht="12.7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 ht="12.7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 ht="12.7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 ht="12.7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 ht="12.7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 ht="12.7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 ht="12.7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 ht="12.7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 ht="12.7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 ht="12.7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 ht="12.7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 ht="12.7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 ht="12.7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 ht="12.7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 ht="12.7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 ht="12.7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 ht="12.7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 ht="12.7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 ht="12.7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 ht="12.7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 ht="12.7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 ht="12.7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 ht="12.7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 ht="12.7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 ht="12.7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 ht="12.7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 ht="12.7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 ht="12.7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 ht="12.7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 ht="12.7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 ht="12.7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 ht="12.7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 ht="12.7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 ht="12.7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 ht="12.7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 ht="12.7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 ht="12.7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 ht="12.7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 ht="12.7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 ht="12.7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 ht="12.7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 ht="12.7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 ht="12.7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 ht="12.7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 ht="12.7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 ht="12.7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 ht="12.7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 ht="12.7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 ht="12.7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 ht="12.7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 ht="12.7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 ht="12.7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 ht="12.7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 ht="12.7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 ht="12.7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 ht="12.7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 ht="12.7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 ht="12.7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 ht="12.7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 ht="12.7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 ht="12.7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 ht="12.7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 ht="12.7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 ht="12.7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 ht="12.7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 ht="12.7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 ht="12.7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 ht="12.7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 ht="12.7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 ht="12.7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 ht="12.7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 ht="12.7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 ht="12.7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 ht="12.7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 ht="12.7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 ht="12.7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 ht="12.7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 ht="12.7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 ht="12.7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 ht="12.7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 ht="12.7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 ht="12.7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 ht="12.7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 ht="12.7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 ht="12.7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 ht="12.7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 ht="12.7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 ht="12.7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 ht="12.7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 ht="12.7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 ht="12.7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 ht="12.7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 ht="12.7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 ht="12.7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 ht="12.7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 ht="12.7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 ht="12.7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 ht="12.7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 ht="12.7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 ht="12.7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 ht="12.7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 ht="12.7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 ht="12.7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 ht="12.7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 ht="12.7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 ht="12.7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 ht="12.7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 ht="12.7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 ht="12.7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 ht="12.7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 ht="12.7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 ht="12.7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 ht="12.7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 ht="12.7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 ht="12.7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 ht="12.7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 ht="12.7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 ht="12.7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 ht="12.7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 ht="12.7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 ht="12.7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 ht="12.7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 ht="12.7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 ht="12.7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 ht="12.7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 ht="12.7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 ht="12.7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 ht="12.7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 ht="12.7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 ht="12.7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 ht="12.7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 ht="12.7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 ht="12.7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 ht="12.7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 ht="12.7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 ht="12.7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 ht="12.7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 ht="12.7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 ht="12.7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 ht="12.7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 ht="12.7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 ht="12.7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 ht="12.7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 ht="12.7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 ht="12.7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 ht="12.7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 ht="12.7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 ht="12.7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 ht="12.7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 ht="12.7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 ht="12.7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 ht="12.7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 ht="12.7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 ht="12.7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 ht="12.7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 ht="12.7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 ht="12.7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 ht="12.7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 ht="12.7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 ht="12.7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 ht="12.7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 ht="12.7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 ht="12.7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 ht="12.7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 ht="12.7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 ht="12.7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 ht="12.7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 ht="12.7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 ht="12.7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 ht="12.7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 ht="12.7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 ht="12.7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 ht="12.7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 ht="12.7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 ht="12.7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 ht="12.7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 ht="12.7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 ht="12.7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 ht="12.7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 ht="12.7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 ht="12.7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 ht="12.7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 ht="12.7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 ht="12.7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 ht="12.7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 ht="12.7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 ht="12.7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 ht="12.7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 ht="12.7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 ht="12.7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 ht="12.7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 ht="12.7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 ht="12.7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 ht="12.7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 ht="12.7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 ht="12.7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 ht="12.7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 ht="12.7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 ht="12.7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 ht="12.7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 ht="12.7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 ht="12.7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 ht="12.7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 ht="12.7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 ht="12.7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 ht="12.7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 ht="12.7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 ht="12.7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 ht="12.7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 ht="12.7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 ht="12.7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 ht="12.7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 ht="12.7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 ht="12.7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 ht="12.7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 ht="12.7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 ht="12.7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 ht="12.7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 ht="12.7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 ht="12.7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 ht="12.7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 ht="12.7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 ht="12.7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 ht="12.7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 ht="12.7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 ht="12.7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 ht="12.7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 ht="12.7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 ht="12.7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 ht="12.7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 ht="12.7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 ht="12.7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 ht="12.7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 ht="12.7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 ht="12.7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 ht="12.7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 ht="12.7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 ht="12.7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 ht="12.7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 ht="12.7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 ht="12.7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 ht="12.7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 ht="12.7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 ht="12.7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 ht="12.7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 ht="12.7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 ht="12.7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 ht="12.7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 ht="12.7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 ht="12.7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 ht="12.7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 ht="12.7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 ht="12.7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 ht="12.7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 ht="12.7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 ht="12.7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 ht="12.7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 ht="12.7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 ht="12.7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 ht="12.7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 ht="12.7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 ht="12.7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 ht="12.7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 ht="12.7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 ht="12.7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 ht="12.7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 ht="12.7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 ht="12.7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 ht="12.7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 ht="12.7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 ht="12.7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 ht="12.7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 ht="12.7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 ht="12.7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 ht="12.7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 ht="12.7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 ht="12.7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 ht="12.7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 ht="12.7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 ht="12.7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 ht="12.7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 ht="12.7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 ht="12.7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 ht="12.7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 ht="12.7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 ht="12.7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 ht="12.7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 ht="12.7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 ht="12.7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 ht="12.7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 ht="12.7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 ht="12.7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 ht="12.7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 ht="12.7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 ht="12.7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 ht="12.7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 ht="12.7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 ht="12.7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 ht="12.7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 ht="12.7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 ht="12.7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 ht="12.7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 ht="12.7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 ht="12.7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 ht="12.7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 ht="12.7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 ht="12.7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 ht="12.7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 ht="12.7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 ht="12.7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 ht="12.7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 ht="12.7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 ht="12.7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 ht="12.7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 ht="12.7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 ht="12.7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 ht="12.7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 ht="12.7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 ht="12.7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 ht="12.7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 ht="12.7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 ht="12.7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 ht="12.7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 ht="12.7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 ht="12.7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 ht="12.7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 ht="12.7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 ht="12.7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 ht="12.7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 ht="12.7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 ht="12.7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 ht="12.7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 ht="12.7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 ht="12.7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 ht="12.7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 ht="12.7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 ht="12.7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 ht="12.7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 ht="12.7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 ht="12.7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 ht="12.7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 ht="12.7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 ht="12.7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 ht="12.7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 ht="12.7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 ht="12.7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 ht="12.7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 ht="12.7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 ht="12.7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 ht="12.7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 ht="12.7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 ht="12.7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 ht="12.7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 ht="12.7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 ht="12.7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 ht="12.7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 ht="12.7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 ht="12.75" customHeight="1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</sheetData>
  <mergeCells count="17">
    <mergeCell ref="C2:G2"/>
    <mergeCell ref="A3:B3"/>
    <mergeCell ref="A5:E5"/>
    <mergeCell ref="B6:C6"/>
    <mergeCell ref="B7:E7"/>
    <mergeCell ref="B10:F10"/>
    <mergeCell ref="B11:F11"/>
    <mergeCell ref="C21:C22"/>
    <mergeCell ref="D21:F21"/>
    <mergeCell ref="G21:G22"/>
    <mergeCell ref="A13:C13"/>
    <mergeCell ref="B15:F15"/>
    <mergeCell ref="B17:F17"/>
    <mergeCell ref="B18:F18"/>
    <mergeCell ref="A20:F20"/>
    <mergeCell ref="A21:A22"/>
    <mergeCell ref="B21:B22"/>
  </mergeCells>
  <printOptions horizontalCentered="1"/>
  <pageMargins bottom="0.59" footer="0.0" header="0.0" left="0.39" right="0.39" top="0.59"/>
  <pageSetup paperSize="9" orientation="landscape"/>
  <headerFooter>
    <oddHeader>&amp;C&amp;P</oddHeader>
    <oddFooter>&amp;CСтраниц -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 outlineLevelCol="1"/>
  <cols>
    <col customWidth="1" min="1" max="1" width="5.29"/>
    <col customWidth="1" min="2" max="2" width="29.29"/>
    <col customWidth="1" min="3" max="3" width="27.14" outlineLevel="1"/>
    <col customWidth="1" min="4" max="4" width="8.57" outlineLevel="1"/>
    <col customWidth="1" min="5" max="5" width="8.14" outlineLevel="1"/>
    <col customWidth="1" min="6" max="6" width="8.57" outlineLevel="1"/>
    <col customWidth="1" min="7" max="12" width="8.71" outlineLevel="1"/>
    <col customWidth="1" min="13" max="14" width="8.57" outlineLevel="1"/>
    <col customWidth="1" min="15" max="15" width="9.86"/>
    <col customWidth="1" min="16" max="27" width="8.57" outlineLevel="1"/>
    <col customWidth="1" min="28" max="28" width="9.57"/>
    <col customWidth="1" min="29" max="40" width="8.57" outlineLevel="1"/>
    <col customWidth="1" min="41" max="41" width="9.57"/>
    <col customWidth="1" min="42" max="47" width="9.57" outlineLevel="1"/>
    <col customWidth="1" min="48" max="53" width="11.29" outlineLevel="1"/>
    <col customWidth="1" min="54" max="54" width="11.29"/>
    <col customWidth="1" min="55" max="55" width="11.29" outlineLevel="1"/>
    <col customWidth="1" min="56" max="62" width="16.0" outlineLevel="1"/>
    <col customWidth="1" min="63" max="66" width="14.0" outlineLevel="1"/>
    <col customWidth="1" min="67" max="67" width="14.0"/>
    <col customWidth="1" min="68" max="68" width="11.29" outlineLevel="1"/>
    <col customWidth="1" min="69" max="74" width="10.14" outlineLevel="1"/>
    <col customWidth="1" min="75" max="75" width="9.57" outlineLevel="1"/>
  </cols>
  <sheetData>
    <row r="1" ht="12.75" customHeight="1">
      <c r="A1" s="1" t="str">
        <f>Panel!A1</f>
        <v/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</row>
    <row r="2" ht="12.75" customHeight="1">
      <c r="A2" s="1" t="str">
        <f>Panel!A2</f>
        <v>Строительство ГЭС -5 МВТ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</row>
    <row r="4" ht="12.75" customHeight="1">
      <c r="A4" s="1" t="s">
        <v>120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</row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</row>
    <row r="6" ht="12.75" customHeight="1">
      <c r="A6" s="155" t="s">
        <v>121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7">
        <f>20.93*(1+Panel!B7)</f>
        <v>20.93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</row>
    <row r="7" ht="12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30">
        <v>0.0</v>
      </c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</row>
    <row r="8" ht="12.75" customHeight="1">
      <c r="A8" s="1" t="s">
        <v>122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8">
        <v>0.099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158" t="s">
        <v>123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</row>
    <row r="9" ht="12.75" customHeight="1">
      <c r="A9" s="3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</row>
    <row r="10" ht="12.75" customHeight="1">
      <c r="A10" s="34" t="s">
        <v>124</v>
      </c>
      <c r="B10" s="2"/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60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</row>
    <row r="11" ht="12.75" customHeight="1">
      <c r="A11" s="161" t="s">
        <v>43</v>
      </c>
      <c r="B11" s="161" t="s">
        <v>125</v>
      </c>
      <c r="C11" s="162" t="s">
        <v>59</v>
      </c>
      <c r="D11" s="162" t="s">
        <v>60</v>
      </c>
      <c r="E11" s="162" t="s">
        <v>61</v>
      </c>
      <c r="F11" s="162" t="s">
        <v>62</v>
      </c>
      <c r="G11" s="162" t="s">
        <v>63</v>
      </c>
      <c r="H11" s="162" t="s">
        <v>64</v>
      </c>
      <c r="I11" s="162" t="s">
        <v>65</v>
      </c>
      <c r="J11" s="162" t="s">
        <v>66</v>
      </c>
      <c r="K11" s="162" t="s">
        <v>67</v>
      </c>
      <c r="L11" s="162" t="s">
        <v>68</v>
      </c>
      <c r="M11" s="162" t="s">
        <v>69</v>
      </c>
      <c r="N11" s="162" t="s">
        <v>70</v>
      </c>
      <c r="O11" s="162">
        <v>2026.0</v>
      </c>
      <c r="P11" s="162" t="s">
        <v>59</v>
      </c>
      <c r="Q11" s="162" t="s">
        <v>60</v>
      </c>
      <c r="R11" s="162" t="s">
        <v>61</v>
      </c>
      <c r="S11" s="162" t="s">
        <v>62</v>
      </c>
      <c r="T11" s="162" t="s">
        <v>63</v>
      </c>
      <c r="U11" s="162" t="s">
        <v>64</v>
      </c>
      <c r="V11" s="162" t="s">
        <v>65</v>
      </c>
      <c r="W11" s="162" t="s">
        <v>66</v>
      </c>
      <c r="X11" s="162" t="s">
        <v>67</v>
      </c>
      <c r="Y11" s="162" t="s">
        <v>68</v>
      </c>
      <c r="Z11" s="162" t="s">
        <v>69</v>
      </c>
      <c r="AA11" s="162" t="s">
        <v>70</v>
      </c>
      <c r="AB11" s="162">
        <v>2027.0</v>
      </c>
      <c r="AC11" s="162" t="s">
        <v>59</v>
      </c>
      <c r="AD11" s="162" t="s">
        <v>60</v>
      </c>
      <c r="AE11" s="162" t="s">
        <v>61</v>
      </c>
      <c r="AF11" s="162" t="s">
        <v>62</v>
      </c>
      <c r="AG11" s="162" t="s">
        <v>63</v>
      </c>
      <c r="AH11" s="162" t="s">
        <v>64</v>
      </c>
      <c r="AI11" s="162" t="s">
        <v>65</v>
      </c>
      <c r="AJ11" s="162" t="s">
        <v>66</v>
      </c>
      <c r="AK11" s="162" t="s">
        <v>67</v>
      </c>
      <c r="AL11" s="162" t="s">
        <v>68</v>
      </c>
      <c r="AM11" s="162" t="s">
        <v>69</v>
      </c>
      <c r="AN11" s="162" t="s">
        <v>70</v>
      </c>
      <c r="AO11" s="162">
        <v>2028.0</v>
      </c>
      <c r="AP11" s="162">
        <v>2029.0</v>
      </c>
      <c r="AQ11" s="162">
        <v>2030.0</v>
      </c>
      <c r="AR11" s="162">
        <v>2031.0</v>
      </c>
      <c r="AS11" s="162">
        <v>2032.0</v>
      </c>
      <c r="AT11" s="162">
        <v>2033.0</v>
      </c>
      <c r="AU11" s="162">
        <v>2034.0</v>
      </c>
      <c r="AV11" s="162">
        <v>2035.0</v>
      </c>
      <c r="AW11" s="162">
        <v>2036.0</v>
      </c>
      <c r="AX11" s="162">
        <v>2037.0</v>
      </c>
      <c r="AY11" s="162">
        <v>2038.0</v>
      </c>
      <c r="AZ11" s="162">
        <v>2039.0</v>
      </c>
      <c r="BA11" s="162">
        <v>2040.0</v>
      </c>
      <c r="BB11" s="162">
        <v>2041.0</v>
      </c>
      <c r="BC11" s="162">
        <v>2042.0</v>
      </c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</row>
    <row r="12" ht="12.75" customHeight="1">
      <c r="A12" s="163">
        <v>1.0</v>
      </c>
      <c r="B12" s="164" t="s">
        <v>126</v>
      </c>
      <c r="C12" s="26">
        <f t="shared" ref="C12:N12" si="1">$O$6*E46*1000</f>
        <v>29009.2994</v>
      </c>
      <c r="D12" s="26">
        <f t="shared" si="1"/>
        <v>24623.4929</v>
      </c>
      <c r="E12" s="26">
        <f t="shared" si="1"/>
        <v>38688.9252</v>
      </c>
      <c r="F12" s="26">
        <f t="shared" si="1"/>
        <v>22817.10127</v>
      </c>
      <c r="G12" s="26">
        <f t="shared" si="1"/>
        <v>51857.62172</v>
      </c>
      <c r="H12" s="26">
        <f t="shared" si="1"/>
        <v>58345.5535</v>
      </c>
      <c r="I12" s="26">
        <f t="shared" si="1"/>
        <v>72710.3537</v>
      </c>
      <c r="J12" s="26">
        <f t="shared" si="1"/>
        <v>72710.3537</v>
      </c>
      <c r="K12" s="26">
        <f t="shared" si="1"/>
        <v>60074.3216</v>
      </c>
      <c r="L12" s="26">
        <f t="shared" si="1"/>
        <v>49228.57803</v>
      </c>
      <c r="M12" s="26">
        <f t="shared" si="1"/>
        <v>38621.91006</v>
      </c>
      <c r="N12" s="26">
        <f t="shared" si="1"/>
        <v>29890.89473</v>
      </c>
      <c r="O12" s="26">
        <f>SUM(C12:N12)</f>
        <v>548578.4058</v>
      </c>
      <c r="P12" s="26">
        <f t="shared" ref="P12:AA12" si="2">C12*(1+$O$8)</f>
        <v>31881.22004</v>
      </c>
      <c r="Q12" s="26">
        <f t="shared" si="2"/>
        <v>27061.21869</v>
      </c>
      <c r="R12" s="26">
        <f t="shared" si="2"/>
        <v>42519.1288</v>
      </c>
      <c r="S12" s="26">
        <f t="shared" si="2"/>
        <v>25075.99429</v>
      </c>
      <c r="T12" s="26">
        <f t="shared" si="2"/>
        <v>56991.52628</v>
      </c>
      <c r="U12" s="26">
        <f t="shared" si="2"/>
        <v>64121.76329</v>
      </c>
      <c r="V12" s="26">
        <f t="shared" si="2"/>
        <v>79908.67871</v>
      </c>
      <c r="W12" s="26">
        <f t="shared" si="2"/>
        <v>79908.67871</v>
      </c>
      <c r="X12" s="26">
        <f t="shared" si="2"/>
        <v>66021.67944</v>
      </c>
      <c r="Y12" s="26">
        <f t="shared" si="2"/>
        <v>54102.20725</v>
      </c>
      <c r="Z12" s="26">
        <f t="shared" si="2"/>
        <v>42445.47916</v>
      </c>
      <c r="AA12" s="26">
        <f t="shared" si="2"/>
        <v>32850.0933</v>
      </c>
      <c r="AB12" s="26">
        <f>SUM(P12:AA12)</f>
        <v>602887.668</v>
      </c>
      <c r="AC12" s="26">
        <f t="shared" ref="AC12:AN12" si="3">P12*(1+$O$8)</f>
        <v>35037.46082</v>
      </c>
      <c r="AD12" s="26">
        <f t="shared" si="3"/>
        <v>29740.27934</v>
      </c>
      <c r="AE12" s="26">
        <f t="shared" si="3"/>
        <v>46728.52255</v>
      </c>
      <c r="AF12" s="26">
        <f t="shared" si="3"/>
        <v>27558.51773</v>
      </c>
      <c r="AG12" s="26">
        <f t="shared" si="3"/>
        <v>62633.68738</v>
      </c>
      <c r="AH12" s="26">
        <f t="shared" si="3"/>
        <v>70469.81786</v>
      </c>
      <c r="AI12" s="26">
        <f t="shared" si="3"/>
        <v>87819.63791</v>
      </c>
      <c r="AJ12" s="26">
        <f t="shared" si="3"/>
        <v>87819.63791</v>
      </c>
      <c r="AK12" s="26">
        <f t="shared" si="3"/>
        <v>72557.8257</v>
      </c>
      <c r="AL12" s="26">
        <f t="shared" si="3"/>
        <v>59458.32577</v>
      </c>
      <c r="AM12" s="26">
        <f t="shared" si="3"/>
        <v>46647.58159</v>
      </c>
      <c r="AN12" s="26">
        <f t="shared" si="3"/>
        <v>36102.25254</v>
      </c>
      <c r="AO12" s="26">
        <f>SUM(AC12:AN12)</f>
        <v>662573.5471</v>
      </c>
      <c r="AP12" s="26">
        <f t="shared" ref="AP12:BC12" si="4">AO12*(1+$O$8)</f>
        <v>728168.3283</v>
      </c>
      <c r="AQ12" s="26">
        <f t="shared" si="4"/>
        <v>800256.9928</v>
      </c>
      <c r="AR12" s="26">
        <f t="shared" si="4"/>
        <v>879482.435</v>
      </c>
      <c r="AS12" s="26">
        <f t="shared" si="4"/>
        <v>966551.1961</v>
      </c>
      <c r="AT12" s="26">
        <f t="shared" si="4"/>
        <v>1062239.765</v>
      </c>
      <c r="AU12" s="26">
        <f t="shared" si="4"/>
        <v>1167401.501</v>
      </c>
      <c r="AV12" s="26">
        <f t="shared" si="4"/>
        <v>1282974.25</v>
      </c>
      <c r="AW12" s="26">
        <f t="shared" si="4"/>
        <v>1409988.701</v>
      </c>
      <c r="AX12" s="26">
        <f t="shared" si="4"/>
        <v>1549577.582</v>
      </c>
      <c r="AY12" s="26">
        <f t="shared" si="4"/>
        <v>1702985.763</v>
      </c>
      <c r="AZ12" s="26">
        <f t="shared" si="4"/>
        <v>1871581.353</v>
      </c>
      <c r="BA12" s="26">
        <f t="shared" si="4"/>
        <v>2056867.907</v>
      </c>
      <c r="BB12" s="26">
        <f t="shared" si="4"/>
        <v>2260497.83</v>
      </c>
      <c r="BC12" s="26">
        <f t="shared" si="4"/>
        <v>2484287.115</v>
      </c>
      <c r="BD12" s="2"/>
      <c r="BE12" s="2"/>
      <c r="BF12" s="2"/>
      <c r="BG12" s="2"/>
      <c r="BH12" s="26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</row>
    <row r="13" ht="12.75" customHeight="1">
      <c r="A13" s="165"/>
      <c r="B13" s="166" t="s">
        <v>56</v>
      </c>
      <c r="C13" s="167">
        <f t="shared" ref="C13:BC13" si="5">SUM(C12)</f>
        <v>29009.2994</v>
      </c>
      <c r="D13" s="167">
        <f t="shared" si="5"/>
        <v>24623.4929</v>
      </c>
      <c r="E13" s="167">
        <f t="shared" si="5"/>
        <v>38688.9252</v>
      </c>
      <c r="F13" s="167">
        <f t="shared" si="5"/>
        <v>22817.10127</v>
      </c>
      <c r="G13" s="167">
        <f t="shared" si="5"/>
        <v>51857.62172</v>
      </c>
      <c r="H13" s="167">
        <f t="shared" si="5"/>
        <v>58345.5535</v>
      </c>
      <c r="I13" s="167">
        <f t="shared" si="5"/>
        <v>72710.3537</v>
      </c>
      <c r="J13" s="167">
        <f t="shared" si="5"/>
        <v>72710.3537</v>
      </c>
      <c r="K13" s="167">
        <f t="shared" si="5"/>
        <v>60074.3216</v>
      </c>
      <c r="L13" s="167">
        <f t="shared" si="5"/>
        <v>49228.57803</v>
      </c>
      <c r="M13" s="167">
        <f t="shared" si="5"/>
        <v>38621.91006</v>
      </c>
      <c r="N13" s="167">
        <f t="shared" si="5"/>
        <v>29890.89473</v>
      </c>
      <c r="O13" s="167">
        <f t="shared" si="5"/>
        <v>548578.4058</v>
      </c>
      <c r="P13" s="167">
        <f t="shared" si="5"/>
        <v>31881.22004</v>
      </c>
      <c r="Q13" s="167">
        <f t="shared" si="5"/>
        <v>27061.21869</v>
      </c>
      <c r="R13" s="167">
        <f t="shared" si="5"/>
        <v>42519.1288</v>
      </c>
      <c r="S13" s="167">
        <f t="shared" si="5"/>
        <v>25075.99429</v>
      </c>
      <c r="T13" s="167">
        <f t="shared" si="5"/>
        <v>56991.52628</v>
      </c>
      <c r="U13" s="167">
        <f t="shared" si="5"/>
        <v>64121.76329</v>
      </c>
      <c r="V13" s="167">
        <f t="shared" si="5"/>
        <v>79908.67871</v>
      </c>
      <c r="W13" s="167">
        <f t="shared" si="5"/>
        <v>79908.67871</v>
      </c>
      <c r="X13" s="167">
        <f t="shared" si="5"/>
        <v>66021.67944</v>
      </c>
      <c r="Y13" s="167">
        <f t="shared" si="5"/>
        <v>54102.20725</v>
      </c>
      <c r="Z13" s="167">
        <f t="shared" si="5"/>
        <v>42445.47916</v>
      </c>
      <c r="AA13" s="167">
        <f t="shared" si="5"/>
        <v>32850.0933</v>
      </c>
      <c r="AB13" s="167">
        <f t="shared" si="5"/>
        <v>602887.668</v>
      </c>
      <c r="AC13" s="167">
        <f t="shared" si="5"/>
        <v>35037.46082</v>
      </c>
      <c r="AD13" s="167">
        <f t="shared" si="5"/>
        <v>29740.27934</v>
      </c>
      <c r="AE13" s="167">
        <f t="shared" si="5"/>
        <v>46728.52255</v>
      </c>
      <c r="AF13" s="167">
        <f t="shared" si="5"/>
        <v>27558.51773</v>
      </c>
      <c r="AG13" s="167">
        <f t="shared" si="5"/>
        <v>62633.68738</v>
      </c>
      <c r="AH13" s="167">
        <f t="shared" si="5"/>
        <v>70469.81786</v>
      </c>
      <c r="AI13" s="167">
        <f t="shared" si="5"/>
        <v>87819.63791</v>
      </c>
      <c r="AJ13" s="167">
        <f t="shared" si="5"/>
        <v>87819.63791</v>
      </c>
      <c r="AK13" s="167">
        <f t="shared" si="5"/>
        <v>72557.8257</v>
      </c>
      <c r="AL13" s="167">
        <f t="shared" si="5"/>
        <v>59458.32577</v>
      </c>
      <c r="AM13" s="167">
        <f t="shared" si="5"/>
        <v>46647.58159</v>
      </c>
      <c r="AN13" s="167">
        <f t="shared" si="5"/>
        <v>36102.25254</v>
      </c>
      <c r="AO13" s="167">
        <f t="shared" si="5"/>
        <v>662573.5471</v>
      </c>
      <c r="AP13" s="167">
        <f t="shared" si="5"/>
        <v>728168.3283</v>
      </c>
      <c r="AQ13" s="167">
        <f t="shared" si="5"/>
        <v>800256.9928</v>
      </c>
      <c r="AR13" s="167">
        <f t="shared" si="5"/>
        <v>879482.435</v>
      </c>
      <c r="AS13" s="167">
        <f t="shared" si="5"/>
        <v>966551.1961</v>
      </c>
      <c r="AT13" s="167">
        <f t="shared" si="5"/>
        <v>1062239.765</v>
      </c>
      <c r="AU13" s="167">
        <f t="shared" si="5"/>
        <v>1167401.501</v>
      </c>
      <c r="AV13" s="167">
        <f t="shared" si="5"/>
        <v>1282974.25</v>
      </c>
      <c r="AW13" s="167">
        <f t="shared" si="5"/>
        <v>1409988.701</v>
      </c>
      <c r="AX13" s="167">
        <f t="shared" si="5"/>
        <v>1549577.582</v>
      </c>
      <c r="AY13" s="167">
        <f t="shared" si="5"/>
        <v>1702985.763</v>
      </c>
      <c r="AZ13" s="167">
        <f t="shared" si="5"/>
        <v>1871581.353</v>
      </c>
      <c r="BA13" s="167">
        <f t="shared" si="5"/>
        <v>2056867.907</v>
      </c>
      <c r="BB13" s="167">
        <f t="shared" si="5"/>
        <v>2260497.83</v>
      </c>
      <c r="BC13" s="167">
        <f t="shared" si="5"/>
        <v>2484287.115</v>
      </c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</row>
    <row r="15" ht="12.75" customHeight="1">
      <c r="A15" s="1" t="s">
        <v>127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2"/>
      <c r="BQ15" s="2"/>
      <c r="BR15" s="2"/>
      <c r="BS15" s="2"/>
      <c r="BT15" s="2"/>
      <c r="BU15" s="2"/>
      <c r="BV15" s="2"/>
      <c r="BW15" s="26"/>
    </row>
    <row r="16" ht="12.75" customHeight="1">
      <c r="A16" s="168" t="s">
        <v>128</v>
      </c>
      <c r="B16" s="76"/>
      <c r="C16" s="169"/>
      <c r="D16" s="170" t="s">
        <v>129</v>
      </c>
      <c r="E16" s="171" t="s">
        <v>130</v>
      </c>
      <c r="F16" s="56"/>
      <c r="G16" s="56"/>
      <c r="H16" s="56"/>
      <c r="I16" s="56"/>
      <c r="J16" s="56"/>
      <c r="K16" s="56"/>
      <c r="L16" s="56"/>
      <c r="M16" s="56"/>
      <c r="N16" s="56"/>
      <c r="O16" s="57"/>
      <c r="P16" s="172"/>
      <c r="Q16" s="173" t="s">
        <v>131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</row>
    <row r="17" ht="12.75" customHeight="1">
      <c r="A17" s="174"/>
      <c r="B17" s="98"/>
      <c r="C17" s="175"/>
      <c r="D17" s="170" t="s">
        <v>132</v>
      </c>
      <c r="E17" s="176" t="s">
        <v>133</v>
      </c>
      <c r="F17" s="176" t="s">
        <v>134</v>
      </c>
      <c r="G17" s="176" t="s">
        <v>135</v>
      </c>
      <c r="H17" s="176" t="s">
        <v>136</v>
      </c>
      <c r="I17" s="176" t="s">
        <v>137</v>
      </c>
      <c r="J17" s="176" t="s">
        <v>138</v>
      </c>
      <c r="K17" s="176" t="s">
        <v>139</v>
      </c>
      <c r="L17" s="176" t="s">
        <v>140</v>
      </c>
      <c r="M17" s="176" t="s">
        <v>141</v>
      </c>
      <c r="N17" s="176" t="s">
        <v>142</v>
      </c>
      <c r="O17" s="176" t="s">
        <v>143</v>
      </c>
      <c r="P17" s="176" t="s">
        <v>144</v>
      </c>
      <c r="Q17" s="60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177"/>
      <c r="AJ17" s="177"/>
      <c r="AK17" s="177"/>
      <c r="AL17" s="177"/>
      <c r="AM17" s="177"/>
      <c r="AN17" s="177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6"/>
    </row>
    <row r="18" ht="12.75" customHeight="1">
      <c r="A18" s="178">
        <v>0.0</v>
      </c>
      <c r="B18" s="56"/>
      <c r="C18" s="57"/>
      <c r="D18" s="179">
        <v>1.0</v>
      </c>
      <c r="E18" s="179">
        <v>2.0</v>
      </c>
      <c r="F18" s="179">
        <v>3.0</v>
      </c>
      <c r="G18" s="179">
        <v>4.0</v>
      </c>
      <c r="H18" s="179">
        <v>5.0</v>
      </c>
      <c r="I18" s="179">
        <v>6.0</v>
      </c>
      <c r="J18" s="179">
        <v>7.0</v>
      </c>
      <c r="K18" s="179">
        <v>8.0</v>
      </c>
      <c r="L18" s="179">
        <v>9.0</v>
      </c>
      <c r="M18" s="179">
        <v>10.0</v>
      </c>
      <c r="N18" s="179">
        <v>11.0</v>
      </c>
      <c r="O18" s="179">
        <v>12.0</v>
      </c>
      <c r="P18" s="179">
        <v>13.0</v>
      </c>
      <c r="Q18" s="179">
        <v>14.0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180"/>
      <c r="AJ18" s="180"/>
      <c r="AK18" s="181"/>
      <c r="AL18" s="180"/>
      <c r="AM18" s="181"/>
      <c r="AN18" s="181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</row>
    <row r="19" ht="12.75" customHeight="1">
      <c r="A19" s="182" t="s">
        <v>145</v>
      </c>
      <c r="B19" s="56"/>
      <c r="C19" s="57"/>
      <c r="D19" s="183" t="s">
        <v>146</v>
      </c>
      <c r="E19" s="184">
        <v>744.0</v>
      </c>
      <c r="F19" s="184">
        <v>672.0</v>
      </c>
      <c r="G19" s="184">
        <v>744.0</v>
      </c>
      <c r="H19" s="184">
        <v>720.0</v>
      </c>
      <c r="I19" s="184">
        <v>744.0</v>
      </c>
      <c r="J19" s="184">
        <v>720.0</v>
      </c>
      <c r="K19" s="184">
        <v>744.0</v>
      </c>
      <c r="L19" s="184">
        <v>744.0</v>
      </c>
      <c r="M19" s="184">
        <v>720.0</v>
      </c>
      <c r="N19" s="184">
        <v>744.0</v>
      </c>
      <c r="O19" s="184">
        <v>720.0</v>
      </c>
      <c r="P19" s="184">
        <v>744.0</v>
      </c>
      <c r="Q19" s="184">
        <f>SUM(E19:P19)</f>
        <v>8760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180"/>
      <c r="AJ19" s="180"/>
      <c r="AK19" s="181"/>
      <c r="AL19" s="180"/>
      <c r="AM19" s="181"/>
      <c r="AN19" s="181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1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</row>
    <row r="20" ht="12.75" customHeight="1">
      <c r="A20" s="185" t="s">
        <v>147</v>
      </c>
      <c r="B20" s="56"/>
      <c r="C20" s="57"/>
      <c r="D20" s="186" t="s">
        <v>148</v>
      </c>
      <c r="E20" s="186">
        <v>3.97</v>
      </c>
      <c r="F20" s="186">
        <v>3.72</v>
      </c>
      <c r="G20" s="186">
        <v>5.47</v>
      </c>
      <c r="H20" s="186">
        <v>6.63</v>
      </c>
      <c r="I20" s="186">
        <v>14.5</v>
      </c>
      <c r="J20" s="186">
        <v>24.4</v>
      </c>
      <c r="K20" s="186">
        <v>28.4</v>
      </c>
      <c r="L20" s="186">
        <v>21.5</v>
      </c>
      <c r="M20" s="186">
        <v>11.2</v>
      </c>
      <c r="N20" s="186">
        <v>7.14</v>
      </c>
      <c r="O20" s="186">
        <v>5.73</v>
      </c>
      <c r="P20" s="186">
        <v>4.17</v>
      </c>
      <c r="Q20" s="187">
        <f>SUM(E20:P20)/12</f>
        <v>11.4025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180"/>
      <c r="AJ20" s="180"/>
      <c r="AK20" s="181"/>
      <c r="AL20" s="180"/>
      <c r="AM20" s="181"/>
      <c r="AN20" s="181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</row>
    <row r="21" ht="12.75" customHeight="1">
      <c r="A21" s="182" t="s">
        <v>149</v>
      </c>
      <c r="B21" s="56"/>
      <c r="C21" s="57"/>
      <c r="D21" s="186" t="s">
        <v>148</v>
      </c>
      <c r="E21" s="188">
        <v>0.0</v>
      </c>
      <c r="F21" s="188">
        <v>0.0</v>
      </c>
      <c r="G21" s="188">
        <v>0.0</v>
      </c>
      <c r="H21" s="188">
        <v>2.8</v>
      </c>
      <c r="I21" s="188">
        <v>5.63</v>
      </c>
      <c r="J21" s="188">
        <v>12.45</v>
      </c>
      <c r="K21" s="188">
        <v>9.63</v>
      </c>
      <c r="L21" s="188">
        <v>2.83</v>
      </c>
      <c r="M21" s="188">
        <v>1.27</v>
      </c>
      <c r="N21" s="188">
        <v>0.0</v>
      </c>
      <c r="O21" s="188">
        <v>0.0</v>
      </c>
      <c r="P21" s="188">
        <v>0.0</v>
      </c>
      <c r="Q21" s="189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180"/>
      <c r="AJ21" s="180"/>
      <c r="AK21" s="181"/>
      <c r="AL21" s="180"/>
      <c r="AM21" s="181"/>
      <c r="AN21" s="181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</row>
    <row r="22" ht="12.75" customHeight="1">
      <c r="A22" s="182" t="s">
        <v>150</v>
      </c>
      <c r="B22" s="56"/>
      <c r="C22" s="57"/>
      <c r="D22" s="190" t="s">
        <v>148</v>
      </c>
      <c r="E22" s="191">
        <f t="shared" ref="E22:P22" si="6">0.15*E20</f>
        <v>0.5955</v>
      </c>
      <c r="F22" s="191">
        <f t="shared" si="6"/>
        <v>0.558</v>
      </c>
      <c r="G22" s="191">
        <f t="shared" si="6"/>
        <v>0.8205</v>
      </c>
      <c r="H22" s="191">
        <f t="shared" si="6"/>
        <v>0.9945</v>
      </c>
      <c r="I22" s="191">
        <f t="shared" si="6"/>
        <v>2.175</v>
      </c>
      <c r="J22" s="191">
        <f t="shared" si="6"/>
        <v>3.66</v>
      </c>
      <c r="K22" s="191">
        <f t="shared" si="6"/>
        <v>4.26</v>
      </c>
      <c r="L22" s="191">
        <f t="shared" si="6"/>
        <v>3.225</v>
      </c>
      <c r="M22" s="191">
        <f t="shared" si="6"/>
        <v>1.68</v>
      </c>
      <c r="N22" s="191">
        <f t="shared" si="6"/>
        <v>1.071</v>
      </c>
      <c r="O22" s="191">
        <f t="shared" si="6"/>
        <v>0.8595</v>
      </c>
      <c r="P22" s="191">
        <f t="shared" si="6"/>
        <v>0.6255</v>
      </c>
      <c r="Q22" s="189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180"/>
      <c r="AJ22" s="180"/>
      <c r="AK22" s="181"/>
      <c r="AL22" s="180"/>
      <c r="AM22" s="181"/>
      <c r="AN22" s="181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</row>
    <row r="23" ht="12.75" customHeight="1">
      <c r="A23" s="182" t="s">
        <v>151</v>
      </c>
      <c r="B23" s="56"/>
      <c r="C23" s="57"/>
      <c r="D23" s="186" t="s">
        <v>148</v>
      </c>
      <c r="E23" s="192">
        <f t="shared" ref="E23:F23" si="7">0.01*E20</f>
        <v>0.0397</v>
      </c>
      <c r="F23" s="192">
        <f t="shared" si="7"/>
        <v>0.0372</v>
      </c>
      <c r="G23" s="192">
        <f t="shared" ref="G23:K23" si="8">0.02*G20</f>
        <v>0.1094</v>
      </c>
      <c r="H23" s="192">
        <f t="shared" si="8"/>
        <v>0.1326</v>
      </c>
      <c r="I23" s="192">
        <f t="shared" si="8"/>
        <v>0.29</v>
      </c>
      <c r="J23" s="192">
        <f t="shared" si="8"/>
        <v>0.488</v>
      </c>
      <c r="K23" s="192">
        <f t="shared" si="8"/>
        <v>0.568</v>
      </c>
      <c r="L23" s="192">
        <f t="shared" ref="L23:O23" si="9">0.01*L20</f>
        <v>0.215</v>
      </c>
      <c r="M23" s="192">
        <f t="shared" si="9"/>
        <v>0.112</v>
      </c>
      <c r="N23" s="192">
        <f t="shared" si="9"/>
        <v>0.0714</v>
      </c>
      <c r="O23" s="192">
        <f t="shared" si="9"/>
        <v>0.0573</v>
      </c>
      <c r="P23" s="192">
        <f>0.02*P20</f>
        <v>0.0834</v>
      </c>
      <c r="Q23" s="189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180"/>
      <c r="AJ23" s="180"/>
      <c r="AK23" s="181"/>
      <c r="AL23" s="180"/>
      <c r="AM23" s="181"/>
      <c r="AN23" s="181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</row>
    <row r="24" ht="12.75" customHeight="1">
      <c r="A24" s="182" t="s">
        <v>152</v>
      </c>
      <c r="B24" s="56"/>
      <c r="C24" s="57"/>
      <c r="D24" s="186" t="s">
        <v>148</v>
      </c>
      <c r="E24" s="193">
        <f t="shared" ref="E24:P24" si="10">IF(E20-(E21+E22+E23)&gt;11,11,E20-(E21+E22+E23))</f>
        <v>3.3348</v>
      </c>
      <c r="F24" s="193">
        <f t="shared" si="10"/>
        <v>3.1248</v>
      </c>
      <c r="G24" s="193">
        <f t="shared" si="10"/>
        <v>4.5401</v>
      </c>
      <c r="H24" s="193">
        <f t="shared" si="10"/>
        <v>2.7029</v>
      </c>
      <c r="I24" s="193">
        <f t="shared" si="10"/>
        <v>6.405</v>
      </c>
      <c r="J24" s="193">
        <f t="shared" si="10"/>
        <v>7.802</v>
      </c>
      <c r="K24" s="193">
        <f t="shared" si="10"/>
        <v>11</v>
      </c>
      <c r="L24" s="193">
        <f t="shared" si="10"/>
        <v>11</v>
      </c>
      <c r="M24" s="193">
        <f t="shared" si="10"/>
        <v>8.138</v>
      </c>
      <c r="N24" s="193">
        <f t="shared" si="10"/>
        <v>5.9976</v>
      </c>
      <c r="O24" s="193">
        <f t="shared" si="10"/>
        <v>4.8132</v>
      </c>
      <c r="P24" s="193">
        <f t="shared" si="10"/>
        <v>3.4611</v>
      </c>
      <c r="Q24" s="194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180"/>
      <c r="AJ24" s="180"/>
      <c r="AK24" s="181"/>
      <c r="AL24" s="180"/>
      <c r="AM24" s="181"/>
      <c r="AN24" s="181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</row>
    <row r="25" ht="12.75" customHeight="1">
      <c r="A25" s="182" t="s">
        <v>153</v>
      </c>
      <c r="B25" s="56"/>
      <c r="C25" s="57"/>
      <c r="D25" s="186" t="s">
        <v>148</v>
      </c>
      <c r="E25" s="192">
        <f t="shared" ref="E25:P25" si="11">E20-(E21+E24)</f>
        <v>0.6352</v>
      </c>
      <c r="F25" s="192">
        <f t="shared" si="11"/>
        <v>0.5952</v>
      </c>
      <c r="G25" s="192">
        <f t="shared" si="11"/>
        <v>0.9299</v>
      </c>
      <c r="H25" s="192">
        <f t="shared" si="11"/>
        <v>1.1271</v>
      </c>
      <c r="I25" s="192">
        <f t="shared" si="11"/>
        <v>2.465</v>
      </c>
      <c r="J25" s="192">
        <f t="shared" si="11"/>
        <v>4.148</v>
      </c>
      <c r="K25" s="192">
        <f t="shared" si="11"/>
        <v>7.77</v>
      </c>
      <c r="L25" s="192">
        <f t="shared" si="11"/>
        <v>7.67</v>
      </c>
      <c r="M25" s="192">
        <f t="shared" si="11"/>
        <v>1.792</v>
      </c>
      <c r="N25" s="192">
        <f t="shared" si="11"/>
        <v>1.1424</v>
      </c>
      <c r="O25" s="192">
        <f t="shared" si="11"/>
        <v>0.9168</v>
      </c>
      <c r="P25" s="192">
        <f t="shared" si="11"/>
        <v>0.7089</v>
      </c>
      <c r="Q25" s="194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180"/>
      <c r="AJ25" s="180"/>
      <c r="AK25" s="181"/>
      <c r="AL25" s="180"/>
      <c r="AM25" s="181"/>
      <c r="AN25" s="181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</row>
    <row r="26" ht="12.75" customHeight="1">
      <c r="A26" s="195" t="s">
        <v>154</v>
      </c>
      <c r="B26" s="56"/>
      <c r="C26" s="57"/>
      <c r="D26" s="61" t="s">
        <v>155</v>
      </c>
      <c r="E26" s="196">
        <v>65.0</v>
      </c>
      <c r="F26" s="196">
        <v>65.0</v>
      </c>
      <c r="G26" s="196">
        <v>65.0</v>
      </c>
      <c r="H26" s="196">
        <v>65.0</v>
      </c>
      <c r="I26" s="196">
        <v>65.0</v>
      </c>
      <c r="J26" s="196">
        <v>65.0</v>
      </c>
      <c r="K26" s="196">
        <v>65.0</v>
      </c>
      <c r="L26" s="196">
        <v>65.0</v>
      </c>
      <c r="M26" s="196">
        <v>65.0</v>
      </c>
      <c r="N26" s="196">
        <v>65.0</v>
      </c>
      <c r="O26" s="196">
        <v>65.0</v>
      </c>
      <c r="P26" s="196">
        <v>65.0</v>
      </c>
      <c r="Q26" s="196">
        <v>65.0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180"/>
      <c r="AJ26" s="180"/>
      <c r="AK26" s="181"/>
      <c r="AL26" s="180"/>
      <c r="AM26" s="181"/>
      <c r="AN26" s="181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</row>
    <row r="27" ht="12.75" customHeight="1">
      <c r="A27" s="182" t="s">
        <v>156</v>
      </c>
      <c r="B27" s="56"/>
      <c r="C27" s="57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194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180"/>
      <c r="AJ27" s="180"/>
      <c r="AK27" s="181"/>
      <c r="AL27" s="180"/>
      <c r="AM27" s="181"/>
      <c r="AN27" s="181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</row>
    <row r="28" ht="12.75" customHeight="1">
      <c r="A28" s="182" t="s">
        <v>157</v>
      </c>
      <c r="B28" s="56"/>
      <c r="C28" s="57"/>
      <c r="D28" s="61" t="s">
        <v>155</v>
      </c>
      <c r="E28" s="61">
        <v>0.5</v>
      </c>
      <c r="F28" s="61">
        <v>0.5</v>
      </c>
      <c r="G28" s="61">
        <v>0.5</v>
      </c>
      <c r="H28" s="61">
        <v>0.5</v>
      </c>
      <c r="I28" s="61">
        <v>0.5</v>
      </c>
      <c r="J28" s="61">
        <v>0.5</v>
      </c>
      <c r="K28" s="61">
        <v>0.5</v>
      </c>
      <c r="L28" s="61">
        <v>0.5</v>
      </c>
      <c r="M28" s="61">
        <v>0.5</v>
      </c>
      <c r="N28" s="61">
        <v>0.5</v>
      </c>
      <c r="O28" s="61">
        <v>0.5</v>
      </c>
      <c r="P28" s="61">
        <v>0.5</v>
      </c>
      <c r="Q28" s="194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180"/>
      <c r="AJ28" s="180"/>
      <c r="AK28" s="181"/>
      <c r="AL28" s="180"/>
      <c r="AM28" s="181"/>
      <c r="AN28" s="181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</row>
    <row r="29" ht="12.75" customHeight="1">
      <c r="A29" s="182" t="s">
        <v>158</v>
      </c>
      <c r="B29" s="56"/>
      <c r="C29" s="57"/>
      <c r="D29" s="61"/>
      <c r="E29" s="197"/>
      <c r="F29" s="197"/>
      <c r="G29" s="197"/>
      <c r="H29" s="197"/>
      <c r="I29" s="197"/>
      <c r="J29" s="197"/>
      <c r="K29" s="197"/>
      <c r="L29" s="197"/>
      <c r="M29" s="197"/>
      <c r="N29" s="197"/>
      <c r="O29" s="197"/>
      <c r="P29" s="197"/>
      <c r="Q29" s="19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180"/>
      <c r="AJ29" s="180"/>
      <c r="AK29" s="181"/>
      <c r="AL29" s="180"/>
      <c r="AM29" s="181"/>
      <c r="AN29" s="181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</row>
    <row r="30" ht="12.75" customHeight="1">
      <c r="A30" s="198" t="s">
        <v>159</v>
      </c>
      <c r="B30" s="56"/>
      <c r="C30" s="57"/>
      <c r="D30" s="199" t="s">
        <v>155</v>
      </c>
      <c r="E30" s="200">
        <v>4450.0</v>
      </c>
      <c r="F30" s="200">
        <v>4450.0</v>
      </c>
      <c r="G30" s="200">
        <v>4450.0</v>
      </c>
      <c r="H30" s="200">
        <v>4450.0</v>
      </c>
      <c r="I30" s="200">
        <v>4450.0</v>
      </c>
      <c r="J30" s="200">
        <v>4450.0</v>
      </c>
      <c r="K30" s="200">
        <v>4450.0</v>
      </c>
      <c r="L30" s="200">
        <v>4450.0</v>
      </c>
      <c r="M30" s="200">
        <v>4450.0</v>
      </c>
      <c r="N30" s="200">
        <v>4450.0</v>
      </c>
      <c r="O30" s="200">
        <v>4450.0</v>
      </c>
      <c r="P30" s="200">
        <v>4450.0</v>
      </c>
      <c r="Q30" s="201">
        <v>4450.0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180"/>
      <c r="AJ30" s="180"/>
      <c r="AK30" s="181"/>
      <c r="AL30" s="180"/>
      <c r="AM30" s="181"/>
      <c r="AN30" s="181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</row>
    <row r="31" ht="12.75" customHeight="1">
      <c r="A31" s="198" t="s">
        <v>160</v>
      </c>
      <c r="B31" s="56"/>
      <c r="C31" s="57"/>
      <c r="D31" s="61" t="s">
        <v>155</v>
      </c>
      <c r="E31" s="202">
        <v>2.1</v>
      </c>
      <c r="F31" s="202">
        <v>2.1</v>
      </c>
      <c r="G31" s="202">
        <v>2.1</v>
      </c>
      <c r="H31" s="202">
        <v>2.1</v>
      </c>
      <c r="I31" s="202">
        <v>2.1</v>
      </c>
      <c r="J31" s="202">
        <v>2.1</v>
      </c>
      <c r="K31" s="202">
        <v>2.1</v>
      </c>
      <c r="L31" s="202">
        <v>2.1</v>
      </c>
      <c r="M31" s="202">
        <v>2.1</v>
      </c>
      <c r="N31" s="202">
        <v>2.1</v>
      </c>
      <c r="O31" s="202">
        <v>2.1</v>
      </c>
      <c r="P31" s="202">
        <v>2.1</v>
      </c>
      <c r="Q31" s="194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180"/>
      <c r="AJ31" s="180"/>
      <c r="AK31" s="181"/>
      <c r="AL31" s="180"/>
      <c r="AM31" s="181"/>
      <c r="AN31" s="181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</row>
    <row r="32" ht="12.75" customHeight="1">
      <c r="A32" s="198" t="s">
        <v>161</v>
      </c>
      <c r="B32" s="56"/>
      <c r="C32" s="57"/>
      <c r="D32" s="61" t="s">
        <v>162</v>
      </c>
      <c r="E32" s="61">
        <v>0.5</v>
      </c>
      <c r="F32" s="61">
        <v>0.5</v>
      </c>
      <c r="G32" s="61">
        <v>0.5</v>
      </c>
      <c r="H32" s="61">
        <v>0.5</v>
      </c>
      <c r="I32" s="61">
        <v>0.5</v>
      </c>
      <c r="J32" s="61">
        <v>0.5</v>
      </c>
      <c r="K32" s="61">
        <v>0.5</v>
      </c>
      <c r="L32" s="61">
        <v>0.5</v>
      </c>
      <c r="M32" s="61">
        <v>0.5</v>
      </c>
      <c r="N32" s="61">
        <v>0.5</v>
      </c>
      <c r="O32" s="61">
        <v>0.5</v>
      </c>
      <c r="P32" s="61">
        <v>0.5</v>
      </c>
      <c r="Q32" s="194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180"/>
      <c r="AJ32" s="180"/>
      <c r="AK32" s="181"/>
      <c r="AL32" s="180"/>
      <c r="AM32" s="181"/>
      <c r="AN32" s="181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</row>
    <row r="33" ht="12.75" customHeight="1">
      <c r="A33" s="198" t="s">
        <v>163</v>
      </c>
      <c r="B33" s="56"/>
      <c r="C33" s="57"/>
      <c r="D33" s="199" t="s">
        <v>164</v>
      </c>
      <c r="E33" s="203">
        <f t="shared" ref="E33:P33" si="12">0.11*(E32/(1000*E31))^0.25</f>
        <v>0.01366407895</v>
      </c>
      <c r="F33" s="203">
        <f t="shared" si="12"/>
        <v>0.01366407895</v>
      </c>
      <c r="G33" s="203">
        <f t="shared" si="12"/>
        <v>0.01366407895</v>
      </c>
      <c r="H33" s="203">
        <f t="shared" si="12"/>
        <v>0.01366407895</v>
      </c>
      <c r="I33" s="203">
        <f t="shared" si="12"/>
        <v>0.01366407895</v>
      </c>
      <c r="J33" s="203">
        <f t="shared" si="12"/>
        <v>0.01366407895</v>
      </c>
      <c r="K33" s="203">
        <f t="shared" si="12"/>
        <v>0.01366407895</v>
      </c>
      <c r="L33" s="203">
        <f t="shared" si="12"/>
        <v>0.01366407895</v>
      </c>
      <c r="M33" s="203">
        <f t="shared" si="12"/>
        <v>0.01366407895</v>
      </c>
      <c r="N33" s="203">
        <f t="shared" si="12"/>
        <v>0.01366407895</v>
      </c>
      <c r="O33" s="203">
        <f t="shared" si="12"/>
        <v>0.01366407895</v>
      </c>
      <c r="P33" s="203">
        <f t="shared" si="12"/>
        <v>0.01366407895</v>
      </c>
      <c r="Q33" s="194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180"/>
      <c r="AJ33" s="180"/>
      <c r="AK33" s="181"/>
      <c r="AL33" s="180"/>
      <c r="AM33" s="181"/>
      <c r="AN33" s="181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</row>
    <row r="34" ht="12.75" customHeight="1">
      <c r="A34" s="198" t="s">
        <v>165</v>
      </c>
      <c r="B34" s="56"/>
      <c r="C34" s="57"/>
      <c r="D34" s="199" t="s">
        <v>164</v>
      </c>
      <c r="E34" s="203">
        <f t="shared" ref="E34:P34" si="13">E33*E30/E31</f>
        <v>28.95483396</v>
      </c>
      <c r="F34" s="203">
        <f t="shared" si="13"/>
        <v>28.95483396</v>
      </c>
      <c r="G34" s="203">
        <f t="shared" si="13"/>
        <v>28.95483396</v>
      </c>
      <c r="H34" s="203">
        <f t="shared" si="13"/>
        <v>28.95483396</v>
      </c>
      <c r="I34" s="203">
        <f t="shared" si="13"/>
        <v>28.95483396</v>
      </c>
      <c r="J34" s="203">
        <f t="shared" si="13"/>
        <v>28.95483396</v>
      </c>
      <c r="K34" s="203">
        <f t="shared" si="13"/>
        <v>28.95483396</v>
      </c>
      <c r="L34" s="203">
        <f t="shared" si="13"/>
        <v>28.95483396</v>
      </c>
      <c r="M34" s="203">
        <f t="shared" si="13"/>
        <v>28.95483396</v>
      </c>
      <c r="N34" s="203">
        <f t="shared" si="13"/>
        <v>28.95483396</v>
      </c>
      <c r="O34" s="203">
        <f t="shared" si="13"/>
        <v>28.95483396</v>
      </c>
      <c r="P34" s="203">
        <f t="shared" si="13"/>
        <v>28.95483396</v>
      </c>
      <c r="Q34" s="194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</row>
    <row r="35" ht="12.75" customHeight="1">
      <c r="A35" s="198" t="s">
        <v>166</v>
      </c>
      <c r="B35" s="56"/>
      <c r="C35" s="57"/>
      <c r="D35" s="61" t="s">
        <v>167</v>
      </c>
      <c r="E35" s="203">
        <f t="shared" ref="E35:P35" si="14">3.1416*(E31)^2/4</f>
        <v>3.463614</v>
      </c>
      <c r="F35" s="203">
        <f t="shared" si="14"/>
        <v>3.463614</v>
      </c>
      <c r="G35" s="203">
        <f t="shared" si="14"/>
        <v>3.463614</v>
      </c>
      <c r="H35" s="203">
        <f t="shared" si="14"/>
        <v>3.463614</v>
      </c>
      <c r="I35" s="203">
        <f t="shared" si="14"/>
        <v>3.463614</v>
      </c>
      <c r="J35" s="203">
        <f t="shared" si="14"/>
        <v>3.463614</v>
      </c>
      <c r="K35" s="203">
        <f t="shared" si="14"/>
        <v>3.463614</v>
      </c>
      <c r="L35" s="203">
        <f t="shared" si="14"/>
        <v>3.463614</v>
      </c>
      <c r="M35" s="203">
        <f t="shared" si="14"/>
        <v>3.463614</v>
      </c>
      <c r="N35" s="203">
        <f t="shared" si="14"/>
        <v>3.463614</v>
      </c>
      <c r="O35" s="203">
        <f t="shared" si="14"/>
        <v>3.463614</v>
      </c>
      <c r="P35" s="203">
        <f t="shared" si="14"/>
        <v>3.463614</v>
      </c>
      <c r="Q35" s="194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</row>
    <row r="36" ht="12.75" customHeight="1">
      <c r="A36" s="198" t="s">
        <v>168</v>
      </c>
      <c r="B36" s="56"/>
      <c r="C36" s="57"/>
      <c r="D36" s="61" t="s">
        <v>169</v>
      </c>
      <c r="E36" s="203">
        <f t="shared" ref="E36:P36" si="15">E24/E35</f>
        <v>0.9628093662</v>
      </c>
      <c r="F36" s="203">
        <f t="shared" si="15"/>
        <v>0.9021790534</v>
      </c>
      <c r="G36" s="203">
        <f t="shared" si="15"/>
        <v>1.31079849</v>
      </c>
      <c r="H36" s="203">
        <f t="shared" si="15"/>
        <v>0.780369868</v>
      </c>
      <c r="I36" s="203">
        <f t="shared" si="15"/>
        <v>1.849224538</v>
      </c>
      <c r="J36" s="203">
        <f t="shared" si="15"/>
        <v>2.252560476</v>
      </c>
      <c r="K36" s="203">
        <f t="shared" si="15"/>
        <v>3.175873524</v>
      </c>
      <c r="L36" s="203">
        <f t="shared" si="15"/>
        <v>3.175873524</v>
      </c>
      <c r="M36" s="203">
        <f t="shared" si="15"/>
        <v>2.349568976</v>
      </c>
      <c r="N36" s="203">
        <f t="shared" si="15"/>
        <v>1.731601732</v>
      </c>
      <c r="O36" s="203">
        <f t="shared" si="15"/>
        <v>1.389646768</v>
      </c>
      <c r="P36" s="203">
        <f t="shared" si="15"/>
        <v>0.9992741685</v>
      </c>
      <c r="Q36" s="194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</row>
    <row r="37" ht="12.75" customHeight="1">
      <c r="A37" s="198" t="s">
        <v>170</v>
      </c>
      <c r="B37" s="56"/>
      <c r="C37" s="57"/>
      <c r="D37" s="61" t="s">
        <v>155</v>
      </c>
      <c r="E37" s="203">
        <f t="shared" ref="E37:P37" si="16">(E36)^2/(2*9.81)</f>
        <v>0.04724780202</v>
      </c>
      <c r="F37" s="203">
        <f t="shared" si="16"/>
        <v>0.04148455884</v>
      </c>
      <c r="G37" s="203">
        <f t="shared" si="16"/>
        <v>0.08757353112</v>
      </c>
      <c r="H37" s="203">
        <f t="shared" si="16"/>
        <v>0.03103858975</v>
      </c>
      <c r="I37" s="203">
        <f t="shared" si="16"/>
        <v>0.1742931393</v>
      </c>
      <c r="J37" s="203">
        <f t="shared" si="16"/>
        <v>0.2586151222</v>
      </c>
      <c r="K37" s="203">
        <f t="shared" si="16"/>
        <v>0.5140760775</v>
      </c>
      <c r="L37" s="203">
        <f t="shared" si="16"/>
        <v>0.5140760775</v>
      </c>
      <c r="M37" s="203">
        <f t="shared" si="16"/>
        <v>0.2813697438</v>
      </c>
      <c r="N37" s="203">
        <f t="shared" si="16"/>
        <v>0.1528259203</v>
      </c>
      <c r="O37" s="203">
        <f t="shared" si="16"/>
        <v>0.09842600098</v>
      </c>
      <c r="P37" s="203">
        <f t="shared" si="16"/>
        <v>0.05089443751</v>
      </c>
      <c r="Q37" s="194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</row>
    <row r="38" ht="12.75" customHeight="1">
      <c r="A38" s="198" t="s">
        <v>171</v>
      </c>
      <c r="B38" s="56"/>
      <c r="C38" s="57"/>
      <c r="D38" s="61" t="s">
        <v>155</v>
      </c>
      <c r="E38" s="204">
        <f t="shared" ref="E38:P38" si="17">E34*E37</f>
        <v>1.368052262</v>
      </c>
      <c r="F38" s="204">
        <f t="shared" si="17"/>
        <v>1.201178513</v>
      </c>
      <c r="G38" s="204">
        <f t="shared" si="17"/>
        <v>2.535677053</v>
      </c>
      <c r="H38" s="204">
        <f t="shared" si="17"/>
        <v>0.8987172125</v>
      </c>
      <c r="I38" s="204">
        <f t="shared" si="17"/>
        <v>5.046628908</v>
      </c>
      <c r="J38" s="204">
        <f t="shared" si="17"/>
        <v>7.488157922</v>
      </c>
      <c r="K38" s="204">
        <f t="shared" si="17"/>
        <v>14.88498747</v>
      </c>
      <c r="L38" s="204">
        <f t="shared" si="17"/>
        <v>14.88498747</v>
      </c>
      <c r="M38" s="204">
        <f t="shared" si="17"/>
        <v>8.147014213</v>
      </c>
      <c r="N38" s="204">
        <f t="shared" si="17"/>
        <v>4.425049148</v>
      </c>
      <c r="O38" s="204">
        <f t="shared" si="17"/>
        <v>2.849908516</v>
      </c>
      <c r="P38" s="204">
        <f t="shared" si="17"/>
        <v>1.473639987</v>
      </c>
      <c r="Q38" s="194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</row>
    <row r="39" ht="12.75" customHeight="1">
      <c r="A39" s="198" t="s">
        <v>172</v>
      </c>
      <c r="B39" s="56"/>
      <c r="C39" s="57"/>
      <c r="D39" s="61" t="s">
        <v>155</v>
      </c>
      <c r="E39" s="204">
        <f t="shared" ref="E39:P39" si="18">0.1*E38</f>
        <v>0.1368052262</v>
      </c>
      <c r="F39" s="204">
        <f t="shared" si="18"/>
        <v>0.1201178513</v>
      </c>
      <c r="G39" s="204">
        <f t="shared" si="18"/>
        <v>0.2535677053</v>
      </c>
      <c r="H39" s="204">
        <f t="shared" si="18"/>
        <v>0.08987172125</v>
      </c>
      <c r="I39" s="204">
        <f t="shared" si="18"/>
        <v>0.5046628908</v>
      </c>
      <c r="J39" s="204">
        <f t="shared" si="18"/>
        <v>0.7488157922</v>
      </c>
      <c r="K39" s="204">
        <f t="shared" si="18"/>
        <v>1.488498747</v>
      </c>
      <c r="L39" s="204">
        <f t="shared" si="18"/>
        <v>1.488498747</v>
      </c>
      <c r="M39" s="204">
        <f t="shared" si="18"/>
        <v>0.8147014213</v>
      </c>
      <c r="N39" s="204">
        <f t="shared" si="18"/>
        <v>0.4425049148</v>
      </c>
      <c r="O39" s="204">
        <f t="shared" si="18"/>
        <v>0.2849908516</v>
      </c>
      <c r="P39" s="204">
        <f t="shared" si="18"/>
        <v>0.1473639987</v>
      </c>
      <c r="Q39" s="194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</row>
    <row r="40" ht="12.75" customHeight="1">
      <c r="A40" s="198" t="s">
        <v>173</v>
      </c>
      <c r="B40" s="56"/>
      <c r="C40" s="57"/>
      <c r="D40" s="61" t="s">
        <v>155</v>
      </c>
      <c r="E40" s="204">
        <f t="shared" ref="E40:P40" si="19">E38+E39</f>
        <v>1.504857489</v>
      </c>
      <c r="F40" s="204">
        <f t="shared" si="19"/>
        <v>1.321296364</v>
      </c>
      <c r="G40" s="204">
        <f t="shared" si="19"/>
        <v>2.789244758</v>
      </c>
      <c r="H40" s="204">
        <f t="shared" si="19"/>
        <v>0.9885889337</v>
      </c>
      <c r="I40" s="204">
        <f t="shared" si="19"/>
        <v>5.551291799</v>
      </c>
      <c r="J40" s="204">
        <f t="shared" si="19"/>
        <v>8.236973714</v>
      </c>
      <c r="K40" s="204">
        <f t="shared" si="19"/>
        <v>16.37348621</v>
      </c>
      <c r="L40" s="204">
        <f t="shared" si="19"/>
        <v>16.37348621</v>
      </c>
      <c r="M40" s="204">
        <f t="shared" si="19"/>
        <v>8.961715635</v>
      </c>
      <c r="N40" s="204">
        <f t="shared" si="19"/>
        <v>4.867554062</v>
      </c>
      <c r="O40" s="204">
        <f t="shared" si="19"/>
        <v>3.134899367</v>
      </c>
      <c r="P40" s="204">
        <f t="shared" si="19"/>
        <v>1.621003986</v>
      </c>
      <c r="Q40" s="194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</row>
    <row r="41" ht="12.75" customHeight="1">
      <c r="A41" s="182" t="s">
        <v>174</v>
      </c>
      <c r="B41" s="56"/>
      <c r="C41" s="57"/>
      <c r="D41" s="61" t="s">
        <v>155</v>
      </c>
      <c r="E41" s="205">
        <f t="shared" ref="E41:P41" si="20">E28+E40</f>
        <v>2.004857489</v>
      </c>
      <c r="F41" s="205">
        <f t="shared" si="20"/>
        <v>1.821296364</v>
      </c>
      <c r="G41" s="205">
        <f t="shared" si="20"/>
        <v>3.289244758</v>
      </c>
      <c r="H41" s="205">
        <f t="shared" si="20"/>
        <v>1.488588934</v>
      </c>
      <c r="I41" s="205">
        <f t="shared" si="20"/>
        <v>6.051291799</v>
      </c>
      <c r="J41" s="205">
        <f t="shared" si="20"/>
        <v>8.736973714</v>
      </c>
      <c r="K41" s="205">
        <f t="shared" si="20"/>
        <v>16.87348621</v>
      </c>
      <c r="L41" s="205">
        <f t="shared" si="20"/>
        <v>16.87348621</v>
      </c>
      <c r="M41" s="205">
        <f t="shared" si="20"/>
        <v>9.461715635</v>
      </c>
      <c r="N41" s="205">
        <f t="shared" si="20"/>
        <v>5.367554062</v>
      </c>
      <c r="O41" s="205">
        <f t="shared" si="20"/>
        <v>3.634899367</v>
      </c>
      <c r="P41" s="205">
        <f t="shared" si="20"/>
        <v>2.121003986</v>
      </c>
      <c r="Q41" s="194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</row>
    <row r="42" ht="12.75" customHeight="1">
      <c r="A42" s="182" t="s">
        <v>175</v>
      </c>
      <c r="B42" s="56"/>
      <c r="C42" s="57"/>
      <c r="D42" s="61" t="s">
        <v>155</v>
      </c>
      <c r="E42" s="205">
        <f t="shared" ref="E42:P42" si="21">E26-E41</f>
        <v>62.99514251</v>
      </c>
      <c r="F42" s="205">
        <f t="shared" si="21"/>
        <v>63.17870364</v>
      </c>
      <c r="G42" s="205">
        <f t="shared" si="21"/>
        <v>61.71075524</v>
      </c>
      <c r="H42" s="205">
        <f t="shared" si="21"/>
        <v>63.51141107</v>
      </c>
      <c r="I42" s="205">
        <f t="shared" si="21"/>
        <v>58.9487082</v>
      </c>
      <c r="J42" s="205">
        <f t="shared" si="21"/>
        <v>56.26302629</v>
      </c>
      <c r="K42" s="205">
        <f t="shared" si="21"/>
        <v>48.12651379</v>
      </c>
      <c r="L42" s="205">
        <f t="shared" si="21"/>
        <v>48.12651379</v>
      </c>
      <c r="M42" s="205">
        <f t="shared" si="21"/>
        <v>55.53828437</v>
      </c>
      <c r="N42" s="205">
        <f t="shared" si="21"/>
        <v>59.63244594</v>
      </c>
      <c r="O42" s="205">
        <f t="shared" si="21"/>
        <v>61.36510063</v>
      </c>
      <c r="P42" s="205">
        <f t="shared" si="21"/>
        <v>62.87899601</v>
      </c>
      <c r="Q42" s="194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</row>
    <row r="43" ht="12.75" customHeight="1">
      <c r="A43" s="182" t="s">
        <v>176</v>
      </c>
      <c r="B43" s="56"/>
      <c r="C43" s="57"/>
      <c r="D43" s="61" t="s">
        <v>177</v>
      </c>
      <c r="E43" s="61">
        <v>93.0</v>
      </c>
      <c r="F43" s="61">
        <v>93.0</v>
      </c>
      <c r="G43" s="61">
        <v>93.0</v>
      </c>
      <c r="H43" s="61">
        <v>92.5</v>
      </c>
      <c r="I43" s="61">
        <v>92.5</v>
      </c>
      <c r="J43" s="61">
        <v>92.5</v>
      </c>
      <c r="K43" s="61">
        <v>92.5</v>
      </c>
      <c r="L43" s="61">
        <v>92.5</v>
      </c>
      <c r="M43" s="61">
        <v>92.5</v>
      </c>
      <c r="N43" s="61">
        <v>92.7</v>
      </c>
      <c r="O43" s="61">
        <v>91.0</v>
      </c>
      <c r="P43" s="61">
        <v>92.5</v>
      </c>
      <c r="Q43" s="194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</row>
    <row r="44" ht="12.75" customHeight="1">
      <c r="A44" s="182" t="s">
        <v>178</v>
      </c>
      <c r="B44" s="56"/>
      <c r="C44" s="57"/>
      <c r="D44" s="61" t="s">
        <v>177</v>
      </c>
      <c r="E44" s="61">
        <v>97.2</v>
      </c>
      <c r="F44" s="61">
        <v>97.2</v>
      </c>
      <c r="G44" s="61">
        <v>97.2</v>
      </c>
      <c r="H44" s="61">
        <v>97.2</v>
      </c>
      <c r="I44" s="61">
        <v>97.2</v>
      </c>
      <c r="J44" s="61">
        <v>97.2</v>
      </c>
      <c r="K44" s="61">
        <v>97.2</v>
      </c>
      <c r="L44" s="61">
        <v>97.2</v>
      </c>
      <c r="M44" s="61">
        <v>97.2</v>
      </c>
      <c r="N44" s="61">
        <v>97.2</v>
      </c>
      <c r="O44" s="61">
        <v>97.2</v>
      </c>
      <c r="P44" s="61">
        <v>97.2</v>
      </c>
      <c r="Q44" s="194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</row>
    <row r="45" ht="12.75" customHeight="1">
      <c r="A45" s="182" t="s">
        <v>179</v>
      </c>
      <c r="B45" s="56"/>
      <c r="C45" s="57"/>
      <c r="D45" s="206" t="s">
        <v>180</v>
      </c>
      <c r="E45" s="207">
        <f t="shared" ref="E45:P45" si="22">IF((9.81*E24*E42*E43*E44*0.0000001)&gt;5,5,9.81*E24*E42*E43*E44*0.0000001)</f>
        <v>1.862923737</v>
      </c>
      <c r="F45" s="207">
        <f t="shared" si="22"/>
        <v>1.750697684</v>
      </c>
      <c r="G45" s="207">
        <f t="shared" si="22"/>
        <v>2.484531465</v>
      </c>
      <c r="H45" s="207">
        <f t="shared" si="22"/>
        <v>1.514114593</v>
      </c>
      <c r="I45" s="207">
        <f t="shared" si="22"/>
        <v>3.330200882</v>
      </c>
      <c r="J45" s="207">
        <f t="shared" si="22"/>
        <v>3.871738699</v>
      </c>
      <c r="K45" s="207">
        <f t="shared" si="22"/>
        <v>4.669324894</v>
      </c>
      <c r="L45" s="207">
        <f t="shared" si="22"/>
        <v>4.669324894</v>
      </c>
      <c r="M45" s="207">
        <f t="shared" si="22"/>
        <v>3.98645761</v>
      </c>
      <c r="N45" s="207">
        <f t="shared" si="22"/>
        <v>3.161368542</v>
      </c>
      <c r="O45" s="207">
        <f t="shared" si="22"/>
        <v>2.562902138</v>
      </c>
      <c r="P45" s="207">
        <f t="shared" si="22"/>
        <v>1.919538164</v>
      </c>
      <c r="Q45" s="208">
        <v>5.0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</row>
    <row r="46" ht="12.75" customHeight="1">
      <c r="A46" s="182" t="s">
        <v>181</v>
      </c>
      <c r="B46" s="56"/>
      <c r="C46" s="57"/>
      <c r="D46" s="209" t="s">
        <v>182</v>
      </c>
      <c r="E46" s="209">
        <f t="shared" ref="E46:P46" si="23">E45*E19*0.001</f>
        <v>1.38601526</v>
      </c>
      <c r="F46" s="209">
        <f t="shared" si="23"/>
        <v>1.176468844</v>
      </c>
      <c r="G46" s="209">
        <f t="shared" si="23"/>
        <v>1.84849141</v>
      </c>
      <c r="H46" s="209">
        <f t="shared" si="23"/>
        <v>1.090162507</v>
      </c>
      <c r="I46" s="209">
        <f t="shared" si="23"/>
        <v>2.477669457</v>
      </c>
      <c r="J46" s="209">
        <f t="shared" si="23"/>
        <v>2.787651863</v>
      </c>
      <c r="K46" s="209">
        <f t="shared" si="23"/>
        <v>3.473977721</v>
      </c>
      <c r="L46" s="209">
        <f t="shared" si="23"/>
        <v>3.473977721</v>
      </c>
      <c r="M46" s="209">
        <f t="shared" si="23"/>
        <v>2.870249479</v>
      </c>
      <c r="N46" s="209">
        <f t="shared" si="23"/>
        <v>2.352058195</v>
      </c>
      <c r="O46" s="209">
        <f t="shared" si="23"/>
        <v>1.84528954</v>
      </c>
      <c r="P46" s="209">
        <f t="shared" si="23"/>
        <v>1.428136394</v>
      </c>
      <c r="Q46" s="210">
        <f>SUM(E46:P46)</f>
        <v>26.21014839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</row>
    <row r="47" ht="12.75" customHeight="1">
      <c r="A47" s="182" t="s">
        <v>183</v>
      </c>
      <c r="B47" s="56"/>
      <c r="C47" s="57"/>
      <c r="D47" s="211" t="s">
        <v>184</v>
      </c>
      <c r="E47" s="212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3">
        <f>Q46*1000/Q45</f>
        <v>5242.029678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</row>
  </sheetData>
  <mergeCells count="34">
    <mergeCell ref="AI10:BW10"/>
    <mergeCell ref="A16:C17"/>
    <mergeCell ref="E16:O16"/>
    <mergeCell ref="Q16:Q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42:C42"/>
    <mergeCell ref="A43:C43"/>
    <mergeCell ref="A44:C44"/>
    <mergeCell ref="A45:C45"/>
    <mergeCell ref="A46:C46"/>
    <mergeCell ref="A47:C47"/>
    <mergeCell ref="A35:C35"/>
    <mergeCell ref="A36:C36"/>
    <mergeCell ref="A37:C37"/>
    <mergeCell ref="A38:C38"/>
    <mergeCell ref="A39:C39"/>
    <mergeCell ref="A40:C40"/>
    <mergeCell ref="A41:C41"/>
  </mergeCells>
  <hyperlinks>
    <hyperlink r:id="rId1" location=":~:text=%D0%BF%D1%80%D0%BE%D1%87%D0%B8%D0%B5%20%D0%B2%D0%B8%D0%B4%D1%8B%20%D1%82%D0%BE%D0%BF%D0%BB%D0%B8%D0%B2%D0%B0-,9%2C9,-0%2C814" ref="AB8"/>
  </hyperlinks>
  <printOptions/>
  <pageMargins bottom="0.75" footer="0.0" header="0.0" left="0.7" right="0.7" top="0.75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 outlineLevelCol="1"/>
  <cols>
    <col customWidth="1" min="1" max="1" width="5.29"/>
    <col customWidth="1" min="2" max="2" width="48.14"/>
    <col customWidth="1" min="3" max="3" width="14.86" outlineLevel="1"/>
    <col customWidth="1" min="4" max="4" width="19.43" outlineLevel="1"/>
    <col customWidth="1" min="5" max="5" width="10.14" outlineLevel="1"/>
    <col customWidth="1" min="6" max="7" width="12.29" outlineLevel="1"/>
    <col customWidth="1" min="8" max="8" width="12.86" outlineLevel="1"/>
    <col customWidth="1" min="9" max="14" width="10.14" outlineLevel="1"/>
    <col customWidth="1" min="15" max="15" width="11.29"/>
    <col customWidth="1" min="16" max="16" width="12.57" outlineLevel="1"/>
    <col customWidth="1" min="17" max="27" width="10.14" outlineLevel="1"/>
    <col customWidth="1" min="28" max="28" width="10.14"/>
    <col customWidth="1" min="29" max="29" width="12.57" outlineLevel="1"/>
    <col customWidth="1" min="30" max="40" width="10.14" outlineLevel="1"/>
    <col customWidth="1" min="41" max="42" width="11.29"/>
    <col customWidth="1" min="43" max="54" width="11.29" outlineLevel="1"/>
    <col customWidth="1" min="55" max="55" width="12.57"/>
    <col customWidth="1" min="56" max="67" width="13.29" outlineLevel="1"/>
    <col customWidth="1" min="68" max="68" width="12.86"/>
    <col customWidth="1" min="69" max="75" width="12.86" outlineLevel="1"/>
    <col customWidth="1" min="76" max="111" width="8.86"/>
  </cols>
  <sheetData>
    <row r="1" ht="12.75" customHeight="1">
      <c r="A1" s="1" t="str">
        <f>Panel!A1</f>
        <v/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</row>
    <row r="2" ht="12.75" customHeight="1">
      <c r="A2" s="1" t="str">
        <f>Panel!A2</f>
        <v>Строительство ГЭС -5 МВТ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14"/>
      <c r="BQ2" s="214"/>
      <c r="BR2" s="214"/>
      <c r="BS2" s="214"/>
      <c r="BT2" s="214"/>
      <c r="BU2" s="214"/>
      <c r="BV2" s="214"/>
      <c r="BW2" s="214"/>
      <c r="BX2" s="214"/>
      <c r="BY2" s="214"/>
      <c r="BZ2" s="214"/>
      <c r="CA2" s="214"/>
      <c r="CB2" s="214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14"/>
      <c r="BQ3" s="214"/>
      <c r="BR3" s="214"/>
      <c r="BS3" s="214"/>
      <c r="BT3" s="214"/>
      <c r="BU3" s="214"/>
      <c r="BV3" s="214"/>
      <c r="BW3" s="214"/>
      <c r="BX3" s="214"/>
      <c r="BY3" s="214"/>
      <c r="BZ3" s="214"/>
      <c r="CA3" s="214"/>
      <c r="CB3" s="214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ht="12.75" customHeight="1">
      <c r="A4" s="1" t="s">
        <v>185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14"/>
      <c r="BQ4" s="214"/>
      <c r="BR4" s="214"/>
      <c r="BS4" s="214"/>
      <c r="BT4" s="214"/>
      <c r="BU4" s="214"/>
      <c r="BV4" s="214"/>
      <c r="BW4" s="214"/>
      <c r="BX4" s="214"/>
      <c r="BY4" s="214"/>
      <c r="BZ4" s="214"/>
      <c r="CA4" s="214"/>
      <c r="CB4" s="214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</row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70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70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70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70"/>
      <c r="BO5" s="70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15"/>
      <c r="CD5" s="215"/>
      <c r="CE5" s="215"/>
      <c r="CF5" s="215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</row>
    <row r="6" ht="12.75" customHeight="1">
      <c r="A6" s="34" t="s">
        <v>124</v>
      </c>
      <c r="B6" s="2"/>
      <c r="C6" s="160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16"/>
      <c r="CD6" s="217"/>
      <c r="CE6" s="217"/>
      <c r="CF6" s="217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</row>
    <row r="7" ht="12.75" customHeight="1">
      <c r="A7" s="161" t="s">
        <v>43</v>
      </c>
      <c r="B7" s="161" t="s">
        <v>186</v>
      </c>
      <c r="C7" s="59" t="s">
        <v>59</v>
      </c>
      <c r="D7" s="59" t="s">
        <v>60</v>
      </c>
      <c r="E7" s="59" t="s">
        <v>61</v>
      </c>
      <c r="F7" s="59" t="s">
        <v>62</v>
      </c>
      <c r="G7" s="59" t="s">
        <v>63</v>
      </c>
      <c r="H7" s="59" t="s">
        <v>64</v>
      </c>
      <c r="I7" s="59" t="s">
        <v>65</v>
      </c>
      <c r="J7" s="59" t="s">
        <v>66</v>
      </c>
      <c r="K7" s="59" t="s">
        <v>67</v>
      </c>
      <c r="L7" s="59" t="s">
        <v>68</v>
      </c>
      <c r="M7" s="59" t="s">
        <v>69</v>
      </c>
      <c r="N7" s="59" t="s">
        <v>70</v>
      </c>
      <c r="O7" s="162">
        <v>2026.0</v>
      </c>
      <c r="P7" s="162" t="s">
        <v>59</v>
      </c>
      <c r="Q7" s="162" t="s">
        <v>60</v>
      </c>
      <c r="R7" s="162" t="s">
        <v>61</v>
      </c>
      <c r="S7" s="162" t="s">
        <v>62</v>
      </c>
      <c r="T7" s="162" t="s">
        <v>63</v>
      </c>
      <c r="U7" s="162" t="s">
        <v>64</v>
      </c>
      <c r="V7" s="162" t="s">
        <v>65</v>
      </c>
      <c r="W7" s="162" t="s">
        <v>66</v>
      </c>
      <c r="X7" s="162" t="s">
        <v>67</v>
      </c>
      <c r="Y7" s="162" t="s">
        <v>68</v>
      </c>
      <c r="Z7" s="162" t="s">
        <v>69</v>
      </c>
      <c r="AA7" s="162" t="s">
        <v>70</v>
      </c>
      <c r="AB7" s="162">
        <v>2027.0</v>
      </c>
      <c r="AC7" s="162" t="s">
        <v>59</v>
      </c>
      <c r="AD7" s="162" t="s">
        <v>60</v>
      </c>
      <c r="AE7" s="162" t="s">
        <v>61</v>
      </c>
      <c r="AF7" s="162" t="s">
        <v>62</v>
      </c>
      <c r="AG7" s="162" t="s">
        <v>63</v>
      </c>
      <c r="AH7" s="162" t="s">
        <v>64</v>
      </c>
      <c r="AI7" s="162" t="s">
        <v>65</v>
      </c>
      <c r="AJ7" s="162" t="s">
        <v>66</v>
      </c>
      <c r="AK7" s="162" t="s">
        <v>67</v>
      </c>
      <c r="AL7" s="162" t="s">
        <v>68</v>
      </c>
      <c r="AM7" s="162" t="s">
        <v>69</v>
      </c>
      <c r="AN7" s="162" t="s">
        <v>70</v>
      </c>
      <c r="AO7" s="162">
        <v>2028.0</v>
      </c>
      <c r="AP7" s="162">
        <v>2029.0</v>
      </c>
      <c r="AQ7" s="162">
        <v>2030.0</v>
      </c>
      <c r="AR7" s="162">
        <v>2031.0</v>
      </c>
      <c r="AS7" s="162">
        <v>2032.0</v>
      </c>
      <c r="AT7" s="162">
        <v>2033.0</v>
      </c>
      <c r="AU7" s="162">
        <v>2034.0</v>
      </c>
      <c r="AV7" s="162">
        <v>2035.0</v>
      </c>
      <c r="AW7" s="162">
        <v>2036.0</v>
      </c>
      <c r="AX7" s="162">
        <v>2037.0</v>
      </c>
      <c r="AY7" s="162">
        <v>2038.0</v>
      </c>
      <c r="AZ7" s="162">
        <v>2039.0</v>
      </c>
      <c r="BA7" s="162">
        <v>2040.0</v>
      </c>
      <c r="BB7" s="162">
        <v>2041.0</v>
      </c>
      <c r="BC7" s="162">
        <v>2042.0</v>
      </c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</row>
    <row r="8" ht="12.75" customHeight="1">
      <c r="A8" s="218" t="s">
        <v>187</v>
      </c>
      <c r="B8" s="219" t="str">
        <f t="shared" ref="B8:BC8" si="1">B24</f>
        <v>Амортизационные отчисления</v>
      </c>
      <c r="C8" s="26">
        <f t="shared" si="1"/>
        <v>14417.24594</v>
      </c>
      <c r="D8" s="26">
        <f t="shared" si="1"/>
        <v>14417.24594</v>
      </c>
      <c r="E8" s="26">
        <f t="shared" si="1"/>
        <v>14417.24594</v>
      </c>
      <c r="F8" s="26">
        <f t="shared" si="1"/>
        <v>14417.24594</v>
      </c>
      <c r="G8" s="26">
        <f t="shared" si="1"/>
        <v>14417.24594</v>
      </c>
      <c r="H8" s="26">
        <f t="shared" si="1"/>
        <v>14417.24594</v>
      </c>
      <c r="I8" s="26">
        <f t="shared" si="1"/>
        <v>14417.24594</v>
      </c>
      <c r="J8" s="26">
        <f t="shared" si="1"/>
        <v>14417.24594</v>
      </c>
      <c r="K8" s="26">
        <f t="shared" si="1"/>
        <v>14417.24594</v>
      </c>
      <c r="L8" s="26">
        <f t="shared" si="1"/>
        <v>14417.24594</v>
      </c>
      <c r="M8" s="26">
        <f t="shared" si="1"/>
        <v>14417.24594</v>
      </c>
      <c r="N8" s="26">
        <f t="shared" si="1"/>
        <v>14417.24594</v>
      </c>
      <c r="O8" s="26">
        <f t="shared" si="1"/>
        <v>173006.9512</v>
      </c>
      <c r="P8" s="26">
        <f t="shared" si="1"/>
        <v>14417.24594</v>
      </c>
      <c r="Q8" s="26">
        <f t="shared" si="1"/>
        <v>14417.24594</v>
      </c>
      <c r="R8" s="26">
        <f t="shared" si="1"/>
        <v>14417.24594</v>
      </c>
      <c r="S8" s="26">
        <f t="shared" si="1"/>
        <v>14417.24594</v>
      </c>
      <c r="T8" s="26">
        <f t="shared" si="1"/>
        <v>14417.24594</v>
      </c>
      <c r="U8" s="26">
        <f t="shared" si="1"/>
        <v>14417.24594</v>
      </c>
      <c r="V8" s="26">
        <f t="shared" si="1"/>
        <v>14417.24594</v>
      </c>
      <c r="W8" s="26">
        <f t="shared" si="1"/>
        <v>14417.24594</v>
      </c>
      <c r="X8" s="26">
        <f t="shared" si="1"/>
        <v>14417.24594</v>
      </c>
      <c r="Y8" s="26">
        <f t="shared" si="1"/>
        <v>14417.24594</v>
      </c>
      <c r="Z8" s="26">
        <f t="shared" si="1"/>
        <v>14417.24594</v>
      </c>
      <c r="AA8" s="26">
        <f t="shared" si="1"/>
        <v>14417.24594</v>
      </c>
      <c r="AB8" s="26">
        <f t="shared" si="1"/>
        <v>173006.9512</v>
      </c>
      <c r="AC8" s="26">
        <f t="shared" si="1"/>
        <v>14417.24594</v>
      </c>
      <c r="AD8" s="26">
        <f t="shared" si="1"/>
        <v>14417.24594</v>
      </c>
      <c r="AE8" s="26">
        <f t="shared" si="1"/>
        <v>14417.24594</v>
      </c>
      <c r="AF8" s="26">
        <f t="shared" si="1"/>
        <v>14417.24594</v>
      </c>
      <c r="AG8" s="26">
        <f t="shared" si="1"/>
        <v>14417.24594</v>
      </c>
      <c r="AH8" s="26">
        <f t="shared" si="1"/>
        <v>14417.24594</v>
      </c>
      <c r="AI8" s="26">
        <f t="shared" si="1"/>
        <v>14417.24594</v>
      </c>
      <c r="AJ8" s="26">
        <f t="shared" si="1"/>
        <v>14417.24594</v>
      </c>
      <c r="AK8" s="26">
        <f t="shared" si="1"/>
        <v>14417.24594</v>
      </c>
      <c r="AL8" s="26">
        <f t="shared" si="1"/>
        <v>14417.24594</v>
      </c>
      <c r="AM8" s="26">
        <f t="shared" si="1"/>
        <v>14417.24594</v>
      </c>
      <c r="AN8" s="26">
        <f t="shared" si="1"/>
        <v>14417.24594</v>
      </c>
      <c r="AO8" s="26">
        <f t="shared" si="1"/>
        <v>173006.9512</v>
      </c>
      <c r="AP8" s="26">
        <f t="shared" si="1"/>
        <v>173006.9512</v>
      </c>
      <c r="AQ8" s="26">
        <f t="shared" si="1"/>
        <v>173006.9512</v>
      </c>
      <c r="AR8" s="26">
        <f t="shared" si="1"/>
        <v>173006.9512</v>
      </c>
      <c r="AS8" s="26">
        <f t="shared" si="1"/>
        <v>173006.9512</v>
      </c>
      <c r="AT8" s="26">
        <f t="shared" si="1"/>
        <v>173006.9512</v>
      </c>
      <c r="AU8" s="26">
        <f t="shared" si="1"/>
        <v>173006.9512</v>
      </c>
      <c r="AV8" s="26">
        <f t="shared" si="1"/>
        <v>173006.9512</v>
      </c>
      <c r="AW8" s="26">
        <f t="shared" si="1"/>
        <v>173006.9512</v>
      </c>
      <c r="AX8" s="26">
        <f t="shared" si="1"/>
        <v>173006.9512</v>
      </c>
      <c r="AY8" s="26">
        <f t="shared" si="1"/>
        <v>173006.9512</v>
      </c>
      <c r="AZ8" s="26">
        <f t="shared" si="1"/>
        <v>173006.9512</v>
      </c>
      <c r="BA8" s="26">
        <f t="shared" si="1"/>
        <v>173006.9512</v>
      </c>
      <c r="BB8" s="26">
        <f t="shared" si="1"/>
        <v>173006.9512</v>
      </c>
      <c r="BC8" s="26">
        <f t="shared" si="1"/>
        <v>173006.9512</v>
      </c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ht="12.75" customHeight="1">
      <c r="A9" s="218" t="s">
        <v>188</v>
      </c>
      <c r="B9" s="219" t="str">
        <f>'Произв.затраты'!B41</f>
        <v>Текущий ремонт оборудования</v>
      </c>
      <c r="C9" s="26">
        <f>'Произв.затраты'!C42</f>
        <v>194.0534807</v>
      </c>
      <c r="D9" s="26">
        <f>'Произв.затраты'!D42</f>
        <v>194.0534807</v>
      </c>
      <c r="E9" s="26">
        <f>'Произв.затраты'!E42</f>
        <v>194.0534807</v>
      </c>
      <c r="F9" s="26">
        <f>'Произв.затраты'!F42</f>
        <v>194.0534807</v>
      </c>
      <c r="G9" s="26">
        <f>'Произв.затраты'!G42</f>
        <v>194.0534807</v>
      </c>
      <c r="H9" s="26">
        <f>'Произв.затраты'!H42</f>
        <v>194.0534807</v>
      </c>
      <c r="I9" s="26">
        <f>'Произв.затраты'!I42</f>
        <v>194.0534807</v>
      </c>
      <c r="J9" s="26">
        <f>'Произв.затраты'!J42</f>
        <v>194.0534807</v>
      </c>
      <c r="K9" s="26">
        <f>'Произв.затраты'!K42</f>
        <v>194.0534807</v>
      </c>
      <c r="L9" s="26">
        <f>'Произв.затраты'!L42</f>
        <v>194.0534807</v>
      </c>
      <c r="M9" s="26">
        <f>'Произв.затраты'!M42</f>
        <v>194.0534807</v>
      </c>
      <c r="N9" s="26">
        <f>'Произв.затраты'!N42</f>
        <v>194.0534807</v>
      </c>
      <c r="O9" s="26">
        <f>'Произв.затраты'!O42</f>
        <v>2328.641768</v>
      </c>
      <c r="P9" s="26">
        <f>'Произв.затраты'!P42</f>
        <v>216.7577379</v>
      </c>
      <c r="Q9" s="26">
        <f>'Произв.затраты'!Q42</f>
        <v>216.7577379</v>
      </c>
      <c r="R9" s="26">
        <f>'Произв.затраты'!R42</f>
        <v>216.7577379</v>
      </c>
      <c r="S9" s="26">
        <f>'Произв.затраты'!S42</f>
        <v>216.7577379</v>
      </c>
      <c r="T9" s="26">
        <f>'Произв.затраты'!T42</f>
        <v>216.7577379</v>
      </c>
      <c r="U9" s="26">
        <f>'Произв.затраты'!U42</f>
        <v>216.7577379</v>
      </c>
      <c r="V9" s="26">
        <f>'Произв.затраты'!V42</f>
        <v>216.7577379</v>
      </c>
      <c r="W9" s="26">
        <f>'Произв.затраты'!W42</f>
        <v>216.7577379</v>
      </c>
      <c r="X9" s="26">
        <f>'Произв.затраты'!X42</f>
        <v>216.7577379</v>
      </c>
      <c r="Y9" s="26">
        <f>'Произв.затраты'!Y42</f>
        <v>216.7577379</v>
      </c>
      <c r="Z9" s="26">
        <f>'Произв.затраты'!Z42</f>
        <v>216.7577379</v>
      </c>
      <c r="AA9" s="26">
        <f>'Произв.затраты'!AA42</f>
        <v>216.7577379</v>
      </c>
      <c r="AB9" s="26">
        <f>'Произв.затраты'!AB42</f>
        <v>2601.092855</v>
      </c>
      <c r="AC9" s="26">
        <f>'Произв.затраты'!AC42</f>
        <v>242.1183932</v>
      </c>
      <c r="AD9" s="26">
        <f>'Произв.затраты'!AD42</f>
        <v>242.1183932</v>
      </c>
      <c r="AE9" s="26">
        <f>'Произв.затраты'!AE42</f>
        <v>242.1183932</v>
      </c>
      <c r="AF9" s="26">
        <f>'Произв.затраты'!AF42</f>
        <v>242.1183932</v>
      </c>
      <c r="AG9" s="26">
        <f>'Произв.затраты'!AG42</f>
        <v>242.1183932</v>
      </c>
      <c r="AH9" s="26">
        <f>'Произв.затраты'!AH42</f>
        <v>242.1183932</v>
      </c>
      <c r="AI9" s="26">
        <f>'Произв.затраты'!AI42</f>
        <v>242.1183932</v>
      </c>
      <c r="AJ9" s="26">
        <f>'Произв.затраты'!AJ42</f>
        <v>242.1183932</v>
      </c>
      <c r="AK9" s="26">
        <f>'Произв.затраты'!AK42</f>
        <v>242.1183932</v>
      </c>
      <c r="AL9" s="26">
        <f>'Произв.затраты'!AL42</f>
        <v>242.1183932</v>
      </c>
      <c r="AM9" s="26">
        <f>'Произв.затраты'!AM42</f>
        <v>242.1183932</v>
      </c>
      <c r="AN9" s="26">
        <f>'Произв.затраты'!AN42</f>
        <v>242.1183932</v>
      </c>
      <c r="AO9" s="26">
        <f>'Произв.затраты'!AO42</f>
        <v>2905.420719</v>
      </c>
      <c r="AP9" s="26">
        <f>'Произв.затраты'!AP42</f>
        <v>3245.354943</v>
      </c>
      <c r="AQ9" s="26">
        <f>'Произв.затраты'!AQ42</f>
        <v>3625.061471</v>
      </c>
      <c r="AR9" s="26">
        <f>'Произв.затраты'!AR42</f>
        <v>4049.193663</v>
      </c>
      <c r="AS9" s="26">
        <f>'Произв.затраты'!AS42</f>
        <v>4522.949322</v>
      </c>
      <c r="AT9" s="26">
        <f>'Произв.затраты'!AT42</f>
        <v>5052.134393</v>
      </c>
      <c r="AU9" s="26">
        <f>'Произв.затраты'!AU42</f>
        <v>5643.234117</v>
      </c>
      <c r="AV9" s="26">
        <f>'Произв.затраты'!AV42</f>
        <v>6303.492508</v>
      </c>
      <c r="AW9" s="26">
        <f>'Произв.затраты'!AW42</f>
        <v>7041.001132</v>
      </c>
      <c r="AX9" s="26">
        <f>'Произв.затраты'!AX42</f>
        <v>7864.798264</v>
      </c>
      <c r="AY9" s="26">
        <f>'Произв.затраты'!AY42</f>
        <v>8784.979661</v>
      </c>
      <c r="AZ9" s="26">
        <f>'Произв.затраты'!AZ42</f>
        <v>9812.822282</v>
      </c>
      <c r="BA9" s="26">
        <f>'Произв.затраты'!BA42</f>
        <v>10960.92249</v>
      </c>
      <c r="BB9" s="26">
        <f>'Произв.затраты'!BB42</f>
        <v>12243.35042</v>
      </c>
      <c r="BC9" s="26">
        <f>'Произв.затраты'!BC42</f>
        <v>13675.82242</v>
      </c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ht="12.75" customHeight="1">
      <c r="A10" s="218" t="s">
        <v>189</v>
      </c>
      <c r="B10" s="219" t="str">
        <f>'Произв.затраты'!B51</f>
        <v>Электроэнергия на объекте</v>
      </c>
      <c r="C10" s="26">
        <f>'Произв.затраты'!C52</f>
        <v>99.05511624</v>
      </c>
      <c r="D10" s="26">
        <f>'Произв.затраты'!D52</f>
        <v>99.05511624</v>
      </c>
      <c r="E10" s="26">
        <f>'Произв.затраты'!E52</f>
        <v>99.05511624</v>
      </c>
      <c r="F10" s="26">
        <f>'Произв.затраты'!F52</f>
        <v>99.05511624</v>
      </c>
      <c r="G10" s="26">
        <f>'Произв.затраты'!G52</f>
        <v>99.05511624</v>
      </c>
      <c r="H10" s="26">
        <f>'Произв.затраты'!H52</f>
        <v>99.05511624</v>
      </c>
      <c r="I10" s="26">
        <f>'Произв.затраты'!I52</f>
        <v>99.05511624</v>
      </c>
      <c r="J10" s="26">
        <f>'Произв.затраты'!J52</f>
        <v>99.05511624</v>
      </c>
      <c r="K10" s="26">
        <f>'Произв.затраты'!K52</f>
        <v>99.05511624</v>
      </c>
      <c r="L10" s="26">
        <f>'Произв.затраты'!L52</f>
        <v>99.05511624</v>
      </c>
      <c r="M10" s="26">
        <f>'Произв.затраты'!M52</f>
        <v>99.05511624</v>
      </c>
      <c r="N10" s="26">
        <f>'Произв.затраты'!N52</f>
        <v>99.05511624</v>
      </c>
      <c r="O10" s="26">
        <f>'Произв.затраты'!O52</f>
        <v>1188.661395</v>
      </c>
      <c r="P10" s="26">
        <f>'Произв.затраты'!P52</f>
        <v>110.6445648</v>
      </c>
      <c r="Q10" s="26">
        <f>'Произв.затраты'!Q52</f>
        <v>110.6445648</v>
      </c>
      <c r="R10" s="26">
        <f>'Произв.затраты'!R52</f>
        <v>110.6445648</v>
      </c>
      <c r="S10" s="26">
        <f>'Произв.затраты'!S52</f>
        <v>110.6445648</v>
      </c>
      <c r="T10" s="26">
        <f>'Произв.затраты'!T52</f>
        <v>110.6445648</v>
      </c>
      <c r="U10" s="26">
        <f>'Произв.затраты'!U52</f>
        <v>110.6445648</v>
      </c>
      <c r="V10" s="26">
        <f>'Произв.затраты'!V52</f>
        <v>110.6445648</v>
      </c>
      <c r="W10" s="26">
        <f>'Произв.затраты'!W52</f>
        <v>110.6445648</v>
      </c>
      <c r="X10" s="26">
        <f>'Произв.затраты'!X52</f>
        <v>110.6445648</v>
      </c>
      <c r="Y10" s="26">
        <f>'Произв.затраты'!Y52</f>
        <v>110.6445648</v>
      </c>
      <c r="Z10" s="26">
        <f>'Произв.затраты'!Z52</f>
        <v>110.6445648</v>
      </c>
      <c r="AA10" s="26">
        <f>'Произв.затраты'!AA52</f>
        <v>110.6445648</v>
      </c>
      <c r="AB10" s="26">
        <f>'Произв.затраты'!AB52</f>
        <v>1327.734778</v>
      </c>
      <c r="AC10" s="26">
        <f>'Произв.затраты'!AC52</f>
        <v>123.5899789</v>
      </c>
      <c r="AD10" s="26">
        <f>'Произв.затраты'!AD52</f>
        <v>123.5899789</v>
      </c>
      <c r="AE10" s="26">
        <f>'Произв.затраты'!AE52</f>
        <v>123.5899789</v>
      </c>
      <c r="AF10" s="26">
        <f>'Произв.затраты'!AF52</f>
        <v>123.5899789</v>
      </c>
      <c r="AG10" s="26">
        <f>'Произв.затраты'!AG52</f>
        <v>123.5899789</v>
      </c>
      <c r="AH10" s="26">
        <f>'Произв.затраты'!AH52</f>
        <v>123.5899789</v>
      </c>
      <c r="AI10" s="26">
        <f>'Произв.затраты'!AI52</f>
        <v>123.5899789</v>
      </c>
      <c r="AJ10" s="26">
        <f>'Произв.затраты'!AJ52</f>
        <v>123.5899789</v>
      </c>
      <c r="AK10" s="26">
        <f>'Произв.затраты'!AK52</f>
        <v>123.5899789</v>
      </c>
      <c r="AL10" s="26">
        <f>'Произв.затраты'!AL52</f>
        <v>123.5899789</v>
      </c>
      <c r="AM10" s="26">
        <f>'Произв.затраты'!AM52</f>
        <v>123.5899789</v>
      </c>
      <c r="AN10" s="26">
        <f>'Произв.затраты'!AN52</f>
        <v>123.5899789</v>
      </c>
      <c r="AO10" s="26">
        <f>'Произв.затраты'!AO52</f>
        <v>1483.079747</v>
      </c>
      <c r="AP10" s="26">
        <f>'Произв.затраты'!AP52</f>
        <v>1656.600078</v>
      </c>
      <c r="AQ10" s="26">
        <f>'Произв.затраты'!AQ52</f>
        <v>1850.422287</v>
      </c>
      <c r="AR10" s="26">
        <f>'Произв.затраты'!AR52</f>
        <v>2066.921694</v>
      </c>
      <c r="AS10" s="26">
        <f>'Произв.затраты'!AS52</f>
        <v>2308.751532</v>
      </c>
      <c r="AT10" s="26">
        <f>'Произв.затраты'!AT52</f>
        <v>2578.875462</v>
      </c>
      <c r="AU10" s="26">
        <f>'Произв.затраты'!AU52</f>
        <v>2880.603891</v>
      </c>
      <c r="AV10" s="26">
        <f>'Произв.затраты'!AV52</f>
        <v>3217.634546</v>
      </c>
      <c r="AW10" s="26">
        <f>'Произв.затраты'!AW52</f>
        <v>3594.097788</v>
      </c>
      <c r="AX10" s="26">
        <f>'Произв.затраты'!AX52</f>
        <v>4014.607229</v>
      </c>
      <c r="AY10" s="26">
        <f>'Произв.затраты'!AY52</f>
        <v>4484.316275</v>
      </c>
      <c r="AZ10" s="26">
        <f>'Произв.затраты'!AZ52</f>
        <v>5008.981279</v>
      </c>
      <c r="BA10" s="26">
        <f>'Произв.затраты'!BA52</f>
        <v>5595.032088</v>
      </c>
      <c r="BB10" s="26">
        <f>'Произв.затраты'!BB52</f>
        <v>6249.650843</v>
      </c>
      <c r="BC10" s="26">
        <f>'Произв.затраты'!BC52</f>
        <v>6980.859991</v>
      </c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ht="12.75" customHeight="1">
      <c r="A11" s="218" t="s">
        <v>190</v>
      </c>
      <c r="B11" s="219" t="str">
        <f>'Произв.затраты'!B59</f>
        <v>Налог на имущество</v>
      </c>
      <c r="C11" s="26">
        <f>'Произв.затраты'!C60</f>
        <v>1008.286568</v>
      </c>
      <c r="D11" s="26">
        <f>'Произв.затраты'!D60</f>
        <v>1008.286568</v>
      </c>
      <c r="E11" s="26">
        <f>'Произв.затраты'!E60</f>
        <v>1008.286568</v>
      </c>
      <c r="F11" s="26">
        <f>'Произв.затраты'!F60</f>
        <v>1008.286568</v>
      </c>
      <c r="G11" s="26">
        <f>'Произв.затраты'!G60</f>
        <v>1008.286568</v>
      </c>
      <c r="H11" s="26">
        <f>'Произв.затраты'!H60</f>
        <v>1008.286568</v>
      </c>
      <c r="I11" s="26">
        <f>'Произв.затраты'!I60</f>
        <v>1008.286568</v>
      </c>
      <c r="J11" s="26">
        <f>'Произв.затраты'!J60</f>
        <v>1008.286568</v>
      </c>
      <c r="K11" s="26">
        <f>'Произв.затраты'!K60</f>
        <v>1008.286568</v>
      </c>
      <c r="L11" s="26">
        <f>'Произв.затраты'!L60</f>
        <v>1008.286568</v>
      </c>
      <c r="M11" s="26">
        <f>'Произв.затраты'!M60</f>
        <v>1008.286568</v>
      </c>
      <c r="N11" s="26">
        <f>'Произв.затраты'!N60</f>
        <v>1008.286568</v>
      </c>
      <c r="O11" s="26">
        <f>'Произв.затраты'!O60</f>
        <v>12099.43881</v>
      </c>
      <c r="P11" s="26">
        <f>'Произв.затраты'!P60</f>
        <v>936.0115515</v>
      </c>
      <c r="Q11" s="26">
        <f>'Произв.затраты'!Q60</f>
        <v>936.0115515</v>
      </c>
      <c r="R11" s="26">
        <f>'Произв.затраты'!R60</f>
        <v>936.0115515</v>
      </c>
      <c r="S11" s="26">
        <f>'Произв.затраты'!S60</f>
        <v>936.0115515</v>
      </c>
      <c r="T11" s="26">
        <f>'Произв.затраты'!T60</f>
        <v>936.0115515</v>
      </c>
      <c r="U11" s="26">
        <f>'Произв.затраты'!U60</f>
        <v>936.0115515</v>
      </c>
      <c r="V11" s="26">
        <f>'Произв.затраты'!V60</f>
        <v>936.0115515</v>
      </c>
      <c r="W11" s="26">
        <f>'Произв.затраты'!W60</f>
        <v>936.0115515</v>
      </c>
      <c r="X11" s="26">
        <f>'Произв.затраты'!X60</f>
        <v>936.0115515</v>
      </c>
      <c r="Y11" s="26">
        <f>'Произв.затраты'!Y60</f>
        <v>936.0115515</v>
      </c>
      <c r="Z11" s="26">
        <f>'Произв.затраты'!Z60</f>
        <v>936.0115515</v>
      </c>
      <c r="AA11" s="26">
        <f>'Произв.затраты'!AA60</f>
        <v>936.0115515</v>
      </c>
      <c r="AB11" s="26">
        <f>'Произв.затраты'!AB60</f>
        <v>11232.13862</v>
      </c>
      <c r="AC11" s="26">
        <f>'Произв.затраты'!AC60</f>
        <v>863.7365354</v>
      </c>
      <c r="AD11" s="26">
        <f>'Произв.затраты'!AD60</f>
        <v>863.7365354</v>
      </c>
      <c r="AE11" s="26">
        <f>'Произв.затраты'!AE60</f>
        <v>863.7365354</v>
      </c>
      <c r="AF11" s="26">
        <f>'Произв.затраты'!AF60</f>
        <v>863.7365354</v>
      </c>
      <c r="AG11" s="26">
        <f>'Произв.затраты'!AG60</f>
        <v>863.7365354</v>
      </c>
      <c r="AH11" s="26">
        <f>'Произв.затраты'!AH60</f>
        <v>863.7365354</v>
      </c>
      <c r="AI11" s="26">
        <f>'Произв.затраты'!AI60</f>
        <v>863.7365354</v>
      </c>
      <c r="AJ11" s="26">
        <f>'Произв.затраты'!AJ60</f>
        <v>863.7365354</v>
      </c>
      <c r="AK11" s="26">
        <f>'Произв.затраты'!AK60</f>
        <v>863.7365354</v>
      </c>
      <c r="AL11" s="26">
        <f>'Произв.затраты'!AL60</f>
        <v>863.7365354</v>
      </c>
      <c r="AM11" s="26">
        <f>'Произв.затраты'!AM60</f>
        <v>863.7365354</v>
      </c>
      <c r="AN11" s="26">
        <f>'Произв.затраты'!AN60</f>
        <v>863.7365354</v>
      </c>
      <c r="AO11" s="26">
        <f>'Произв.затраты'!AO60</f>
        <v>10364.83842</v>
      </c>
      <c r="AP11" s="26">
        <f>'Произв.затраты'!AP60</f>
        <v>9497.538231</v>
      </c>
      <c r="AQ11" s="26">
        <f>'Произв.затраты'!AQ60</f>
        <v>8630.238038</v>
      </c>
      <c r="AR11" s="26">
        <f>'Произв.затраты'!AR60</f>
        <v>7762.937845</v>
      </c>
      <c r="AS11" s="26">
        <f>'Произв.затраты'!AS60</f>
        <v>6895.637651</v>
      </c>
      <c r="AT11" s="26">
        <f>'Произв.затраты'!AT60</f>
        <v>6028.337458</v>
      </c>
      <c r="AU11" s="26">
        <f>'Произв.затраты'!AU60</f>
        <v>5161.037265</v>
      </c>
      <c r="AV11" s="26">
        <f>'Произв.затраты'!AV60</f>
        <v>4293.737072</v>
      </c>
      <c r="AW11" s="26">
        <f>'Произв.затраты'!AW60</f>
        <v>3426.436878</v>
      </c>
      <c r="AX11" s="26">
        <f>'Произв.затраты'!AX60</f>
        <v>2559.136685</v>
      </c>
      <c r="AY11" s="26">
        <f>'Произв.затраты'!AY60</f>
        <v>1691.836492</v>
      </c>
      <c r="AZ11" s="26">
        <f>'Произв.затраты'!AZ60</f>
        <v>824.5362987</v>
      </c>
      <c r="BA11" s="26">
        <f>'Произв.затраты'!BA60</f>
        <v>97.01476699</v>
      </c>
      <c r="BB11" s="26">
        <f>'Произв.затраты'!BB60</f>
        <v>0</v>
      </c>
      <c r="BC11" s="26">
        <f>'Произв.затраты'!BC60</f>
        <v>0</v>
      </c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</row>
    <row r="12" ht="12.75" customHeight="1">
      <c r="A12" s="218" t="s">
        <v>191</v>
      </c>
      <c r="B12" s="219" t="str">
        <f>'Произв.затраты'!B71</f>
        <v>Земельный налог</v>
      </c>
      <c r="C12" s="26">
        <f>'Произв.затраты'!C72</f>
        <v>8.624583333</v>
      </c>
      <c r="D12" s="26">
        <f>'Произв.затраты'!D72</f>
        <v>8.624583333</v>
      </c>
      <c r="E12" s="26">
        <f>'Произв.затраты'!E72</f>
        <v>8.624583333</v>
      </c>
      <c r="F12" s="26">
        <f>'Произв.затраты'!F72</f>
        <v>8.624583333</v>
      </c>
      <c r="G12" s="26">
        <f>'Произв.затраты'!G72</f>
        <v>8.624583333</v>
      </c>
      <c r="H12" s="26">
        <f>'Произв.затраты'!H72</f>
        <v>8.624583333</v>
      </c>
      <c r="I12" s="26">
        <f>'Произв.затраты'!I72</f>
        <v>8.624583333</v>
      </c>
      <c r="J12" s="26">
        <f>'Произв.затраты'!J72</f>
        <v>8.624583333</v>
      </c>
      <c r="K12" s="26">
        <f>'Произв.затраты'!K72</f>
        <v>8.624583333</v>
      </c>
      <c r="L12" s="26">
        <f>'Произв.затраты'!L72</f>
        <v>8.624583333</v>
      </c>
      <c r="M12" s="26">
        <f>'Произв.затраты'!M72</f>
        <v>8.624583333</v>
      </c>
      <c r="N12" s="26">
        <f>'Произв.затраты'!N72</f>
        <v>8.624583333</v>
      </c>
      <c r="O12" s="26">
        <f>'Произв.затраты'!O72</f>
        <v>103.495</v>
      </c>
      <c r="P12" s="26">
        <f>'Произв.затраты'!P72</f>
        <v>8.624583333</v>
      </c>
      <c r="Q12" s="26">
        <f>'Произв.затраты'!Q72</f>
        <v>8.624583333</v>
      </c>
      <c r="R12" s="26">
        <f>'Произв.затраты'!R72</f>
        <v>8.624583333</v>
      </c>
      <c r="S12" s="26">
        <f>'Произв.затраты'!S72</f>
        <v>8.624583333</v>
      </c>
      <c r="T12" s="26">
        <f>'Произв.затраты'!T72</f>
        <v>8.624583333</v>
      </c>
      <c r="U12" s="26">
        <f>'Произв.затраты'!U72</f>
        <v>8.624583333</v>
      </c>
      <c r="V12" s="26">
        <f>'Произв.затраты'!V72</f>
        <v>8.624583333</v>
      </c>
      <c r="W12" s="26">
        <f>'Произв.затраты'!W72</f>
        <v>8.624583333</v>
      </c>
      <c r="X12" s="26">
        <f>'Произв.затраты'!X72</f>
        <v>8.624583333</v>
      </c>
      <c r="Y12" s="26">
        <f>'Произв.затраты'!Y72</f>
        <v>8.624583333</v>
      </c>
      <c r="Z12" s="26">
        <f>'Произв.затраты'!Z72</f>
        <v>8.624583333</v>
      </c>
      <c r="AA12" s="26">
        <f>'Произв.затраты'!AA72</f>
        <v>8.624583333</v>
      </c>
      <c r="AB12" s="26">
        <f>'Произв.затраты'!AB72</f>
        <v>103.495</v>
      </c>
      <c r="AC12" s="26">
        <f>'Произв.затраты'!AC72</f>
        <v>8.624583333</v>
      </c>
      <c r="AD12" s="26">
        <f>'Произв.затраты'!AD72</f>
        <v>8.624583333</v>
      </c>
      <c r="AE12" s="26">
        <f>'Произв.затраты'!AE72</f>
        <v>8.624583333</v>
      </c>
      <c r="AF12" s="26">
        <f>'Произв.затраты'!AF72</f>
        <v>8.624583333</v>
      </c>
      <c r="AG12" s="26">
        <f>'Произв.затраты'!AG72</f>
        <v>8.624583333</v>
      </c>
      <c r="AH12" s="26">
        <f>'Произв.затраты'!AH72</f>
        <v>8.624583333</v>
      </c>
      <c r="AI12" s="26">
        <f>'Произв.затраты'!AI72</f>
        <v>8.624583333</v>
      </c>
      <c r="AJ12" s="26">
        <f>'Произв.затраты'!AJ72</f>
        <v>8.624583333</v>
      </c>
      <c r="AK12" s="26">
        <f>'Произв.затраты'!AK72</f>
        <v>8.624583333</v>
      </c>
      <c r="AL12" s="26">
        <f>'Произв.затраты'!AL72</f>
        <v>8.624583333</v>
      </c>
      <c r="AM12" s="26">
        <f>'Произв.затраты'!AM72</f>
        <v>8.624583333</v>
      </c>
      <c r="AN12" s="26">
        <f>'Произв.затраты'!AN72</f>
        <v>8.624583333</v>
      </c>
      <c r="AO12" s="26">
        <f>'Произв.затраты'!AO72</f>
        <v>103.495</v>
      </c>
      <c r="AP12" s="26">
        <f>'Произв.затраты'!AP72</f>
        <v>103.495</v>
      </c>
      <c r="AQ12" s="26">
        <f>'Произв.затраты'!AQ72</f>
        <v>103.495</v>
      </c>
      <c r="AR12" s="26">
        <f>'Произв.затраты'!AR72</f>
        <v>103.495</v>
      </c>
      <c r="AS12" s="26">
        <f>'Произв.затраты'!AS72</f>
        <v>103.495</v>
      </c>
      <c r="AT12" s="26">
        <f>'Произв.затраты'!AT72</f>
        <v>103.495</v>
      </c>
      <c r="AU12" s="26">
        <f>'Произв.затраты'!AU72</f>
        <v>103.495</v>
      </c>
      <c r="AV12" s="26">
        <f>'Произв.затраты'!AV72</f>
        <v>103.495</v>
      </c>
      <c r="AW12" s="26">
        <f>'Произв.затраты'!AW72</f>
        <v>103.495</v>
      </c>
      <c r="AX12" s="26">
        <f>'Произв.затраты'!AX72</f>
        <v>103.495</v>
      </c>
      <c r="AY12" s="26">
        <f>'Произв.затраты'!AY72</f>
        <v>103.495</v>
      </c>
      <c r="AZ12" s="26">
        <f>'Произв.затраты'!AZ72</f>
        <v>103.495</v>
      </c>
      <c r="BA12" s="26">
        <f>'Произв.затраты'!BA72</f>
        <v>103.495</v>
      </c>
      <c r="BB12" s="26">
        <f>'Произв.затраты'!BB72</f>
        <v>103.495</v>
      </c>
      <c r="BC12" s="26">
        <f>'Произв.затраты'!BC72</f>
        <v>103.495</v>
      </c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</row>
    <row r="13" ht="12.75" customHeight="1">
      <c r="A13" s="218" t="s">
        <v>192</v>
      </c>
      <c r="B13" s="219" t="str">
        <f>'Произв.затраты'!B81</f>
        <v>Плата за пользование водными ресурсами</v>
      </c>
      <c r="C13" s="26">
        <f>'Произв.затраты'!C82</f>
        <v>101.3177155</v>
      </c>
      <c r="D13" s="26">
        <f>'Произв.затраты'!D82</f>
        <v>85.99987246</v>
      </c>
      <c r="E13" s="26">
        <f>'Произв.затраты'!E82</f>
        <v>135.124722</v>
      </c>
      <c r="F13" s="26">
        <f>'Произв.затраты'!F82</f>
        <v>79.69087924</v>
      </c>
      <c r="G13" s="26">
        <f>'Произв.затраты'!G82</f>
        <v>181.1176373</v>
      </c>
      <c r="H13" s="26">
        <f>'Произв.затраты'!H82</f>
        <v>203.7773512</v>
      </c>
      <c r="I13" s="26">
        <f>'Произв.затраты'!I82</f>
        <v>253.9477714</v>
      </c>
      <c r="J13" s="26">
        <f>'Произв.затраты'!J82</f>
        <v>253.9477714</v>
      </c>
      <c r="K13" s="26">
        <f>'Произв.затраты'!K82</f>
        <v>209.8152369</v>
      </c>
      <c r="L13" s="26">
        <f>'Произв.затраты'!L82</f>
        <v>171.9354541</v>
      </c>
      <c r="M13" s="26">
        <f>'Произв.затраты'!M82</f>
        <v>134.8906653</v>
      </c>
      <c r="N13" s="26">
        <f>'Произв.затраты'!N82</f>
        <v>104.3967704</v>
      </c>
      <c r="O13" s="26">
        <f>'Произв.затраты'!O82</f>
        <v>1915.961847</v>
      </c>
      <c r="P13" s="26">
        <f>'Произв.затраты'!P82</f>
        <v>101.3177155</v>
      </c>
      <c r="Q13" s="26">
        <f>'Произв.затраты'!Q82</f>
        <v>85.99987246</v>
      </c>
      <c r="R13" s="26">
        <f>'Произв.затраты'!R82</f>
        <v>135.124722</v>
      </c>
      <c r="S13" s="26">
        <f>'Произв.затраты'!S82</f>
        <v>79.69087924</v>
      </c>
      <c r="T13" s="26">
        <f>'Произв.затраты'!T82</f>
        <v>181.1176373</v>
      </c>
      <c r="U13" s="26">
        <f>'Произв.затраты'!U82</f>
        <v>203.7773512</v>
      </c>
      <c r="V13" s="26">
        <f>'Произв.затраты'!V82</f>
        <v>253.9477714</v>
      </c>
      <c r="W13" s="26">
        <f>'Произв.затраты'!W82</f>
        <v>253.9477714</v>
      </c>
      <c r="X13" s="26">
        <f>'Произв.затраты'!X82</f>
        <v>209.8152369</v>
      </c>
      <c r="Y13" s="26">
        <f>'Произв.затраты'!Y82</f>
        <v>171.9354541</v>
      </c>
      <c r="Z13" s="26">
        <f>'Произв.затраты'!Z82</f>
        <v>134.8906653</v>
      </c>
      <c r="AA13" s="26">
        <f>'Произв.затраты'!AA82</f>
        <v>104.3967704</v>
      </c>
      <c r="AB13" s="26">
        <f>'Произв.затраты'!AB82</f>
        <v>1915.961847</v>
      </c>
      <c r="AC13" s="26">
        <f>'Произв.затраты'!AC82</f>
        <v>101.3177155</v>
      </c>
      <c r="AD13" s="26">
        <f>'Произв.затраты'!AD82</f>
        <v>85.99987246</v>
      </c>
      <c r="AE13" s="26">
        <f>'Произв.затраты'!AE82</f>
        <v>135.124722</v>
      </c>
      <c r="AF13" s="26">
        <f>'Произв.затраты'!AF82</f>
        <v>79.69087924</v>
      </c>
      <c r="AG13" s="26">
        <f>'Произв.затраты'!AG82</f>
        <v>181.1176373</v>
      </c>
      <c r="AH13" s="26">
        <f>'Произв.затраты'!AH82</f>
        <v>203.7773512</v>
      </c>
      <c r="AI13" s="26">
        <f>'Произв.затраты'!AI82</f>
        <v>253.9477714</v>
      </c>
      <c r="AJ13" s="26">
        <f>'Произв.затраты'!AJ82</f>
        <v>253.9477714</v>
      </c>
      <c r="AK13" s="26">
        <f>'Произв.затраты'!AK82</f>
        <v>209.8152369</v>
      </c>
      <c r="AL13" s="26">
        <f>'Произв.затраты'!AL82</f>
        <v>171.9354541</v>
      </c>
      <c r="AM13" s="26">
        <f>'Произв.затраты'!AM82</f>
        <v>134.8906653</v>
      </c>
      <c r="AN13" s="26">
        <f>'Произв.затраты'!AN82</f>
        <v>104.3967704</v>
      </c>
      <c r="AO13" s="26">
        <f>'Произв.затраты'!AO82</f>
        <v>1915.961847</v>
      </c>
      <c r="AP13" s="26">
        <f>'Произв.затраты'!AP82</f>
        <v>1915.961847</v>
      </c>
      <c r="AQ13" s="26">
        <f>'Произв.затраты'!AQ82</f>
        <v>1915.961847</v>
      </c>
      <c r="AR13" s="26">
        <f>'Произв.затраты'!AR82</f>
        <v>1915.961847</v>
      </c>
      <c r="AS13" s="26">
        <f>'Произв.затраты'!AS82</f>
        <v>1915.961847</v>
      </c>
      <c r="AT13" s="26">
        <f>'Произв.затраты'!AT82</f>
        <v>1915.961847</v>
      </c>
      <c r="AU13" s="26">
        <f>'Произв.затраты'!AU82</f>
        <v>1915.961847</v>
      </c>
      <c r="AV13" s="26">
        <f>'Произв.затраты'!AV82</f>
        <v>1915.961847</v>
      </c>
      <c r="AW13" s="26">
        <f>'Произв.затраты'!AW82</f>
        <v>1915.961847</v>
      </c>
      <c r="AX13" s="26">
        <f>'Произв.затраты'!AX82</f>
        <v>1915.961847</v>
      </c>
      <c r="AY13" s="26">
        <f>'Произв.затраты'!AY82</f>
        <v>1915.961847</v>
      </c>
      <c r="AZ13" s="26">
        <f>'Произв.затраты'!AZ82</f>
        <v>1915.961847</v>
      </c>
      <c r="BA13" s="26">
        <f>'Произв.затраты'!BA82</f>
        <v>1915.961847</v>
      </c>
      <c r="BB13" s="26">
        <f>'Произв.затраты'!BB82</f>
        <v>1915.961847</v>
      </c>
      <c r="BC13" s="26">
        <f>'Произв.затраты'!BC82</f>
        <v>1915.961847</v>
      </c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</row>
    <row r="14" ht="12.75" customHeight="1">
      <c r="A14" s="218" t="s">
        <v>193</v>
      </c>
      <c r="B14" s="219" t="str">
        <f>'Произв.затраты'!B91</f>
        <v>Услуги диспетчеризации</v>
      </c>
      <c r="C14" s="26">
        <f>'Произв.затраты'!C92</f>
        <v>403.8026655</v>
      </c>
      <c r="D14" s="26">
        <f>'Произв.затраты'!D92</f>
        <v>382.8553963</v>
      </c>
      <c r="E14" s="26">
        <f>'Произв.затраты'!E92</f>
        <v>601.5500665</v>
      </c>
      <c r="F14" s="26">
        <f>'Произв.затраты'!F92</f>
        <v>354.7689349</v>
      </c>
      <c r="G14" s="26">
        <f>'Произв.затраты'!G92</f>
        <v>806.3019491</v>
      </c>
      <c r="H14" s="26">
        <f>'Произв.затраты'!H92</f>
        <v>907.1787703</v>
      </c>
      <c r="I14" s="26">
        <f>'Произв.затраты'!I92</f>
        <v>1130.528126</v>
      </c>
      <c r="J14" s="26">
        <f>'Произв.затраты'!J92</f>
        <v>1130.528126</v>
      </c>
      <c r="K14" s="26">
        <f>'Произв.затраты'!K92</f>
        <v>934.0583117</v>
      </c>
      <c r="L14" s="26">
        <f>'Произв.затраты'!L92</f>
        <v>765.4245816</v>
      </c>
      <c r="M14" s="26">
        <f>'Произв.затраты'!M92</f>
        <v>600.5080897</v>
      </c>
      <c r="N14" s="26">
        <f>'Произв.затраты'!N92</f>
        <v>464.7549555</v>
      </c>
      <c r="O14" s="26">
        <f>'Произв.затраты'!O92</f>
        <v>8482.259973</v>
      </c>
      <c r="P14" s="26">
        <f>'Произв.затраты'!P92</f>
        <v>451.0475774</v>
      </c>
      <c r="Q14" s="26">
        <f>'Произв.затраты'!Q92</f>
        <v>427.6494776</v>
      </c>
      <c r="R14" s="26">
        <f>'Произв.затраты'!R92</f>
        <v>671.9314243</v>
      </c>
      <c r="S14" s="26">
        <f>'Произв.затраты'!S92</f>
        <v>396.2769002</v>
      </c>
      <c r="T14" s="26">
        <f>'Произв.затраты'!T92</f>
        <v>900.6392771</v>
      </c>
      <c r="U14" s="26">
        <f>'Произв.затраты'!U92</f>
        <v>1013.318686</v>
      </c>
      <c r="V14" s="26">
        <f>'Произв.затраты'!V92</f>
        <v>1262.799917</v>
      </c>
      <c r="W14" s="26">
        <f>'Произв.затраты'!W92</f>
        <v>1262.799917</v>
      </c>
      <c r="X14" s="26">
        <f>'Произв.затраты'!X92</f>
        <v>1043.343134</v>
      </c>
      <c r="Y14" s="26">
        <f>'Произв.затраты'!Y92</f>
        <v>854.9792577</v>
      </c>
      <c r="Z14" s="26">
        <f>'Произв.затраты'!Z92</f>
        <v>670.7675362</v>
      </c>
      <c r="AA14" s="26">
        <f>'Произв.затраты'!AA92</f>
        <v>519.1312853</v>
      </c>
      <c r="AB14" s="26">
        <f>'Произв.затраты'!AB92</f>
        <v>9474.68439</v>
      </c>
      <c r="AC14" s="26">
        <f>'Произв.затраты'!AC92</f>
        <v>503.8201439</v>
      </c>
      <c r="AD14" s="26">
        <f>'Произв.затраты'!AD92</f>
        <v>477.6844665</v>
      </c>
      <c r="AE14" s="26">
        <f>'Произв.затраты'!AE92</f>
        <v>750.547401</v>
      </c>
      <c r="AF14" s="26">
        <f>'Произв.затраты'!AF92</f>
        <v>442.6412976</v>
      </c>
      <c r="AG14" s="26">
        <f>'Произв.затраты'!AG92</f>
        <v>1006.014073</v>
      </c>
      <c r="AH14" s="26">
        <f>'Произв.затраты'!AH92</f>
        <v>1131.876973</v>
      </c>
      <c r="AI14" s="26">
        <f>'Произв.затраты'!AI92</f>
        <v>1410.547507</v>
      </c>
      <c r="AJ14" s="26">
        <f>'Произв.затраты'!AJ92</f>
        <v>1410.547507</v>
      </c>
      <c r="AK14" s="26">
        <f>'Произв.затраты'!AK92</f>
        <v>1165.414281</v>
      </c>
      <c r="AL14" s="26">
        <f>'Произв.затраты'!AL92</f>
        <v>955.0118308</v>
      </c>
      <c r="AM14" s="26">
        <f>'Произв.затраты'!AM92</f>
        <v>749.247338</v>
      </c>
      <c r="AN14" s="26">
        <f>'Произв.затраты'!AN92</f>
        <v>579.8696457</v>
      </c>
      <c r="AO14" s="26">
        <f>'Произв.затраты'!AO92</f>
        <v>10583.22246</v>
      </c>
      <c r="AP14" s="26">
        <f>'Произв.затраты'!AP92</f>
        <v>11821.45949</v>
      </c>
      <c r="AQ14" s="26">
        <f>'Произв.затраты'!AQ92</f>
        <v>13204.57025</v>
      </c>
      <c r="AR14" s="26">
        <f>'Произв.затраты'!AR92</f>
        <v>14749.50497</v>
      </c>
      <c r="AS14" s="26">
        <f>'Произв.затраты'!AS92</f>
        <v>16475.19705</v>
      </c>
      <c r="AT14" s="26">
        <f>'Произв.затраты'!AT92</f>
        <v>18402.79511</v>
      </c>
      <c r="AU14" s="26">
        <f>'Произв.затраты'!AU92</f>
        <v>20555.92214</v>
      </c>
      <c r="AV14" s="26">
        <f>'Произв.затраты'!AV92</f>
        <v>22960.96503</v>
      </c>
      <c r="AW14" s="26">
        <f>'Произв.затраты'!AW92</f>
        <v>25647.39793</v>
      </c>
      <c r="AX14" s="26">
        <f>'Произв.затраты'!AX92</f>
        <v>28648.14349</v>
      </c>
      <c r="AY14" s="26">
        <f>'Произв.затраты'!AY92</f>
        <v>31999.97628</v>
      </c>
      <c r="AZ14" s="26">
        <f>'Произв.затраты'!AZ92</f>
        <v>35743.97351</v>
      </c>
      <c r="BA14" s="26">
        <f>'Произв.затраты'!BA92</f>
        <v>39926.01841</v>
      </c>
      <c r="BB14" s="26">
        <f>'Произв.затраты'!BB92</f>
        <v>44597.36256</v>
      </c>
      <c r="BC14" s="26">
        <f>'Произв.затраты'!BC92</f>
        <v>49815.25398</v>
      </c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6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</row>
    <row r="15" ht="12.75" customHeight="1">
      <c r="A15" s="218" t="s">
        <v>194</v>
      </c>
      <c r="B15" s="219" t="str">
        <f>'Произв.затраты'!B101</f>
        <v>Оперативно-техническое и диспетчерское обслуживание</v>
      </c>
      <c r="C15" s="26">
        <f>'Произв.затраты'!C102</f>
        <v>2151.187931</v>
      </c>
      <c r="D15" s="26">
        <f>'Произв.затраты'!D102</f>
        <v>2151.187931</v>
      </c>
      <c r="E15" s="26">
        <f>'Произв.затраты'!E102</f>
        <v>2151.187931</v>
      </c>
      <c r="F15" s="26">
        <f>'Произв.затраты'!F102</f>
        <v>2151.187931</v>
      </c>
      <c r="G15" s="26">
        <f>'Произв.затраты'!G102</f>
        <v>2151.187931</v>
      </c>
      <c r="H15" s="26">
        <f>'Произв.затраты'!H102</f>
        <v>2151.187931</v>
      </c>
      <c r="I15" s="26">
        <f>'Произв.затраты'!I102</f>
        <v>2151.187931</v>
      </c>
      <c r="J15" s="26">
        <f>'Произв.затраты'!J102</f>
        <v>2151.187931</v>
      </c>
      <c r="K15" s="26">
        <f>'Произв.затраты'!K102</f>
        <v>2151.187931</v>
      </c>
      <c r="L15" s="26">
        <f>'Произв.затраты'!L102</f>
        <v>2151.187931</v>
      </c>
      <c r="M15" s="26">
        <f>'Произв.затраты'!M102</f>
        <v>2151.187931</v>
      </c>
      <c r="N15" s="26">
        <f>'Произв.затраты'!N102</f>
        <v>2151.187931</v>
      </c>
      <c r="O15" s="26">
        <f>'Произв.затраты'!O102</f>
        <v>25814.25517</v>
      </c>
      <c r="P15" s="26">
        <f>'Произв.затраты'!P102</f>
        <v>2402.876919</v>
      </c>
      <c r="Q15" s="26">
        <f>'Произв.затраты'!Q102</f>
        <v>2402.876919</v>
      </c>
      <c r="R15" s="26">
        <f>'Произв.затраты'!R102</f>
        <v>2402.876919</v>
      </c>
      <c r="S15" s="26">
        <f>'Произв.затраты'!S102</f>
        <v>2402.876919</v>
      </c>
      <c r="T15" s="26">
        <f>'Произв.затраты'!T102</f>
        <v>2402.876919</v>
      </c>
      <c r="U15" s="26">
        <f>'Произв.затраты'!U102</f>
        <v>2402.876919</v>
      </c>
      <c r="V15" s="26">
        <f>'Произв.затраты'!V102</f>
        <v>2402.876919</v>
      </c>
      <c r="W15" s="26">
        <f>'Произв.затраты'!W102</f>
        <v>2402.876919</v>
      </c>
      <c r="X15" s="26">
        <f>'Произв.затраты'!X102</f>
        <v>2402.876919</v>
      </c>
      <c r="Y15" s="26">
        <f>'Произв.затраты'!Y102</f>
        <v>2402.876919</v>
      </c>
      <c r="Z15" s="26">
        <f>'Произв.затраты'!Z102</f>
        <v>2402.876919</v>
      </c>
      <c r="AA15" s="26">
        <f>'Произв.затраты'!AA102</f>
        <v>2402.876919</v>
      </c>
      <c r="AB15" s="26">
        <f>'Произв.затраты'!AB102</f>
        <v>28834.52303</v>
      </c>
      <c r="AC15" s="26">
        <f>'Произв.затраты'!AC102</f>
        <v>2684.013518</v>
      </c>
      <c r="AD15" s="26">
        <f>'Произв.затраты'!AD102</f>
        <v>2684.013518</v>
      </c>
      <c r="AE15" s="26">
        <f>'Произв.затраты'!AE102</f>
        <v>2684.013518</v>
      </c>
      <c r="AF15" s="26">
        <f>'Произв.затраты'!AF102</f>
        <v>2684.013518</v>
      </c>
      <c r="AG15" s="26">
        <f>'Произв.затраты'!AG102</f>
        <v>2684.013518</v>
      </c>
      <c r="AH15" s="26">
        <f>'Произв.затраты'!AH102</f>
        <v>2684.013518</v>
      </c>
      <c r="AI15" s="26">
        <f>'Произв.затраты'!AI102</f>
        <v>2684.013518</v>
      </c>
      <c r="AJ15" s="26">
        <f>'Произв.затраты'!AJ102</f>
        <v>2684.013518</v>
      </c>
      <c r="AK15" s="26">
        <f>'Произв.затраты'!AK102</f>
        <v>2684.013518</v>
      </c>
      <c r="AL15" s="26">
        <f>'Произв.затраты'!AL102</f>
        <v>2684.013518</v>
      </c>
      <c r="AM15" s="26">
        <f>'Произв.затраты'!AM102</f>
        <v>2684.013518</v>
      </c>
      <c r="AN15" s="26">
        <f>'Произв.затраты'!AN102</f>
        <v>2684.013518</v>
      </c>
      <c r="AO15" s="26">
        <f>'Произв.затраты'!AO102</f>
        <v>32208.16222</v>
      </c>
      <c r="AP15" s="26">
        <f>'Произв.затраты'!AP102</f>
        <v>35976.5172</v>
      </c>
      <c r="AQ15" s="26">
        <f>'Произв.затраты'!AQ102</f>
        <v>40185.76971</v>
      </c>
      <c r="AR15" s="26">
        <f>'Произв.затраты'!AR102</f>
        <v>44887.50477</v>
      </c>
      <c r="AS15" s="26">
        <f>'Произв.затраты'!AS102</f>
        <v>50139.34283</v>
      </c>
      <c r="AT15" s="26">
        <f>'Произв.затраты'!AT102</f>
        <v>56005.64594</v>
      </c>
      <c r="AU15" s="26">
        <f>'Произв.затраты'!AU102</f>
        <v>62558.30652</v>
      </c>
      <c r="AV15" s="26">
        <f>'Произв.затраты'!AV102</f>
        <v>69877.62838</v>
      </c>
      <c r="AW15" s="26">
        <f>'Произв.затраты'!AW102</f>
        <v>78053.3109</v>
      </c>
      <c r="AX15" s="26">
        <f>'Произв.затраты'!AX102</f>
        <v>87185.54827</v>
      </c>
      <c r="AY15" s="26">
        <f>'Произв.затраты'!AY102</f>
        <v>97386.25742</v>
      </c>
      <c r="AZ15" s="26">
        <f>'Произв.затраты'!AZ102</f>
        <v>108780.4495</v>
      </c>
      <c r="BA15" s="26">
        <f>'Произв.затраты'!BA102</f>
        <v>121507.7621</v>
      </c>
      <c r="BB15" s="26">
        <f>'Произв.затраты'!BB102</f>
        <v>135724.1703</v>
      </c>
      <c r="BC15" s="26">
        <f>'Произв.затраты'!BC102</f>
        <v>151603.8982</v>
      </c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6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</row>
    <row r="16" ht="12.75" customHeight="1">
      <c r="A16" s="218" t="s">
        <v>195</v>
      </c>
      <c r="B16" s="219" t="s">
        <v>196</v>
      </c>
      <c r="C16" s="26">
        <f>'Произв.затраты'!C113</f>
        <v>145.046497</v>
      </c>
      <c r="D16" s="26">
        <f>'Произв.затраты'!D113</f>
        <v>123.1174645</v>
      </c>
      <c r="E16" s="26">
        <f>'Произв.затраты'!E113</f>
        <v>193.444626</v>
      </c>
      <c r="F16" s="26">
        <f>'Произв.затраты'!F113</f>
        <v>114.0855063</v>
      </c>
      <c r="G16" s="26">
        <f>'Произв.затраты'!G113</f>
        <v>259.2881086</v>
      </c>
      <c r="H16" s="26">
        <f>'Произв.затраты'!H113</f>
        <v>291.7277675</v>
      </c>
      <c r="I16" s="26">
        <f>'Произв.затраты'!I113</f>
        <v>363.5517685</v>
      </c>
      <c r="J16" s="26">
        <f>'Произв.затраты'!J113</f>
        <v>363.5517685</v>
      </c>
      <c r="K16" s="26">
        <f>'Произв.затраты'!K113</f>
        <v>300.371608</v>
      </c>
      <c r="L16" s="26">
        <f>'Произв.затраты'!L113</f>
        <v>246.1428901</v>
      </c>
      <c r="M16" s="26">
        <f>'Произв.затраты'!M113</f>
        <v>193.1095503</v>
      </c>
      <c r="N16" s="26">
        <f>'Произв.затраты'!N113</f>
        <v>149.4544736</v>
      </c>
      <c r="O16" s="26">
        <f>'Произв.затраты'!O113</f>
        <v>2742.892029</v>
      </c>
      <c r="P16" s="26">
        <f>'Произв.затраты'!P113</f>
        <v>159.4061002</v>
      </c>
      <c r="Q16" s="26">
        <f>'Произв.затраты'!Q113</f>
        <v>135.3060935</v>
      </c>
      <c r="R16" s="26">
        <f>'Произв.затраты'!R113</f>
        <v>212.595644</v>
      </c>
      <c r="S16" s="26">
        <f>'Произв.затраты'!S113</f>
        <v>125.3799715</v>
      </c>
      <c r="T16" s="26">
        <f>'Произв.затраты'!T113</f>
        <v>284.9576314</v>
      </c>
      <c r="U16" s="26">
        <f>'Произв.затраты'!U113</f>
        <v>320.6088165</v>
      </c>
      <c r="V16" s="26">
        <f>'Произв.затраты'!V113</f>
        <v>399.5433936</v>
      </c>
      <c r="W16" s="26">
        <f>'Произв.затраты'!W113</f>
        <v>399.5433936</v>
      </c>
      <c r="X16" s="26">
        <f>'Произв.затраты'!X113</f>
        <v>330.1083972</v>
      </c>
      <c r="Y16" s="26">
        <f>'Произв.затраты'!Y113</f>
        <v>270.5110362</v>
      </c>
      <c r="Z16" s="26">
        <f>'Произв.затраты'!Z113</f>
        <v>212.2273958</v>
      </c>
      <c r="AA16" s="26">
        <f>'Произв.затраты'!AA113</f>
        <v>164.2504665</v>
      </c>
      <c r="AB16" s="26">
        <f>'Произв.затраты'!AB113</f>
        <v>3014.43834</v>
      </c>
      <c r="AC16" s="26">
        <f>'Произв.затраты'!AC113</f>
        <v>175.1873041</v>
      </c>
      <c r="AD16" s="26">
        <f>'Произв.затраты'!AD113</f>
        <v>148.7013967</v>
      </c>
      <c r="AE16" s="26">
        <f>'Произв.затраты'!AE113</f>
        <v>233.6426127</v>
      </c>
      <c r="AF16" s="26">
        <f>'Произв.затраты'!AF113</f>
        <v>137.7925886</v>
      </c>
      <c r="AG16" s="26">
        <f>'Произв.затраты'!AG113</f>
        <v>313.1684369</v>
      </c>
      <c r="AH16" s="26">
        <f>'Произв.затраты'!AH113</f>
        <v>352.3490893</v>
      </c>
      <c r="AI16" s="26">
        <f>'Произв.затраты'!AI113</f>
        <v>439.0981895</v>
      </c>
      <c r="AJ16" s="26">
        <f>'Произв.затраты'!AJ113</f>
        <v>439.0981895</v>
      </c>
      <c r="AK16" s="26">
        <f>'Произв.затраты'!AK113</f>
        <v>362.7891285</v>
      </c>
      <c r="AL16" s="26">
        <f>'Произв.затраты'!AL113</f>
        <v>297.2916288</v>
      </c>
      <c r="AM16" s="26">
        <f>'Произв.затраты'!AM113</f>
        <v>233.237908</v>
      </c>
      <c r="AN16" s="26">
        <f>'Произв.затраты'!AN113</f>
        <v>180.5112627</v>
      </c>
      <c r="AO16" s="26">
        <f>'Произв.затраты'!AO113</f>
        <v>3312.867735</v>
      </c>
      <c r="AP16" s="26">
        <f>'Произв.затраты'!AP113</f>
        <v>3640.841641</v>
      </c>
      <c r="AQ16" s="26">
        <f>'Произв.затраты'!AQ113</f>
        <v>4001.284964</v>
      </c>
      <c r="AR16" s="26">
        <f>'Произв.затраты'!AR113</f>
        <v>4397.412175</v>
      </c>
      <c r="AS16" s="26">
        <f>'Произв.затраты'!AS113</f>
        <v>4832.755981</v>
      </c>
      <c r="AT16" s="26">
        <f>'Произв.затраты'!AT113</f>
        <v>5311.198823</v>
      </c>
      <c r="AU16" s="26">
        <f>'Произв.затраты'!AU113</f>
        <v>5837.007506</v>
      </c>
      <c r="AV16" s="26">
        <f>'Произв.затраты'!AV113</f>
        <v>6414.871249</v>
      </c>
      <c r="AW16" s="26">
        <f>'Произв.затраты'!AW113</f>
        <v>7049.943503</v>
      </c>
      <c r="AX16" s="26">
        <f>'Произв.затраты'!AX113</f>
        <v>7747.88791</v>
      </c>
      <c r="AY16" s="26">
        <f>'Произв.затраты'!AY113</f>
        <v>8514.928813</v>
      </c>
      <c r="AZ16" s="26">
        <f>'Произв.затраты'!AZ113</f>
        <v>9357.906765</v>
      </c>
      <c r="BA16" s="26">
        <f>'Произв.затраты'!BA113</f>
        <v>10284.33953</v>
      </c>
      <c r="BB16" s="26">
        <f>'Произв.затраты'!BB113</f>
        <v>11302.48915</v>
      </c>
      <c r="BC16" s="26">
        <f>'Произв.затраты'!BC113</f>
        <v>12421.43557</v>
      </c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</row>
    <row r="17" ht="12.75" customHeight="1">
      <c r="A17" s="220"/>
      <c r="B17" s="221" t="s">
        <v>56</v>
      </c>
      <c r="C17" s="222">
        <f t="shared" ref="C17:BC17" si="2">SUM(C8:C16)</f>
        <v>18528.62049</v>
      </c>
      <c r="D17" s="222">
        <f t="shared" si="2"/>
        <v>18470.42635</v>
      </c>
      <c r="E17" s="222">
        <f t="shared" si="2"/>
        <v>18808.57303</v>
      </c>
      <c r="F17" s="222">
        <f t="shared" si="2"/>
        <v>18426.99894</v>
      </c>
      <c r="G17" s="222">
        <f t="shared" si="2"/>
        <v>19125.16131</v>
      </c>
      <c r="H17" s="222">
        <f t="shared" si="2"/>
        <v>19281.13751</v>
      </c>
      <c r="I17" s="222">
        <f t="shared" si="2"/>
        <v>19626.48128</v>
      </c>
      <c r="J17" s="222">
        <f t="shared" si="2"/>
        <v>19626.48128</v>
      </c>
      <c r="K17" s="222">
        <f t="shared" si="2"/>
        <v>19322.69877</v>
      </c>
      <c r="L17" s="222">
        <f t="shared" si="2"/>
        <v>19061.95654</v>
      </c>
      <c r="M17" s="222">
        <f t="shared" si="2"/>
        <v>18806.96192</v>
      </c>
      <c r="N17" s="222">
        <f t="shared" si="2"/>
        <v>18597.05982</v>
      </c>
      <c r="O17" s="222">
        <f t="shared" si="2"/>
        <v>227682.5572</v>
      </c>
      <c r="P17" s="222">
        <f t="shared" si="2"/>
        <v>18803.93269</v>
      </c>
      <c r="Q17" s="222">
        <f t="shared" si="2"/>
        <v>18741.11674</v>
      </c>
      <c r="R17" s="222">
        <f t="shared" si="2"/>
        <v>19111.81308</v>
      </c>
      <c r="S17" s="222">
        <f t="shared" si="2"/>
        <v>18693.50904</v>
      </c>
      <c r="T17" s="222">
        <f t="shared" si="2"/>
        <v>19458.87584</v>
      </c>
      <c r="U17" s="222">
        <f t="shared" si="2"/>
        <v>19629.86615</v>
      </c>
      <c r="V17" s="222">
        <f t="shared" si="2"/>
        <v>20008.45238</v>
      </c>
      <c r="W17" s="222">
        <f t="shared" si="2"/>
        <v>20008.45238</v>
      </c>
      <c r="X17" s="222">
        <f t="shared" si="2"/>
        <v>19675.42806</v>
      </c>
      <c r="Y17" s="222">
        <f t="shared" si="2"/>
        <v>19389.58704</v>
      </c>
      <c r="Z17" s="222">
        <f t="shared" si="2"/>
        <v>19110.04689</v>
      </c>
      <c r="AA17" s="222">
        <f t="shared" si="2"/>
        <v>18879.93982</v>
      </c>
      <c r="AB17" s="222">
        <f t="shared" si="2"/>
        <v>231511.0201</v>
      </c>
      <c r="AC17" s="222">
        <f t="shared" si="2"/>
        <v>19119.65411</v>
      </c>
      <c r="AD17" s="222">
        <f t="shared" si="2"/>
        <v>19051.71468</v>
      </c>
      <c r="AE17" s="222">
        <f t="shared" si="2"/>
        <v>19458.64368</v>
      </c>
      <c r="AF17" s="222">
        <f t="shared" si="2"/>
        <v>18999.45371</v>
      </c>
      <c r="AG17" s="222">
        <f t="shared" si="2"/>
        <v>19839.62909</v>
      </c>
      <c r="AH17" s="222">
        <f t="shared" si="2"/>
        <v>20027.33236</v>
      </c>
      <c r="AI17" s="222">
        <f t="shared" si="2"/>
        <v>20442.92241</v>
      </c>
      <c r="AJ17" s="222">
        <f t="shared" si="2"/>
        <v>20442.92241</v>
      </c>
      <c r="AK17" s="222">
        <f t="shared" si="2"/>
        <v>20077.34759</v>
      </c>
      <c r="AL17" s="222">
        <f t="shared" si="2"/>
        <v>19763.56786</v>
      </c>
      <c r="AM17" s="222">
        <f t="shared" si="2"/>
        <v>19456.70486</v>
      </c>
      <c r="AN17" s="222">
        <f t="shared" si="2"/>
        <v>19204.10663</v>
      </c>
      <c r="AO17" s="222">
        <f t="shared" si="2"/>
        <v>235883.9994</v>
      </c>
      <c r="AP17" s="222">
        <f t="shared" si="2"/>
        <v>240864.7197</v>
      </c>
      <c r="AQ17" s="222">
        <f t="shared" si="2"/>
        <v>246523.7548</v>
      </c>
      <c r="AR17" s="222">
        <f t="shared" si="2"/>
        <v>252939.8832</v>
      </c>
      <c r="AS17" s="222">
        <f t="shared" si="2"/>
        <v>260201.0425</v>
      </c>
      <c r="AT17" s="222">
        <f t="shared" si="2"/>
        <v>268405.3953</v>
      </c>
      <c r="AU17" s="222">
        <f t="shared" si="2"/>
        <v>277662.5195</v>
      </c>
      <c r="AV17" s="222">
        <f t="shared" si="2"/>
        <v>288094.7369</v>
      </c>
      <c r="AW17" s="222">
        <f t="shared" si="2"/>
        <v>299838.5962</v>
      </c>
      <c r="AX17" s="222">
        <f t="shared" si="2"/>
        <v>313046.5299</v>
      </c>
      <c r="AY17" s="222">
        <f t="shared" si="2"/>
        <v>327888.703</v>
      </c>
      <c r="AZ17" s="222">
        <f t="shared" si="2"/>
        <v>344555.0778</v>
      </c>
      <c r="BA17" s="222">
        <f t="shared" si="2"/>
        <v>363397.4975</v>
      </c>
      <c r="BB17" s="222">
        <f t="shared" si="2"/>
        <v>385143.4314</v>
      </c>
      <c r="BC17" s="222">
        <f t="shared" si="2"/>
        <v>409523.6783</v>
      </c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</row>
    <row r="19" ht="12.75" customHeight="1">
      <c r="A19" s="2"/>
      <c r="B19" s="2"/>
      <c r="C19" s="26"/>
      <c r="D19" s="2"/>
      <c r="E19" s="2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"/>
      <c r="R19" s="2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"/>
      <c r="AE19" s="2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"/>
      <c r="AR19" s="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</row>
    <row r="20" ht="12.75" customHeight="1">
      <c r="A20" s="1" t="s">
        <v>197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</row>
    <row r="22" ht="12.75" customHeight="1">
      <c r="A22" s="34" t="s">
        <v>42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</row>
    <row r="23" ht="12.75" customHeight="1">
      <c r="A23" s="223" t="s">
        <v>43</v>
      </c>
      <c r="B23" s="223" t="s">
        <v>58</v>
      </c>
      <c r="C23" s="59" t="s">
        <v>59</v>
      </c>
      <c r="D23" s="59" t="s">
        <v>60</v>
      </c>
      <c r="E23" s="59" t="s">
        <v>61</v>
      </c>
      <c r="F23" s="59" t="s">
        <v>62</v>
      </c>
      <c r="G23" s="59" t="s">
        <v>63</v>
      </c>
      <c r="H23" s="59" t="s">
        <v>64</v>
      </c>
      <c r="I23" s="59" t="s">
        <v>65</v>
      </c>
      <c r="J23" s="59" t="s">
        <v>66</v>
      </c>
      <c r="K23" s="59" t="s">
        <v>67</v>
      </c>
      <c r="L23" s="59" t="s">
        <v>68</v>
      </c>
      <c r="M23" s="59" t="s">
        <v>69</v>
      </c>
      <c r="N23" s="59" t="s">
        <v>70</v>
      </c>
      <c r="O23" s="162">
        <v>2026.0</v>
      </c>
      <c r="P23" s="162" t="s">
        <v>59</v>
      </c>
      <c r="Q23" s="162" t="s">
        <v>60</v>
      </c>
      <c r="R23" s="162" t="s">
        <v>61</v>
      </c>
      <c r="S23" s="162" t="s">
        <v>62</v>
      </c>
      <c r="T23" s="162" t="s">
        <v>63</v>
      </c>
      <c r="U23" s="162" t="s">
        <v>64</v>
      </c>
      <c r="V23" s="162" t="s">
        <v>65</v>
      </c>
      <c r="W23" s="162" t="s">
        <v>66</v>
      </c>
      <c r="X23" s="162" t="s">
        <v>67</v>
      </c>
      <c r="Y23" s="162" t="s">
        <v>68</v>
      </c>
      <c r="Z23" s="162" t="s">
        <v>69</v>
      </c>
      <c r="AA23" s="162" t="s">
        <v>70</v>
      </c>
      <c r="AB23" s="162">
        <v>2027.0</v>
      </c>
      <c r="AC23" s="162" t="s">
        <v>59</v>
      </c>
      <c r="AD23" s="162" t="s">
        <v>60</v>
      </c>
      <c r="AE23" s="162" t="s">
        <v>61</v>
      </c>
      <c r="AF23" s="162" t="s">
        <v>62</v>
      </c>
      <c r="AG23" s="162" t="s">
        <v>63</v>
      </c>
      <c r="AH23" s="162" t="s">
        <v>64</v>
      </c>
      <c r="AI23" s="162" t="s">
        <v>65</v>
      </c>
      <c r="AJ23" s="162" t="s">
        <v>66</v>
      </c>
      <c r="AK23" s="162" t="s">
        <v>67</v>
      </c>
      <c r="AL23" s="162" t="s">
        <v>68</v>
      </c>
      <c r="AM23" s="162" t="s">
        <v>69</v>
      </c>
      <c r="AN23" s="162" t="s">
        <v>70</v>
      </c>
      <c r="AO23" s="162">
        <v>2028.0</v>
      </c>
      <c r="AP23" s="162">
        <v>2029.0</v>
      </c>
      <c r="AQ23" s="162">
        <v>2030.0</v>
      </c>
      <c r="AR23" s="162">
        <v>2031.0</v>
      </c>
      <c r="AS23" s="162">
        <v>2032.0</v>
      </c>
      <c r="AT23" s="162">
        <v>2033.0</v>
      </c>
      <c r="AU23" s="162">
        <v>2034.0</v>
      </c>
      <c r="AV23" s="162">
        <v>2035.0</v>
      </c>
      <c r="AW23" s="162">
        <v>2036.0</v>
      </c>
      <c r="AX23" s="162">
        <v>2037.0</v>
      </c>
      <c r="AY23" s="162">
        <v>2038.0</v>
      </c>
      <c r="AZ23" s="162">
        <v>2039.0</v>
      </c>
      <c r="BA23" s="162">
        <v>2040.0</v>
      </c>
      <c r="BB23" s="162">
        <v>2041.0</v>
      </c>
      <c r="BC23" s="162">
        <v>2042.0</v>
      </c>
      <c r="BD23" s="224"/>
      <c r="BE23" s="224"/>
      <c r="BF23" s="224"/>
      <c r="BG23" s="224"/>
      <c r="BH23" s="224"/>
      <c r="BI23" s="224"/>
      <c r="BJ23" s="224"/>
      <c r="BK23" s="224"/>
      <c r="BL23" s="224"/>
      <c r="BM23" s="224"/>
      <c r="BN23" s="224"/>
      <c r="BO23" s="224"/>
      <c r="BP23" s="224"/>
      <c r="BQ23" s="224"/>
      <c r="BR23" s="224"/>
      <c r="BS23" s="224"/>
      <c r="BT23" s="224"/>
      <c r="BU23" s="224"/>
      <c r="BV23" s="224"/>
      <c r="BW23" s="224"/>
      <c r="BX23" s="224"/>
      <c r="BY23" s="224"/>
      <c r="BZ23" s="224"/>
      <c r="CA23" s="224"/>
      <c r="CB23" s="224"/>
      <c r="CC23" s="224"/>
      <c r="CD23" s="224"/>
      <c r="CE23" s="224"/>
      <c r="CF23" s="224"/>
      <c r="CG23" s="224"/>
      <c r="CH23" s="224"/>
      <c r="CI23" s="224"/>
      <c r="CJ23" s="224"/>
      <c r="CK23" s="224"/>
      <c r="CL23" s="224"/>
      <c r="CM23" s="224"/>
      <c r="CN23" s="224"/>
      <c r="CO23" s="224"/>
      <c r="CP23" s="224"/>
      <c r="CQ23" s="224"/>
      <c r="CR23" s="224"/>
      <c r="CS23" s="224"/>
      <c r="CT23" s="224"/>
      <c r="CU23" s="224"/>
      <c r="CV23" s="224"/>
      <c r="CW23" s="224"/>
      <c r="CX23" s="224"/>
      <c r="CY23" s="224"/>
      <c r="CZ23" s="224"/>
      <c r="DA23" s="224"/>
      <c r="DB23" s="224"/>
      <c r="DC23" s="224"/>
      <c r="DD23" s="224"/>
      <c r="DE23" s="224"/>
      <c r="DF23" s="224"/>
      <c r="DG23" s="224"/>
    </row>
    <row r="24" ht="12.75" customHeight="1">
      <c r="A24" s="2">
        <v>1.0</v>
      </c>
      <c r="B24" s="2" t="s">
        <v>198</v>
      </c>
      <c r="C24" s="26">
        <f>F32</f>
        <v>14417.24594</v>
      </c>
      <c r="D24" s="26">
        <f t="shared" ref="D24:N24" si="3">C24</f>
        <v>14417.24594</v>
      </c>
      <c r="E24" s="26">
        <f t="shared" si="3"/>
        <v>14417.24594</v>
      </c>
      <c r="F24" s="26">
        <f t="shared" si="3"/>
        <v>14417.24594</v>
      </c>
      <c r="G24" s="26">
        <f t="shared" si="3"/>
        <v>14417.24594</v>
      </c>
      <c r="H24" s="26">
        <f t="shared" si="3"/>
        <v>14417.24594</v>
      </c>
      <c r="I24" s="26">
        <f t="shared" si="3"/>
        <v>14417.24594</v>
      </c>
      <c r="J24" s="26">
        <f t="shared" si="3"/>
        <v>14417.24594</v>
      </c>
      <c r="K24" s="26">
        <f t="shared" si="3"/>
        <v>14417.24594</v>
      </c>
      <c r="L24" s="26">
        <f t="shared" si="3"/>
        <v>14417.24594</v>
      </c>
      <c r="M24" s="26">
        <f t="shared" si="3"/>
        <v>14417.24594</v>
      </c>
      <c r="N24" s="26">
        <f t="shared" si="3"/>
        <v>14417.24594</v>
      </c>
      <c r="O24" s="26">
        <f>SUM(C24:N24)</f>
        <v>173006.9512</v>
      </c>
      <c r="P24" s="26">
        <f t="shared" ref="P24:AA24" si="4">C24</f>
        <v>14417.24594</v>
      </c>
      <c r="Q24" s="26">
        <f t="shared" si="4"/>
        <v>14417.24594</v>
      </c>
      <c r="R24" s="26">
        <f t="shared" si="4"/>
        <v>14417.24594</v>
      </c>
      <c r="S24" s="26">
        <f t="shared" si="4"/>
        <v>14417.24594</v>
      </c>
      <c r="T24" s="26">
        <f t="shared" si="4"/>
        <v>14417.24594</v>
      </c>
      <c r="U24" s="26">
        <f t="shared" si="4"/>
        <v>14417.24594</v>
      </c>
      <c r="V24" s="26">
        <f t="shared" si="4"/>
        <v>14417.24594</v>
      </c>
      <c r="W24" s="26">
        <f t="shared" si="4"/>
        <v>14417.24594</v>
      </c>
      <c r="X24" s="26">
        <f t="shared" si="4"/>
        <v>14417.24594</v>
      </c>
      <c r="Y24" s="26">
        <f t="shared" si="4"/>
        <v>14417.24594</v>
      </c>
      <c r="Z24" s="26">
        <f t="shared" si="4"/>
        <v>14417.24594</v>
      </c>
      <c r="AA24" s="26">
        <f t="shared" si="4"/>
        <v>14417.24594</v>
      </c>
      <c r="AB24" s="26">
        <f>SUM(P24:AA24)</f>
        <v>173006.9512</v>
      </c>
      <c r="AC24" s="26">
        <f>P24</f>
        <v>14417.24594</v>
      </c>
      <c r="AD24" s="26">
        <f t="shared" ref="AD24:AN24" si="5">AC24</f>
        <v>14417.24594</v>
      </c>
      <c r="AE24" s="26">
        <f t="shared" si="5"/>
        <v>14417.24594</v>
      </c>
      <c r="AF24" s="26">
        <f t="shared" si="5"/>
        <v>14417.24594</v>
      </c>
      <c r="AG24" s="26">
        <f t="shared" si="5"/>
        <v>14417.24594</v>
      </c>
      <c r="AH24" s="26">
        <f t="shared" si="5"/>
        <v>14417.24594</v>
      </c>
      <c r="AI24" s="26">
        <f t="shared" si="5"/>
        <v>14417.24594</v>
      </c>
      <c r="AJ24" s="26">
        <f t="shared" si="5"/>
        <v>14417.24594</v>
      </c>
      <c r="AK24" s="26">
        <f t="shared" si="5"/>
        <v>14417.24594</v>
      </c>
      <c r="AL24" s="26">
        <f t="shared" si="5"/>
        <v>14417.24594</v>
      </c>
      <c r="AM24" s="26">
        <f t="shared" si="5"/>
        <v>14417.24594</v>
      </c>
      <c r="AN24" s="26">
        <f t="shared" si="5"/>
        <v>14417.24594</v>
      </c>
      <c r="AO24" s="26">
        <f>SUM(AC24:AN24)</f>
        <v>173006.9512</v>
      </c>
      <c r="AP24" s="26">
        <f t="shared" ref="AP24:BC24" si="6">AO24</f>
        <v>173006.9512</v>
      </c>
      <c r="AQ24" s="26">
        <f t="shared" si="6"/>
        <v>173006.9512</v>
      </c>
      <c r="AR24" s="26">
        <f t="shared" si="6"/>
        <v>173006.9512</v>
      </c>
      <c r="AS24" s="26">
        <f t="shared" si="6"/>
        <v>173006.9512</v>
      </c>
      <c r="AT24" s="26">
        <f t="shared" si="6"/>
        <v>173006.9512</v>
      </c>
      <c r="AU24" s="26">
        <f t="shared" si="6"/>
        <v>173006.9512</v>
      </c>
      <c r="AV24" s="26">
        <f t="shared" si="6"/>
        <v>173006.9512</v>
      </c>
      <c r="AW24" s="26">
        <f t="shared" si="6"/>
        <v>173006.9512</v>
      </c>
      <c r="AX24" s="26">
        <f t="shared" si="6"/>
        <v>173006.9512</v>
      </c>
      <c r="AY24" s="26">
        <f t="shared" si="6"/>
        <v>173006.9512</v>
      </c>
      <c r="AZ24" s="26">
        <f t="shared" si="6"/>
        <v>173006.9512</v>
      </c>
      <c r="BA24" s="26">
        <f t="shared" si="6"/>
        <v>173006.9512</v>
      </c>
      <c r="BB24" s="26">
        <f t="shared" si="6"/>
        <v>173006.9512</v>
      </c>
      <c r="BC24" s="26">
        <f t="shared" si="6"/>
        <v>173006.9512</v>
      </c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</row>
    <row r="25" ht="12.75" customHeight="1">
      <c r="A25" s="225"/>
      <c r="B25" s="225" t="s">
        <v>56</v>
      </c>
      <c r="C25" s="167">
        <f t="shared" ref="C25:BC25" si="7">SUM(C24)</f>
        <v>14417.24594</v>
      </c>
      <c r="D25" s="167">
        <f t="shared" si="7"/>
        <v>14417.24594</v>
      </c>
      <c r="E25" s="167">
        <f t="shared" si="7"/>
        <v>14417.24594</v>
      </c>
      <c r="F25" s="167">
        <f t="shared" si="7"/>
        <v>14417.24594</v>
      </c>
      <c r="G25" s="167">
        <f t="shared" si="7"/>
        <v>14417.24594</v>
      </c>
      <c r="H25" s="167">
        <f t="shared" si="7"/>
        <v>14417.24594</v>
      </c>
      <c r="I25" s="167">
        <f t="shared" si="7"/>
        <v>14417.24594</v>
      </c>
      <c r="J25" s="167">
        <f t="shared" si="7"/>
        <v>14417.24594</v>
      </c>
      <c r="K25" s="167">
        <f t="shared" si="7"/>
        <v>14417.24594</v>
      </c>
      <c r="L25" s="167">
        <f t="shared" si="7"/>
        <v>14417.24594</v>
      </c>
      <c r="M25" s="167">
        <f t="shared" si="7"/>
        <v>14417.24594</v>
      </c>
      <c r="N25" s="167">
        <f t="shared" si="7"/>
        <v>14417.24594</v>
      </c>
      <c r="O25" s="167">
        <f t="shared" si="7"/>
        <v>173006.9512</v>
      </c>
      <c r="P25" s="167">
        <f t="shared" si="7"/>
        <v>14417.24594</v>
      </c>
      <c r="Q25" s="167">
        <f t="shared" si="7"/>
        <v>14417.24594</v>
      </c>
      <c r="R25" s="167">
        <f t="shared" si="7"/>
        <v>14417.24594</v>
      </c>
      <c r="S25" s="167">
        <f t="shared" si="7"/>
        <v>14417.24594</v>
      </c>
      <c r="T25" s="167">
        <f t="shared" si="7"/>
        <v>14417.24594</v>
      </c>
      <c r="U25" s="167">
        <f t="shared" si="7"/>
        <v>14417.24594</v>
      </c>
      <c r="V25" s="167">
        <f t="shared" si="7"/>
        <v>14417.24594</v>
      </c>
      <c r="W25" s="167">
        <f t="shared" si="7"/>
        <v>14417.24594</v>
      </c>
      <c r="X25" s="167">
        <f t="shared" si="7"/>
        <v>14417.24594</v>
      </c>
      <c r="Y25" s="167">
        <f t="shared" si="7"/>
        <v>14417.24594</v>
      </c>
      <c r="Z25" s="167">
        <f t="shared" si="7"/>
        <v>14417.24594</v>
      </c>
      <c r="AA25" s="167">
        <f t="shared" si="7"/>
        <v>14417.24594</v>
      </c>
      <c r="AB25" s="167">
        <f t="shared" si="7"/>
        <v>173006.9512</v>
      </c>
      <c r="AC25" s="167">
        <f t="shared" si="7"/>
        <v>14417.24594</v>
      </c>
      <c r="AD25" s="167">
        <f t="shared" si="7"/>
        <v>14417.24594</v>
      </c>
      <c r="AE25" s="167">
        <f t="shared" si="7"/>
        <v>14417.24594</v>
      </c>
      <c r="AF25" s="167">
        <f t="shared" si="7"/>
        <v>14417.24594</v>
      </c>
      <c r="AG25" s="167">
        <f t="shared" si="7"/>
        <v>14417.24594</v>
      </c>
      <c r="AH25" s="167">
        <f t="shared" si="7"/>
        <v>14417.24594</v>
      </c>
      <c r="AI25" s="167">
        <f t="shared" si="7"/>
        <v>14417.24594</v>
      </c>
      <c r="AJ25" s="167">
        <f t="shared" si="7"/>
        <v>14417.24594</v>
      </c>
      <c r="AK25" s="167">
        <f t="shared" si="7"/>
        <v>14417.24594</v>
      </c>
      <c r="AL25" s="167">
        <f t="shared" si="7"/>
        <v>14417.24594</v>
      </c>
      <c r="AM25" s="167">
        <f t="shared" si="7"/>
        <v>14417.24594</v>
      </c>
      <c r="AN25" s="167">
        <f t="shared" si="7"/>
        <v>14417.24594</v>
      </c>
      <c r="AO25" s="167">
        <f t="shared" si="7"/>
        <v>173006.9512</v>
      </c>
      <c r="AP25" s="167">
        <f t="shared" si="7"/>
        <v>173006.9512</v>
      </c>
      <c r="AQ25" s="167">
        <f t="shared" si="7"/>
        <v>173006.9512</v>
      </c>
      <c r="AR25" s="167">
        <f t="shared" si="7"/>
        <v>173006.9512</v>
      </c>
      <c r="AS25" s="167">
        <f t="shared" si="7"/>
        <v>173006.9512</v>
      </c>
      <c r="AT25" s="167">
        <f t="shared" si="7"/>
        <v>173006.9512</v>
      </c>
      <c r="AU25" s="167">
        <f t="shared" si="7"/>
        <v>173006.9512</v>
      </c>
      <c r="AV25" s="167">
        <f t="shared" si="7"/>
        <v>173006.9512</v>
      </c>
      <c r="AW25" s="167">
        <f t="shared" si="7"/>
        <v>173006.9512</v>
      </c>
      <c r="AX25" s="167">
        <f t="shared" si="7"/>
        <v>173006.9512</v>
      </c>
      <c r="AY25" s="167">
        <f t="shared" si="7"/>
        <v>173006.9512</v>
      </c>
      <c r="AZ25" s="167">
        <f t="shared" si="7"/>
        <v>173006.9512</v>
      </c>
      <c r="BA25" s="167">
        <f t="shared" si="7"/>
        <v>173006.9512</v>
      </c>
      <c r="BB25" s="167">
        <f t="shared" si="7"/>
        <v>173006.9512</v>
      </c>
      <c r="BC25" s="167">
        <f t="shared" si="7"/>
        <v>173006.9512</v>
      </c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</row>
    <row r="28" ht="12.75" customHeight="1">
      <c r="A28" s="34" t="s">
        <v>42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26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</row>
    <row r="29" ht="12.75" customHeight="1">
      <c r="A29" s="35" t="s">
        <v>43</v>
      </c>
      <c r="B29" s="36" t="s">
        <v>125</v>
      </c>
      <c r="C29" s="36" t="s">
        <v>199</v>
      </c>
      <c r="D29" s="36" t="s">
        <v>200</v>
      </c>
      <c r="E29" s="36" t="s">
        <v>16</v>
      </c>
      <c r="F29" s="37" t="s">
        <v>198</v>
      </c>
      <c r="G29" s="57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</row>
    <row r="30" ht="12.75" customHeight="1">
      <c r="A30" s="227"/>
      <c r="B30" s="227"/>
      <c r="C30" s="227"/>
      <c r="D30" s="227"/>
      <c r="E30" s="227"/>
      <c r="F30" s="228" t="s">
        <v>201</v>
      </c>
      <c r="G30" s="228" t="s">
        <v>202</v>
      </c>
      <c r="H30" s="2"/>
      <c r="I30" s="2"/>
      <c r="J30" s="2"/>
      <c r="K30" s="2"/>
      <c r="L30" s="226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</row>
    <row r="31" ht="12.75" customHeight="1">
      <c r="A31" s="229" t="s">
        <v>187</v>
      </c>
      <c r="B31" s="2" t="s">
        <v>203</v>
      </c>
      <c r="C31" s="26">
        <f>('Инвестиции'!C14+'Инвестиции'!C13+'Инвестиции'!C12+'Инвестиции'!C11+'Инвестиции'!C9+'Инвестиции'!C10)/(1+Panel!B26)</f>
        <v>2595104.269</v>
      </c>
      <c r="D31" s="19">
        <f>Panel!B22</f>
        <v>15</v>
      </c>
      <c r="E31" s="24">
        <f>1/D31</f>
        <v>0.06666666667</v>
      </c>
      <c r="F31" s="26">
        <f>C31*E31/12</f>
        <v>14417.24594</v>
      </c>
      <c r="G31" s="26">
        <f>F31*12</f>
        <v>173006.9512</v>
      </c>
      <c r="H31" s="2"/>
      <c r="I31" s="2"/>
      <c r="J31" s="2"/>
      <c r="K31" s="2"/>
      <c r="L31" s="226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</row>
    <row r="32" ht="12.75" customHeight="1">
      <c r="A32" s="230"/>
      <c r="B32" s="231" t="s">
        <v>56</v>
      </c>
      <c r="C32" s="232">
        <f>SUM(C31)</f>
        <v>2595104.269</v>
      </c>
      <c r="D32" s="232"/>
      <c r="E32" s="232"/>
      <c r="F32" s="232">
        <f t="shared" ref="F32:G32" si="8">SUM(F31)</f>
        <v>14417.24594</v>
      </c>
      <c r="G32" s="232">
        <f t="shared" si="8"/>
        <v>173006.9512</v>
      </c>
      <c r="H32" s="2"/>
      <c r="I32" s="2"/>
      <c r="J32" s="2"/>
      <c r="K32" s="2"/>
      <c r="L32" s="226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</row>
    <row r="33" ht="12.75" customHeight="1">
      <c r="A33" s="1"/>
      <c r="B33" s="1"/>
      <c r="C33" s="233"/>
      <c r="D33" s="23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1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</row>
    <row r="35" ht="12.75" customHeight="1">
      <c r="A35" s="1" t="s">
        <v>204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</row>
    <row r="36" ht="12.75" customHeight="1">
      <c r="A36" s="2"/>
      <c r="B36" s="2"/>
      <c r="C36" s="2"/>
      <c r="D36" s="2"/>
      <c r="E36" s="2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4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</row>
    <row r="37" ht="12.75" customHeight="1">
      <c r="A37" s="2"/>
      <c r="B37" s="2" t="s">
        <v>205</v>
      </c>
      <c r="C37" s="234">
        <f>2084728.53/12</f>
        <v>173727.3775</v>
      </c>
      <c r="D37" s="2" t="s">
        <v>206</v>
      </c>
      <c r="E37" s="235" t="s">
        <v>207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4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</row>
    <row r="38" ht="12.75" customHeight="1">
      <c r="A38" s="2"/>
      <c r="B38" s="2"/>
      <c r="C38" s="2"/>
      <c r="D38" s="2"/>
      <c r="E38" s="24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6"/>
      <c r="AR38" s="24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</row>
    <row r="39" ht="12.75" customHeight="1">
      <c r="A39" s="34" t="s">
        <v>42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</row>
    <row r="40" ht="12.75" customHeight="1">
      <c r="A40" s="223" t="s">
        <v>43</v>
      </c>
      <c r="B40" s="223" t="s">
        <v>58</v>
      </c>
      <c r="C40" s="59" t="s">
        <v>59</v>
      </c>
      <c r="D40" s="59" t="s">
        <v>60</v>
      </c>
      <c r="E40" s="59" t="s">
        <v>61</v>
      </c>
      <c r="F40" s="59" t="s">
        <v>62</v>
      </c>
      <c r="G40" s="59" t="s">
        <v>63</v>
      </c>
      <c r="H40" s="59" t="s">
        <v>64</v>
      </c>
      <c r="I40" s="59" t="s">
        <v>65</v>
      </c>
      <c r="J40" s="59" t="s">
        <v>66</v>
      </c>
      <c r="K40" s="59" t="s">
        <v>67</v>
      </c>
      <c r="L40" s="59" t="s">
        <v>68</v>
      </c>
      <c r="M40" s="59" t="s">
        <v>69</v>
      </c>
      <c r="N40" s="59" t="s">
        <v>70</v>
      </c>
      <c r="O40" s="162">
        <v>2026.0</v>
      </c>
      <c r="P40" s="162" t="s">
        <v>59</v>
      </c>
      <c r="Q40" s="162" t="s">
        <v>60</v>
      </c>
      <c r="R40" s="162" t="s">
        <v>61</v>
      </c>
      <c r="S40" s="162" t="s">
        <v>62</v>
      </c>
      <c r="T40" s="162" t="s">
        <v>63</v>
      </c>
      <c r="U40" s="162" t="s">
        <v>64</v>
      </c>
      <c r="V40" s="162" t="s">
        <v>65</v>
      </c>
      <c r="W40" s="162" t="s">
        <v>66</v>
      </c>
      <c r="X40" s="162" t="s">
        <v>67</v>
      </c>
      <c r="Y40" s="162" t="s">
        <v>68</v>
      </c>
      <c r="Z40" s="162" t="s">
        <v>69</v>
      </c>
      <c r="AA40" s="162" t="s">
        <v>70</v>
      </c>
      <c r="AB40" s="162">
        <v>2027.0</v>
      </c>
      <c r="AC40" s="162" t="s">
        <v>59</v>
      </c>
      <c r="AD40" s="162" t="s">
        <v>60</v>
      </c>
      <c r="AE40" s="162" t="s">
        <v>61</v>
      </c>
      <c r="AF40" s="162" t="s">
        <v>62</v>
      </c>
      <c r="AG40" s="162" t="s">
        <v>63</v>
      </c>
      <c r="AH40" s="162" t="s">
        <v>64</v>
      </c>
      <c r="AI40" s="162" t="s">
        <v>65</v>
      </c>
      <c r="AJ40" s="162" t="s">
        <v>66</v>
      </c>
      <c r="AK40" s="162" t="s">
        <v>67</v>
      </c>
      <c r="AL40" s="162" t="s">
        <v>68</v>
      </c>
      <c r="AM40" s="162" t="s">
        <v>69</v>
      </c>
      <c r="AN40" s="162" t="s">
        <v>70</v>
      </c>
      <c r="AO40" s="162">
        <v>2028.0</v>
      </c>
      <c r="AP40" s="162">
        <v>2029.0</v>
      </c>
      <c r="AQ40" s="162">
        <v>2030.0</v>
      </c>
      <c r="AR40" s="162">
        <v>2031.0</v>
      </c>
      <c r="AS40" s="162">
        <v>2032.0</v>
      </c>
      <c r="AT40" s="162">
        <v>2033.0</v>
      </c>
      <c r="AU40" s="162">
        <v>2034.0</v>
      </c>
      <c r="AV40" s="162">
        <v>2035.0</v>
      </c>
      <c r="AW40" s="162">
        <v>2036.0</v>
      </c>
      <c r="AX40" s="162">
        <v>2037.0</v>
      </c>
      <c r="AY40" s="162">
        <v>2038.0</v>
      </c>
      <c r="AZ40" s="162">
        <v>2039.0</v>
      </c>
      <c r="BA40" s="162">
        <v>2040.0</v>
      </c>
      <c r="BB40" s="162">
        <v>2041.0</v>
      </c>
      <c r="BC40" s="162">
        <v>2042.0</v>
      </c>
      <c r="BD40" s="224"/>
      <c r="BE40" s="224"/>
      <c r="BF40" s="224"/>
      <c r="BG40" s="224"/>
      <c r="BH40" s="224"/>
      <c r="BI40" s="224"/>
      <c r="BJ40" s="224"/>
      <c r="BK40" s="224"/>
      <c r="BL40" s="224"/>
      <c r="BM40" s="224"/>
      <c r="BN40" s="224"/>
      <c r="BO40" s="224"/>
      <c r="BP40" s="224"/>
      <c r="BQ40" s="224"/>
      <c r="BR40" s="224"/>
      <c r="BS40" s="224"/>
      <c r="BT40" s="224"/>
      <c r="BU40" s="224"/>
      <c r="BV40" s="224"/>
      <c r="BW40" s="224"/>
      <c r="BX40" s="224"/>
      <c r="BY40" s="224"/>
      <c r="BZ40" s="224"/>
      <c r="CA40" s="224"/>
      <c r="CB40" s="224"/>
      <c r="CC40" s="224"/>
      <c r="CD40" s="224"/>
      <c r="CE40" s="224"/>
      <c r="CF40" s="224"/>
      <c r="CG40" s="224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</row>
    <row r="41" ht="12.75" customHeight="1">
      <c r="A41" s="2">
        <v>1.0</v>
      </c>
      <c r="B41" s="2" t="s">
        <v>204</v>
      </c>
      <c r="C41" s="26">
        <f>C37*(1+Panel!$B$43)/1000</f>
        <v>194.0534807</v>
      </c>
      <c r="D41" s="26">
        <f t="shared" ref="D41:N41" si="9">C41</f>
        <v>194.0534807</v>
      </c>
      <c r="E41" s="26">
        <f t="shared" si="9"/>
        <v>194.0534807</v>
      </c>
      <c r="F41" s="26">
        <f t="shared" si="9"/>
        <v>194.0534807</v>
      </c>
      <c r="G41" s="26">
        <f t="shared" si="9"/>
        <v>194.0534807</v>
      </c>
      <c r="H41" s="26">
        <f t="shared" si="9"/>
        <v>194.0534807</v>
      </c>
      <c r="I41" s="26">
        <f t="shared" si="9"/>
        <v>194.0534807</v>
      </c>
      <c r="J41" s="26">
        <f t="shared" si="9"/>
        <v>194.0534807</v>
      </c>
      <c r="K41" s="26">
        <f t="shared" si="9"/>
        <v>194.0534807</v>
      </c>
      <c r="L41" s="26">
        <f t="shared" si="9"/>
        <v>194.0534807</v>
      </c>
      <c r="M41" s="26">
        <f t="shared" si="9"/>
        <v>194.0534807</v>
      </c>
      <c r="N41" s="26">
        <f t="shared" si="9"/>
        <v>194.0534807</v>
      </c>
      <c r="O41" s="26">
        <f>SUM(C41:N41)</f>
        <v>2328.641768</v>
      </c>
      <c r="P41" s="26">
        <f>N41*(1+Panel!$B$43)</f>
        <v>216.7577379</v>
      </c>
      <c r="Q41" s="26">
        <f t="shared" ref="Q41:AA41" si="10">P41</f>
        <v>216.7577379</v>
      </c>
      <c r="R41" s="26">
        <f t="shared" si="10"/>
        <v>216.7577379</v>
      </c>
      <c r="S41" s="26">
        <f t="shared" si="10"/>
        <v>216.7577379</v>
      </c>
      <c r="T41" s="26">
        <f t="shared" si="10"/>
        <v>216.7577379</v>
      </c>
      <c r="U41" s="26">
        <f t="shared" si="10"/>
        <v>216.7577379</v>
      </c>
      <c r="V41" s="26">
        <f t="shared" si="10"/>
        <v>216.7577379</v>
      </c>
      <c r="W41" s="26">
        <f t="shared" si="10"/>
        <v>216.7577379</v>
      </c>
      <c r="X41" s="26">
        <f t="shared" si="10"/>
        <v>216.7577379</v>
      </c>
      <c r="Y41" s="26">
        <f t="shared" si="10"/>
        <v>216.7577379</v>
      </c>
      <c r="Z41" s="26">
        <f t="shared" si="10"/>
        <v>216.7577379</v>
      </c>
      <c r="AA41" s="26">
        <f t="shared" si="10"/>
        <v>216.7577379</v>
      </c>
      <c r="AB41" s="26">
        <f>SUM(P41:AA41)</f>
        <v>2601.092855</v>
      </c>
      <c r="AC41" s="26">
        <f>AA41*(1+Panel!$B$43)</f>
        <v>242.1183932</v>
      </c>
      <c r="AD41" s="26">
        <f t="shared" ref="AD41:AN41" si="11">AC41</f>
        <v>242.1183932</v>
      </c>
      <c r="AE41" s="26">
        <f t="shared" si="11"/>
        <v>242.1183932</v>
      </c>
      <c r="AF41" s="26">
        <f t="shared" si="11"/>
        <v>242.1183932</v>
      </c>
      <c r="AG41" s="26">
        <f t="shared" si="11"/>
        <v>242.1183932</v>
      </c>
      <c r="AH41" s="26">
        <f t="shared" si="11"/>
        <v>242.1183932</v>
      </c>
      <c r="AI41" s="26">
        <f t="shared" si="11"/>
        <v>242.1183932</v>
      </c>
      <c r="AJ41" s="26">
        <f t="shared" si="11"/>
        <v>242.1183932</v>
      </c>
      <c r="AK41" s="26">
        <f t="shared" si="11"/>
        <v>242.1183932</v>
      </c>
      <c r="AL41" s="26">
        <f t="shared" si="11"/>
        <v>242.1183932</v>
      </c>
      <c r="AM41" s="26">
        <f t="shared" si="11"/>
        <v>242.1183932</v>
      </c>
      <c r="AN41" s="26">
        <f t="shared" si="11"/>
        <v>242.1183932</v>
      </c>
      <c r="AO41" s="26">
        <f>SUM(AC41:AN41)</f>
        <v>2905.420719</v>
      </c>
      <c r="AP41" s="26">
        <f>AO41*(1+Panel!$B$43)</f>
        <v>3245.354943</v>
      </c>
      <c r="AQ41" s="26">
        <f>AP41*(1+Panel!$B$43)</f>
        <v>3625.061471</v>
      </c>
      <c r="AR41" s="26">
        <f>AQ41*(1+Panel!$B$43)</f>
        <v>4049.193663</v>
      </c>
      <c r="AS41" s="26">
        <f>AR41*(1+Panel!$B$43)</f>
        <v>4522.949322</v>
      </c>
      <c r="AT41" s="26">
        <f>AS41*(1+Panel!$B$43)</f>
        <v>5052.134393</v>
      </c>
      <c r="AU41" s="26">
        <f>AT41*(1+Panel!$B$43)</f>
        <v>5643.234117</v>
      </c>
      <c r="AV41" s="26">
        <f>AU41*(1+Panel!$B$43)</f>
        <v>6303.492508</v>
      </c>
      <c r="AW41" s="26">
        <f>AV41*(1+Panel!$B$43)</f>
        <v>7041.001132</v>
      </c>
      <c r="AX41" s="26">
        <f>AW41*(1+Panel!$B$43)</f>
        <v>7864.798264</v>
      </c>
      <c r="AY41" s="26">
        <f>AX41*(1+Panel!$B$43)</f>
        <v>8784.979661</v>
      </c>
      <c r="AZ41" s="26">
        <f>AY41*(1+Panel!$B$43)</f>
        <v>9812.822282</v>
      </c>
      <c r="BA41" s="26">
        <f>AZ41*(1+Panel!$B$43)</f>
        <v>10960.92249</v>
      </c>
      <c r="BB41" s="26">
        <f>BA41*(1+Panel!$B$43)</f>
        <v>12243.35042</v>
      </c>
      <c r="BC41" s="26">
        <f>BB41*(1+Panel!$B$43)</f>
        <v>13675.82242</v>
      </c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</row>
    <row r="42" ht="12.75" customHeight="1">
      <c r="A42" s="48"/>
      <c r="B42" s="48" t="s">
        <v>56</v>
      </c>
      <c r="C42" s="236">
        <f t="shared" ref="C42:BC42" si="12">SUM(C41)</f>
        <v>194.0534807</v>
      </c>
      <c r="D42" s="236">
        <f t="shared" si="12"/>
        <v>194.0534807</v>
      </c>
      <c r="E42" s="236">
        <f t="shared" si="12"/>
        <v>194.0534807</v>
      </c>
      <c r="F42" s="236">
        <f t="shared" si="12"/>
        <v>194.0534807</v>
      </c>
      <c r="G42" s="236">
        <f t="shared" si="12"/>
        <v>194.0534807</v>
      </c>
      <c r="H42" s="236">
        <f t="shared" si="12"/>
        <v>194.0534807</v>
      </c>
      <c r="I42" s="236">
        <f t="shared" si="12"/>
        <v>194.0534807</v>
      </c>
      <c r="J42" s="236">
        <f t="shared" si="12"/>
        <v>194.0534807</v>
      </c>
      <c r="K42" s="236">
        <f t="shared" si="12"/>
        <v>194.0534807</v>
      </c>
      <c r="L42" s="236">
        <f t="shared" si="12"/>
        <v>194.0534807</v>
      </c>
      <c r="M42" s="236">
        <f t="shared" si="12"/>
        <v>194.0534807</v>
      </c>
      <c r="N42" s="236">
        <f t="shared" si="12"/>
        <v>194.0534807</v>
      </c>
      <c r="O42" s="236">
        <f t="shared" si="12"/>
        <v>2328.641768</v>
      </c>
      <c r="P42" s="236">
        <f t="shared" si="12"/>
        <v>216.7577379</v>
      </c>
      <c r="Q42" s="236">
        <f t="shared" si="12"/>
        <v>216.7577379</v>
      </c>
      <c r="R42" s="236">
        <f t="shared" si="12"/>
        <v>216.7577379</v>
      </c>
      <c r="S42" s="236">
        <f t="shared" si="12"/>
        <v>216.7577379</v>
      </c>
      <c r="T42" s="236">
        <f t="shared" si="12"/>
        <v>216.7577379</v>
      </c>
      <c r="U42" s="236">
        <f t="shared" si="12"/>
        <v>216.7577379</v>
      </c>
      <c r="V42" s="236">
        <f t="shared" si="12"/>
        <v>216.7577379</v>
      </c>
      <c r="W42" s="236">
        <f t="shared" si="12"/>
        <v>216.7577379</v>
      </c>
      <c r="X42" s="236">
        <f t="shared" si="12"/>
        <v>216.7577379</v>
      </c>
      <c r="Y42" s="236">
        <f t="shared" si="12"/>
        <v>216.7577379</v>
      </c>
      <c r="Z42" s="236">
        <f t="shared" si="12"/>
        <v>216.7577379</v>
      </c>
      <c r="AA42" s="236">
        <f t="shared" si="12"/>
        <v>216.7577379</v>
      </c>
      <c r="AB42" s="236">
        <f t="shared" si="12"/>
        <v>2601.092855</v>
      </c>
      <c r="AC42" s="236">
        <f t="shared" si="12"/>
        <v>242.1183932</v>
      </c>
      <c r="AD42" s="236">
        <f t="shared" si="12"/>
        <v>242.1183932</v>
      </c>
      <c r="AE42" s="236">
        <f t="shared" si="12"/>
        <v>242.1183932</v>
      </c>
      <c r="AF42" s="236">
        <f t="shared" si="12"/>
        <v>242.1183932</v>
      </c>
      <c r="AG42" s="236">
        <f t="shared" si="12"/>
        <v>242.1183932</v>
      </c>
      <c r="AH42" s="236">
        <f t="shared" si="12"/>
        <v>242.1183932</v>
      </c>
      <c r="AI42" s="236">
        <f t="shared" si="12"/>
        <v>242.1183932</v>
      </c>
      <c r="AJ42" s="236">
        <f t="shared" si="12"/>
        <v>242.1183932</v>
      </c>
      <c r="AK42" s="236">
        <f t="shared" si="12"/>
        <v>242.1183932</v>
      </c>
      <c r="AL42" s="236">
        <f t="shared" si="12"/>
        <v>242.1183932</v>
      </c>
      <c r="AM42" s="236">
        <f t="shared" si="12"/>
        <v>242.1183932</v>
      </c>
      <c r="AN42" s="236">
        <f t="shared" si="12"/>
        <v>242.1183932</v>
      </c>
      <c r="AO42" s="236">
        <f t="shared" si="12"/>
        <v>2905.420719</v>
      </c>
      <c r="AP42" s="236">
        <f t="shared" si="12"/>
        <v>3245.354943</v>
      </c>
      <c r="AQ42" s="236">
        <f t="shared" si="12"/>
        <v>3625.061471</v>
      </c>
      <c r="AR42" s="236">
        <f t="shared" si="12"/>
        <v>4049.193663</v>
      </c>
      <c r="AS42" s="236">
        <f t="shared" si="12"/>
        <v>4522.949322</v>
      </c>
      <c r="AT42" s="236">
        <f t="shared" si="12"/>
        <v>5052.134393</v>
      </c>
      <c r="AU42" s="236">
        <f t="shared" si="12"/>
        <v>5643.234117</v>
      </c>
      <c r="AV42" s="236">
        <f t="shared" si="12"/>
        <v>6303.492508</v>
      </c>
      <c r="AW42" s="236">
        <f t="shared" si="12"/>
        <v>7041.001132</v>
      </c>
      <c r="AX42" s="236">
        <f t="shared" si="12"/>
        <v>7864.798264</v>
      </c>
      <c r="AY42" s="236">
        <f t="shared" si="12"/>
        <v>8784.979661</v>
      </c>
      <c r="AZ42" s="236">
        <f t="shared" si="12"/>
        <v>9812.822282</v>
      </c>
      <c r="BA42" s="236">
        <f t="shared" si="12"/>
        <v>10960.92249</v>
      </c>
      <c r="BB42" s="236">
        <f t="shared" si="12"/>
        <v>12243.35042</v>
      </c>
      <c r="BC42" s="236">
        <f t="shared" si="12"/>
        <v>13675.82242</v>
      </c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</row>
    <row r="45" ht="12.75" customHeight="1">
      <c r="A45" s="1" t="s">
        <v>208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</row>
    <row r="46" ht="12.75" customHeight="1">
      <c r="A46" s="2"/>
      <c r="B46" s="2"/>
      <c r="C46" s="2"/>
      <c r="D46" s="2"/>
      <c r="E46" s="2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4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</row>
    <row r="47" ht="12.75" customHeight="1">
      <c r="A47" s="2"/>
      <c r="B47" s="2" t="s">
        <v>205</v>
      </c>
      <c r="C47" s="234">
        <f>952690.45/12</f>
        <v>79390.87083</v>
      </c>
      <c r="D47" s="2" t="s">
        <v>206</v>
      </c>
      <c r="E47" s="235" t="s">
        <v>207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4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</row>
    <row r="48" ht="12.75" customHeight="1">
      <c r="A48" s="2"/>
      <c r="B48" s="2"/>
      <c r="C48" s="2"/>
      <c r="D48" s="2"/>
      <c r="E48" s="2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4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</row>
    <row r="49" ht="12.75" customHeight="1">
      <c r="A49" s="34" t="s">
        <v>42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</row>
    <row r="50" ht="12.75" customHeight="1">
      <c r="A50" s="223" t="s">
        <v>43</v>
      </c>
      <c r="B50" s="223" t="s">
        <v>58</v>
      </c>
      <c r="C50" s="59" t="s">
        <v>59</v>
      </c>
      <c r="D50" s="59" t="s">
        <v>60</v>
      </c>
      <c r="E50" s="59" t="s">
        <v>61</v>
      </c>
      <c r="F50" s="59" t="s">
        <v>62</v>
      </c>
      <c r="G50" s="59" t="s">
        <v>63</v>
      </c>
      <c r="H50" s="59" t="s">
        <v>64</v>
      </c>
      <c r="I50" s="59" t="s">
        <v>65</v>
      </c>
      <c r="J50" s="59" t="s">
        <v>66</v>
      </c>
      <c r="K50" s="59" t="s">
        <v>67</v>
      </c>
      <c r="L50" s="59" t="s">
        <v>68</v>
      </c>
      <c r="M50" s="59" t="s">
        <v>69</v>
      </c>
      <c r="N50" s="59" t="s">
        <v>70</v>
      </c>
      <c r="O50" s="162">
        <v>2026.0</v>
      </c>
      <c r="P50" s="162" t="s">
        <v>59</v>
      </c>
      <c r="Q50" s="162" t="s">
        <v>60</v>
      </c>
      <c r="R50" s="162" t="s">
        <v>61</v>
      </c>
      <c r="S50" s="162" t="s">
        <v>62</v>
      </c>
      <c r="T50" s="162" t="s">
        <v>63</v>
      </c>
      <c r="U50" s="162" t="s">
        <v>64</v>
      </c>
      <c r="V50" s="162" t="s">
        <v>65</v>
      </c>
      <c r="W50" s="162" t="s">
        <v>66</v>
      </c>
      <c r="X50" s="162" t="s">
        <v>67</v>
      </c>
      <c r="Y50" s="162" t="s">
        <v>68</v>
      </c>
      <c r="Z50" s="162" t="s">
        <v>69</v>
      </c>
      <c r="AA50" s="162" t="s">
        <v>70</v>
      </c>
      <c r="AB50" s="162">
        <v>2027.0</v>
      </c>
      <c r="AC50" s="162" t="s">
        <v>59</v>
      </c>
      <c r="AD50" s="162" t="s">
        <v>60</v>
      </c>
      <c r="AE50" s="162" t="s">
        <v>61</v>
      </c>
      <c r="AF50" s="162" t="s">
        <v>62</v>
      </c>
      <c r="AG50" s="162" t="s">
        <v>63</v>
      </c>
      <c r="AH50" s="162" t="s">
        <v>64</v>
      </c>
      <c r="AI50" s="162" t="s">
        <v>65</v>
      </c>
      <c r="AJ50" s="162" t="s">
        <v>66</v>
      </c>
      <c r="AK50" s="162" t="s">
        <v>67</v>
      </c>
      <c r="AL50" s="162" t="s">
        <v>68</v>
      </c>
      <c r="AM50" s="162" t="s">
        <v>69</v>
      </c>
      <c r="AN50" s="162" t="s">
        <v>70</v>
      </c>
      <c r="AO50" s="162">
        <v>2028.0</v>
      </c>
      <c r="AP50" s="162">
        <v>2029.0</v>
      </c>
      <c r="AQ50" s="162">
        <v>2030.0</v>
      </c>
      <c r="AR50" s="162">
        <v>2031.0</v>
      </c>
      <c r="AS50" s="162">
        <v>2032.0</v>
      </c>
      <c r="AT50" s="162">
        <v>2033.0</v>
      </c>
      <c r="AU50" s="162">
        <v>2034.0</v>
      </c>
      <c r="AV50" s="162">
        <v>2035.0</v>
      </c>
      <c r="AW50" s="162">
        <v>2036.0</v>
      </c>
      <c r="AX50" s="162">
        <v>2037.0</v>
      </c>
      <c r="AY50" s="162">
        <v>2038.0</v>
      </c>
      <c r="AZ50" s="162">
        <v>2039.0</v>
      </c>
      <c r="BA50" s="162">
        <v>2040.0</v>
      </c>
      <c r="BB50" s="162">
        <v>2041.0</v>
      </c>
      <c r="BC50" s="162">
        <v>2042.0</v>
      </c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</row>
    <row r="51" ht="12.75" customHeight="1">
      <c r="A51" s="2">
        <v>1.0</v>
      </c>
      <c r="B51" s="2" t="s">
        <v>208</v>
      </c>
      <c r="C51" s="26">
        <f>C47*(1+Panel!$B$43)*(1+Panel!$B$43)/1000</f>
        <v>99.05511624</v>
      </c>
      <c r="D51" s="26">
        <f t="shared" ref="D51:N51" si="13">C51</f>
        <v>99.05511624</v>
      </c>
      <c r="E51" s="26">
        <f t="shared" si="13"/>
        <v>99.05511624</v>
      </c>
      <c r="F51" s="26">
        <f t="shared" si="13"/>
        <v>99.05511624</v>
      </c>
      <c r="G51" s="26">
        <f t="shared" si="13"/>
        <v>99.05511624</v>
      </c>
      <c r="H51" s="26">
        <f t="shared" si="13"/>
        <v>99.05511624</v>
      </c>
      <c r="I51" s="26">
        <f t="shared" si="13"/>
        <v>99.05511624</v>
      </c>
      <c r="J51" s="26">
        <f t="shared" si="13"/>
        <v>99.05511624</v>
      </c>
      <c r="K51" s="26">
        <f t="shared" si="13"/>
        <v>99.05511624</v>
      </c>
      <c r="L51" s="26">
        <f t="shared" si="13"/>
        <v>99.05511624</v>
      </c>
      <c r="M51" s="26">
        <f t="shared" si="13"/>
        <v>99.05511624</v>
      </c>
      <c r="N51" s="26">
        <f t="shared" si="13"/>
        <v>99.05511624</v>
      </c>
      <c r="O51" s="26">
        <f>SUM(C51:N51)</f>
        <v>1188.661395</v>
      </c>
      <c r="P51" s="26">
        <f>N51*(1+Panel!$B$43)</f>
        <v>110.6445648</v>
      </c>
      <c r="Q51" s="26">
        <f t="shared" ref="Q51:AA51" si="14">P51</f>
        <v>110.6445648</v>
      </c>
      <c r="R51" s="26">
        <f t="shared" si="14"/>
        <v>110.6445648</v>
      </c>
      <c r="S51" s="26">
        <f t="shared" si="14"/>
        <v>110.6445648</v>
      </c>
      <c r="T51" s="26">
        <f t="shared" si="14"/>
        <v>110.6445648</v>
      </c>
      <c r="U51" s="26">
        <f t="shared" si="14"/>
        <v>110.6445648</v>
      </c>
      <c r="V51" s="26">
        <f t="shared" si="14"/>
        <v>110.6445648</v>
      </c>
      <c r="W51" s="26">
        <f t="shared" si="14"/>
        <v>110.6445648</v>
      </c>
      <c r="X51" s="26">
        <f t="shared" si="14"/>
        <v>110.6445648</v>
      </c>
      <c r="Y51" s="26">
        <f t="shared" si="14"/>
        <v>110.6445648</v>
      </c>
      <c r="Z51" s="26">
        <f t="shared" si="14"/>
        <v>110.6445648</v>
      </c>
      <c r="AA51" s="26">
        <f t="shared" si="14"/>
        <v>110.6445648</v>
      </c>
      <c r="AB51" s="26">
        <f>SUM(P51:AA51)</f>
        <v>1327.734778</v>
      </c>
      <c r="AC51" s="26">
        <f>AA51*(1+Panel!$B$43)</f>
        <v>123.5899789</v>
      </c>
      <c r="AD51" s="26">
        <f t="shared" ref="AD51:AN51" si="15">AC51</f>
        <v>123.5899789</v>
      </c>
      <c r="AE51" s="26">
        <f t="shared" si="15"/>
        <v>123.5899789</v>
      </c>
      <c r="AF51" s="26">
        <f t="shared" si="15"/>
        <v>123.5899789</v>
      </c>
      <c r="AG51" s="26">
        <f t="shared" si="15"/>
        <v>123.5899789</v>
      </c>
      <c r="AH51" s="26">
        <f t="shared" si="15"/>
        <v>123.5899789</v>
      </c>
      <c r="AI51" s="26">
        <f t="shared" si="15"/>
        <v>123.5899789</v>
      </c>
      <c r="AJ51" s="26">
        <f t="shared" si="15"/>
        <v>123.5899789</v>
      </c>
      <c r="AK51" s="26">
        <f t="shared" si="15"/>
        <v>123.5899789</v>
      </c>
      <c r="AL51" s="26">
        <f t="shared" si="15"/>
        <v>123.5899789</v>
      </c>
      <c r="AM51" s="26">
        <f t="shared" si="15"/>
        <v>123.5899789</v>
      </c>
      <c r="AN51" s="26">
        <f t="shared" si="15"/>
        <v>123.5899789</v>
      </c>
      <c r="AO51" s="26">
        <f>SUM(AC51:AN51)</f>
        <v>1483.079747</v>
      </c>
      <c r="AP51" s="26">
        <f>AO51*(1+Panel!$B$43)</f>
        <v>1656.600078</v>
      </c>
      <c r="AQ51" s="26">
        <f>AP51*(1+Panel!$B$43)</f>
        <v>1850.422287</v>
      </c>
      <c r="AR51" s="26">
        <f>AQ51*(1+Panel!$B$43)</f>
        <v>2066.921694</v>
      </c>
      <c r="AS51" s="26">
        <f>AR51*(1+Panel!$B$43)</f>
        <v>2308.751532</v>
      </c>
      <c r="AT51" s="26">
        <f>AS51*(1+Panel!$B$43)</f>
        <v>2578.875462</v>
      </c>
      <c r="AU51" s="26">
        <f>AT51*(1+Panel!$B$43)</f>
        <v>2880.603891</v>
      </c>
      <c r="AV51" s="26">
        <f>AU51*(1+Panel!$B$43)</f>
        <v>3217.634546</v>
      </c>
      <c r="AW51" s="26">
        <f>AV51*(1+Panel!$B$43)</f>
        <v>3594.097788</v>
      </c>
      <c r="AX51" s="26">
        <f>AW51*(1+Panel!$B$43)</f>
        <v>4014.607229</v>
      </c>
      <c r="AY51" s="26">
        <f>AX51*(1+Panel!$B$43)</f>
        <v>4484.316275</v>
      </c>
      <c r="AZ51" s="26">
        <f>AY51*(1+Panel!$B$43)</f>
        <v>5008.981279</v>
      </c>
      <c r="BA51" s="26">
        <f>AZ51*(1+Panel!$B$43)</f>
        <v>5595.032088</v>
      </c>
      <c r="BB51" s="26">
        <f>BA51*(1+Panel!$B$43)</f>
        <v>6249.650843</v>
      </c>
      <c r="BC51" s="26">
        <f>BB51*(1+Panel!$B$43)</f>
        <v>6980.859991</v>
      </c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</row>
    <row r="52" ht="12.75" customHeight="1">
      <c r="A52" s="48"/>
      <c r="B52" s="48" t="s">
        <v>56</v>
      </c>
      <c r="C52" s="236">
        <f t="shared" ref="C52:BC52" si="16">SUM(C51)</f>
        <v>99.05511624</v>
      </c>
      <c r="D52" s="236">
        <f t="shared" si="16"/>
        <v>99.05511624</v>
      </c>
      <c r="E52" s="236">
        <f t="shared" si="16"/>
        <v>99.05511624</v>
      </c>
      <c r="F52" s="236">
        <f t="shared" si="16"/>
        <v>99.05511624</v>
      </c>
      <c r="G52" s="236">
        <f t="shared" si="16"/>
        <v>99.05511624</v>
      </c>
      <c r="H52" s="236">
        <f t="shared" si="16"/>
        <v>99.05511624</v>
      </c>
      <c r="I52" s="236">
        <f t="shared" si="16"/>
        <v>99.05511624</v>
      </c>
      <c r="J52" s="236">
        <f t="shared" si="16"/>
        <v>99.05511624</v>
      </c>
      <c r="K52" s="236">
        <f t="shared" si="16"/>
        <v>99.05511624</v>
      </c>
      <c r="L52" s="236">
        <f t="shared" si="16"/>
        <v>99.05511624</v>
      </c>
      <c r="M52" s="236">
        <f t="shared" si="16"/>
        <v>99.05511624</v>
      </c>
      <c r="N52" s="236">
        <f t="shared" si="16"/>
        <v>99.05511624</v>
      </c>
      <c r="O52" s="236">
        <f t="shared" si="16"/>
        <v>1188.661395</v>
      </c>
      <c r="P52" s="236">
        <f t="shared" si="16"/>
        <v>110.6445648</v>
      </c>
      <c r="Q52" s="236">
        <f t="shared" si="16"/>
        <v>110.6445648</v>
      </c>
      <c r="R52" s="236">
        <f t="shared" si="16"/>
        <v>110.6445648</v>
      </c>
      <c r="S52" s="236">
        <f t="shared" si="16"/>
        <v>110.6445648</v>
      </c>
      <c r="T52" s="236">
        <f t="shared" si="16"/>
        <v>110.6445648</v>
      </c>
      <c r="U52" s="236">
        <f t="shared" si="16"/>
        <v>110.6445648</v>
      </c>
      <c r="V52" s="236">
        <f t="shared" si="16"/>
        <v>110.6445648</v>
      </c>
      <c r="W52" s="236">
        <f t="shared" si="16"/>
        <v>110.6445648</v>
      </c>
      <c r="X52" s="236">
        <f t="shared" si="16"/>
        <v>110.6445648</v>
      </c>
      <c r="Y52" s="236">
        <f t="shared" si="16"/>
        <v>110.6445648</v>
      </c>
      <c r="Z52" s="236">
        <f t="shared" si="16"/>
        <v>110.6445648</v>
      </c>
      <c r="AA52" s="236">
        <f t="shared" si="16"/>
        <v>110.6445648</v>
      </c>
      <c r="AB52" s="236">
        <f t="shared" si="16"/>
        <v>1327.734778</v>
      </c>
      <c r="AC52" s="236">
        <f t="shared" si="16"/>
        <v>123.5899789</v>
      </c>
      <c r="AD52" s="236">
        <f t="shared" si="16"/>
        <v>123.5899789</v>
      </c>
      <c r="AE52" s="236">
        <f t="shared" si="16"/>
        <v>123.5899789</v>
      </c>
      <c r="AF52" s="236">
        <f t="shared" si="16"/>
        <v>123.5899789</v>
      </c>
      <c r="AG52" s="236">
        <f t="shared" si="16"/>
        <v>123.5899789</v>
      </c>
      <c r="AH52" s="236">
        <f t="shared" si="16"/>
        <v>123.5899789</v>
      </c>
      <c r="AI52" s="236">
        <f t="shared" si="16"/>
        <v>123.5899789</v>
      </c>
      <c r="AJ52" s="236">
        <f t="shared" si="16"/>
        <v>123.5899789</v>
      </c>
      <c r="AK52" s="236">
        <f t="shared" si="16"/>
        <v>123.5899789</v>
      </c>
      <c r="AL52" s="236">
        <f t="shared" si="16"/>
        <v>123.5899789</v>
      </c>
      <c r="AM52" s="236">
        <f t="shared" si="16"/>
        <v>123.5899789</v>
      </c>
      <c r="AN52" s="236">
        <f t="shared" si="16"/>
        <v>123.5899789</v>
      </c>
      <c r="AO52" s="236">
        <f t="shared" si="16"/>
        <v>1483.079747</v>
      </c>
      <c r="AP52" s="236">
        <f t="shared" si="16"/>
        <v>1656.600078</v>
      </c>
      <c r="AQ52" s="236">
        <f t="shared" si="16"/>
        <v>1850.422287</v>
      </c>
      <c r="AR52" s="236">
        <f t="shared" si="16"/>
        <v>2066.921694</v>
      </c>
      <c r="AS52" s="236">
        <f t="shared" si="16"/>
        <v>2308.751532</v>
      </c>
      <c r="AT52" s="236">
        <f t="shared" si="16"/>
        <v>2578.875462</v>
      </c>
      <c r="AU52" s="236">
        <f t="shared" si="16"/>
        <v>2880.603891</v>
      </c>
      <c r="AV52" s="236">
        <f t="shared" si="16"/>
        <v>3217.634546</v>
      </c>
      <c r="AW52" s="236">
        <f t="shared" si="16"/>
        <v>3594.097788</v>
      </c>
      <c r="AX52" s="236">
        <f t="shared" si="16"/>
        <v>4014.607229</v>
      </c>
      <c r="AY52" s="236">
        <f t="shared" si="16"/>
        <v>4484.316275</v>
      </c>
      <c r="AZ52" s="236">
        <f t="shared" si="16"/>
        <v>5008.981279</v>
      </c>
      <c r="BA52" s="236">
        <f t="shared" si="16"/>
        <v>5595.032088</v>
      </c>
      <c r="BB52" s="236">
        <f t="shared" si="16"/>
        <v>6249.650843</v>
      </c>
      <c r="BC52" s="236">
        <f t="shared" si="16"/>
        <v>6980.859991</v>
      </c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</row>
    <row r="55" ht="12.75" customHeight="1">
      <c r="A55" s="1" t="s">
        <v>209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2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2"/>
      <c r="CC55" s="2"/>
      <c r="CD55" s="237"/>
      <c r="CE55" s="237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2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2"/>
      <c r="CC56" s="238"/>
      <c r="CD56" s="237"/>
      <c r="CE56" s="237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</row>
    <row r="57" ht="12.75" customHeight="1">
      <c r="A57" s="34" t="s">
        <v>124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16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16"/>
      <c r="CC57" s="217"/>
      <c r="CD57" s="217"/>
      <c r="CE57" s="217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</row>
    <row r="58" ht="12.75" customHeight="1">
      <c r="A58" s="239"/>
      <c r="B58" s="239" t="s">
        <v>125</v>
      </c>
      <c r="C58" s="59" t="s">
        <v>59</v>
      </c>
      <c r="D58" s="59" t="s">
        <v>60</v>
      </c>
      <c r="E58" s="59" t="s">
        <v>61</v>
      </c>
      <c r="F58" s="59" t="s">
        <v>62</v>
      </c>
      <c r="G58" s="59" t="s">
        <v>63</v>
      </c>
      <c r="H58" s="59" t="s">
        <v>64</v>
      </c>
      <c r="I58" s="59" t="s">
        <v>65</v>
      </c>
      <c r="J58" s="59" t="s">
        <v>66</v>
      </c>
      <c r="K58" s="59" t="s">
        <v>67</v>
      </c>
      <c r="L58" s="59" t="s">
        <v>68</v>
      </c>
      <c r="M58" s="59" t="s">
        <v>69</v>
      </c>
      <c r="N58" s="59" t="s">
        <v>70</v>
      </c>
      <c r="O58" s="162">
        <v>2026.0</v>
      </c>
      <c r="P58" s="162" t="s">
        <v>59</v>
      </c>
      <c r="Q58" s="162" t="s">
        <v>60</v>
      </c>
      <c r="R58" s="162" t="s">
        <v>61</v>
      </c>
      <c r="S58" s="162" t="s">
        <v>62</v>
      </c>
      <c r="T58" s="162" t="s">
        <v>63</v>
      </c>
      <c r="U58" s="162" t="s">
        <v>64</v>
      </c>
      <c r="V58" s="162" t="s">
        <v>65</v>
      </c>
      <c r="W58" s="162" t="s">
        <v>66</v>
      </c>
      <c r="X58" s="162" t="s">
        <v>67</v>
      </c>
      <c r="Y58" s="162" t="s">
        <v>68</v>
      </c>
      <c r="Z58" s="162" t="s">
        <v>69</v>
      </c>
      <c r="AA58" s="162" t="s">
        <v>70</v>
      </c>
      <c r="AB58" s="162">
        <v>2027.0</v>
      </c>
      <c r="AC58" s="162" t="s">
        <v>59</v>
      </c>
      <c r="AD58" s="162" t="s">
        <v>60</v>
      </c>
      <c r="AE58" s="162" t="s">
        <v>61</v>
      </c>
      <c r="AF58" s="162" t="s">
        <v>62</v>
      </c>
      <c r="AG58" s="162" t="s">
        <v>63</v>
      </c>
      <c r="AH58" s="162" t="s">
        <v>64</v>
      </c>
      <c r="AI58" s="162" t="s">
        <v>65</v>
      </c>
      <c r="AJ58" s="162" t="s">
        <v>66</v>
      </c>
      <c r="AK58" s="162" t="s">
        <v>67</v>
      </c>
      <c r="AL58" s="162" t="s">
        <v>68</v>
      </c>
      <c r="AM58" s="162" t="s">
        <v>69</v>
      </c>
      <c r="AN58" s="162" t="s">
        <v>70</v>
      </c>
      <c r="AO58" s="162">
        <v>2028.0</v>
      </c>
      <c r="AP58" s="162">
        <v>2029.0</v>
      </c>
      <c r="AQ58" s="162">
        <v>2030.0</v>
      </c>
      <c r="AR58" s="162">
        <v>2031.0</v>
      </c>
      <c r="AS58" s="162">
        <v>2032.0</v>
      </c>
      <c r="AT58" s="162">
        <v>2033.0</v>
      </c>
      <c r="AU58" s="162">
        <v>2034.0</v>
      </c>
      <c r="AV58" s="162">
        <v>2035.0</v>
      </c>
      <c r="AW58" s="162">
        <v>2036.0</v>
      </c>
      <c r="AX58" s="162">
        <v>2037.0</v>
      </c>
      <c r="AY58" s="162">
        <v>2038.0</v>
      </c>
      <c r="AZ58" s="162">
        <v>2039.0</v>
      </c>
      <c r="BA58" s="162">
        <v>2040.0</v>
      </c>
      <c r="BB58" s="162">
        <v>2041.0</v>
      </c>
      <c r="BC58" s="162">
        <v>2042.0</v>
      </c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</row>
    <row r="59" ht="12.75" customHeight="1">
      <c r="A59" s="240" t="s">
        <v>187</v>
      </c>
      <c r="B59" s="219" t="s">
        <v>210</v>
      </c>
      <c r="C59" s="241">
        <f>O59/12</f>
        <v>1008.286568</v>
      </c>
      <c r="D59" s="241">
        <f t="shared" ref="D59:N59" si="17">C59</f>
        <v>1008.286568</v>
      </c>
      <c r="E59" s="241">
        <f t="shared" si="17"/>
        <v>1008.286568</v>
      </c>
      <c r="F59" s="241">
        <f t="shared" si="17"/>
        <v>1008.286568</v>
      </c>
      <c r="G59" s="241">
        <f t="shared" si="17"/>
        <v>1008.286568</v>
      </c>
      <c r="H59" s="241">
        <f t="shared" si="17"/>
        <v>1008.286568</v>
      </c>
      <c r="I59" s="241">
        <f t="shared" si="17"/>
        <v>1008.286568</v>
      </c>
      <c r="J59" s="241">
        <f t="shared" si="17"/>
        <v>1008.286568</v>
      </c>
      <c r="K59" s="241">
        <f t="shared" si="17"/>
        <v>1008.286568</v>
      </c>
      <c r="L59" s="241">
        <f t="shared" si="17"/>
        <v>1008.286568</v>
      </c>
      <c r="M59" s="241">
        <f t="shared" si="17"/>
        <v>1008.286568</v>
      </c>
      <c r="N59" s="241">
        <f t="shared" si="17"/>
        <v>1008.286568</v>
      </c>
      <c r="O59" s="241">
        <f>'Произв.затраты'!H134</f>
        <v>12099.43881</v>
      </c>
      <c r="P59" s="241">
        <f>AB59/12</f>
        <v>936.0115515</v>
      </c>
      <c r="Q59" s="241">
        <f t="shared" ref="Q59:AA59" si="18">P59</f>
        <v>936.0115515</v>
      </c>
      <c r="R59" s="241">
        <f t="shared" si="18"/>
        <v>936.0115515</v>
      </c>
      <c r="S59" s="241">
        <f t="shared" si="18"/>
        <v>936.0115515</v>
      </c>
      <c r="T59" s="241">
        <f t="shared" si="18"/>
        <v>936.0115515</v>
      </c>
      <c r="U59" s="241">
        <f t="shared" si="18"/>
        <v>936.0115515</v>
      </c>
      <c r="V59" s="241">
        <f t="shared" si="18"/>
        <v>936.0115515</v>
      </c>
      <c r="W59" s="241">
        <f t="shared" si="18"/>
        <v>936.0115515</v>
      </c>
      <c r="X59" s="241">
        <f t="shared" si="18"/>
        <v>936.0115515</v>
      </c>
      <c r="Y59" s="241">
        <f t="shared" si="18"/>
        <v>936.0115515</v>
      </c>
      <c r="Z59" s="241">
        <f t="shared" si="18"/>
        <v>936.0115515</v>
      </c>
      <c r="AA59" s="241">
        <f t="shared" si="18"/>
        <v>936.0115515</v>
      </c>
      <c r="AB59" s="241">
        <f>'Произв.затраты'!H146</f>
        <v>11232.13862</v>
      </c>
      <c r="AC59" s="241">
        <f>AO59/12</f>
        <v>863.7365354</v>
      </c>
      <c r="AD59" s="241">
        <f t="shared" ref="AD59:AN59" si="19">AC59</f>
        <v>863.7365354</v>
      </c>
      <c r="AE59" s="241">
        <f t="shared" si="19"/>
        <v>863.7365354</v>
      </c>
      <c r="AF59" s="241">
        <f t="shared" si="19"/>
        <v>863.7365354</v>
      </c>
      <c r="AG59" s="241">
        <f t="shared" si="19"/>
        <v>863.7365354</v>
      </c>
      <c r="AH59" s="241">
        <f t="shared" si="19"/>
        <v>863.7365354</v>
      </c>
      <c r="AI59" s="241">
        <f t="shared" si="19"/>
        <v>863.7365354</v>
      </c>
      <c r="AJ59" s="241">
        <f t="shared" si="19"/>
        <v>863.7365354</v>
      </c>
      <c r="AK59" s="241">
        <f t="shared" si="19"/>
        <v>863.7365354</v>
      </c>
      <c r="AL59" s="241">
        <f t="shared" si="19"/>
        <v>863.7365354</v>
      </c>
      <c r="AM59" s="241">
        <f t="shared" si="19"/>
        <v>863.7365354</v>
      </c>
      <c r="AN59" s="241">
        <f t="shared" si="19"/>
        <v>863.7365354</v>
      </c>
      <c r="AO59" s="241">
        <f>'Произв.затраты'!H158</f>
        <v>10364.83842</v>
      </c>
      <c r="AP59" s="241">
        <f>'Произв.затраты'!H170</f>
        <v>9497.538231</v>
      </c>
      <c r="AQ59" s="241">
        <f>'Произв.затраты'!H182</f>
        <v>8630.238038</v>
      </c>
      <c r="AR59" s="241">
        <f>'Произв.затраты'!H194</f>
        <v>7762.937845</v>
      </c>
      <c r="AS59" s="241">
        <f>'Произв.затраты'!H206</f>
        <v>6895.637651</v>
      </c>
      <c r="AT59" s="241">
        <f>'Произв.затраты'!H218</f>
        <v>6028.337458</v>
      </c>
      <c r="AU59" s="241">
        <f>'Произв.затраты'!H230</f>
        <v>5161.037265</v>
      </c>
      <c r="AV59" s="241">
        <f>'Произв.затраты'!H242</f>
        <v>4293.737072</v>
      </c>
      <c r="AW59" s="241">
        <f>'Произв.затраты'!H254</f>
        <v>3426.436878</v>
      </c>
      <c r="AX59" s="241">
        <f>'Произв.затраты'!H266</f>
        <v>2559.136685</v>
      </c>
      <c r="AY59" s="241">
        <f>'Произв.затраты'!H278</f>
        <v>1691.836492</v>
      </c>
      <c r="AZ59" s="241">
        <f>'Произв.затраты'!H290</f>
        <v>824.5362987</v>
      </c>
      <c r="BA59" s="241">
        <f>'Произв.затраты'!H302</f>
        <v>97.01476699</v>
      </c>
      <c r="BB59" s="241">
        <f>'Произв.затраты'!H314</f>
        <v>0</v>
      </c>
      <c r="BC59" s="241">
        <f>'Произв.затраты'!H326</f>
        <v>0</v>
      </c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</row>
    <row r="60" ht="12.75" customHeight="1">
      <c r="A60" s="220"/>
      <c r="B60" s="221" t="s">
        <v>56</v>
      </c>
      <c r="C60" s="242">
        <f t="shared" ref="C60:BC60" si="20">SUM(C59)</f>
        <v>1008.286568</v>
      </c>
      <c r="D60" s="242">
        <f t="shared" si="20"/>
        <v>1008.286568</v>
      </c>
      <c r="E60" s="242">
        <f t="shared" si="20"/>
        <v>1008.286568</v>
      </c>
      <c r="F60" s="242">
        <f t="shared" si="20"/>
        <v>1008.286568</v>
      </c>
      <c r="G60" s="242">
        <f t="shared" si="20"/>
        <v>1008.286568</v>
      </c>
      <c r="H60" s="242">
        <f t="shared" si="20"/>
        <v>1008.286568</v>
      </c>
      <c r="I60" s="242">
        <f t="shared" si="20"/>
        <v>1008.286568</v>
      </c>
      <c r="J60" s="242">
        <f t="shared" si="20"/>
        <v>1008.286568</v>
      </c>
      <c r="K60" s="242">
        <f t="shared" si="20"/>
        <v>1008.286568</v>
      </c>
      <c r="L60" s="242">
        <f t="shared" si="20"/>
        <v>1008.286568</v>
      </c>
      <c r="M60" s="242">
        <f t="shared" si="20"/>
        <v>1008.286568</v>
      </c>
      <c r="N60" s="242">
        <f t="shared" si="20"/>
        <v>1008.286568</v>
      </c>
      <c r="O60" s="242">
        <f t="shared" si="20"/>
        <v>12099.43881</v>
      </c>
      <c r="P60" s="242">
        <f t="shared" si="20"/>
        <v>936.0115515</v>
      </c>
      <c r="Q60" s="242">
        <f t="shared" si="20"/>
        <v>936.0115515</v>
      </c>
      <c r="R60" s="242">
        <f t="shared" si="20"/>
        <v>936.0115515</v>
      </c>
      <c r="S60" s="242">
        <f t="shared" si="20"/>
        <v>936.0115515</v>
      </c>
      <c r="T60" s="242">
        <f t="shared" si="20"/>
        <v>936.0115515</v>
      </c>
      <c r="U60" s="242">
        <f t="shared" si="20"/>
        <v>936.0115515</v>
      </c>
      <c r="V60" s="242">
        <f t="shared" si="20"/>
        <v>936.0115515</v>
      </c>
      <c r="W60" s="242">
        <f t="shared" si="20"/>
        <v>936.0115515</v>
      </c>
      <c r="X60" s="242">
        <f t="shared" si="20"/>
        <v>936.0115515</v>
      </c>
      <c r="Y60" s="242">
        <f t="shared" si="20"/>
        <v>936.0115515</v>
      </c>
      <c r="Z60" s="242">
        <f t="shared" si="20"/>
        <v>936.0115515</v>
      </c>
      <c r="AA60" s="242">
        <f t="shared" si="20"/>
        <v>936.0115515</v>
      </c>
      <c r="AB60" s="242">
        <f t="shared" si="20"/>
        <v>11232.13862</v>
      </c>
      <c r="AC60" s="242">
        <f t="shared" si="20"/>
        <v>863.7365354</v>
      </c>
      <c r="AD60" s="242">
        <f t="shared" si="20"/>
        <v>863.7365354</v>
      </c>
      <c r="AE60" s="242">
        <f t="shared" si="20"/>
        <v>863.7365354</v>
      </c>
      <c r="AF60" s="242">
        <f t="shared" si="20"/>
        <v>863.7365354</v>
      </c>
      <c r="AG60" s="242">
        <f t="shared" si="20"/>
        <v>863.7365354</v>
      </c>
      <c r="AH60" s="242">
        <f t="shared" si="20"/>
        <v>863.7365354</v>
      </c>
      <c r="AI60" s="242">
        <f t="shared" si="20"/>
        <v>863.7365354</v>
      </c>
      <c r="AJ60" s="242">
        <f t="shared" si="20"/>
        <v>863.7365354</v>
      </c>
      <c r="AK60" s="242">
        <f t="shared" si="20"/>
        <v>863.7365354</v>
      </c>
      <c r="AL60" s="242">
        <f t="shared" si="20"/>
        <v>863.7365354</v>
      </c>
      <c r="AM60" s="242">
        <f t="shared" si="20"/>
        <v>863.7365354</v>
      </c>
      <c r="AN60" s="242">
        <f t="shared" si="20"/>
        <v>863.7365354</v>
      </c>
      <c r="AO60" s="242">
        <f t="shared" si="20"/>
        <v>10364.83842</v>
      </c>
      <c r="AP60" s="242">
        <f t="shared" si="20"/>
        <v>9497.538231</v>
      </c>
      <c r="AQ60" s="242">
        <f t="shared" si="20"/>
        <v>8630.238038</v>
      </c>
      <c r="AR60" s="242">
        <f t="shared" si="20"/>
        <v>7762.937845</v>
      </c>
      <c r="AS60" s="242">
        <f t="shared" si="20"/>
        <v>6895.637651</v>
      </c>
      <c r="AT60" s="242">
        <f t="shared" si="20"/>
        <v>6028.337458</v>
      </c>
      <c r="AU60" s="242">
        <f t="shared" si="20"/>
        <v>5161.037265</v>
      </c>
      <c r="AV60" s="242">
        <f t="shared" si="20"/>
        <v>4293.737072</v>
      </c>
      <c r="AW60" s="242">
        <f t="shared" si="20"/>
        <v>3426.436878</v>
      </c>
      <c r="AX60" s="242">
        <f t="shared" si="20"/>
        <v>2559.136685</v>
      </c>
      <c r="AY60" s="242">
        <f t="shared" si="20"/>
        <v>1691.836492</v>
      </c>
      <c r="AZ60" s="242">
        <f t="shared" si="20"/>
        <v>824.5362987</v>
      </c>
      <c r="BA60" s="242">
        <f t="shared" si="20"/>
        <v>97.01476699</v>
      </c>
      <c r="BB60" s="242">
        <f t="shared" si="20"/>
        <v>0</v>
      </c>
      <c r="BC60" s="242">
        <f t="shared" si="20"/>
        <v>0</v>
      </c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</row>
    <row r="64" ht="12.75" customHeight="1">
      <c r="A64" s="1" t="s">
        <v>211</v>
      </c>
      <c r="B64" s="2"/>
      <c r="C64" s="2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2"/>
      <c r="AP64" s="2"/>
      <c r="AQ64" s="2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2"/>
      <c r="CC64" s="2"/>
      <c r="CD64" s="237"/>
      <c r="CE64" s="237"/>
      <c r="CF64" s="237"/>
      <c r="CG64" s="237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</row>
    <row r="65" ht="12.75" customHeight="1">
      <c r="A65" s="2"/>
      <c r="B65" s="2"/>
      <c r="C65" s="2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2"/>
      <c r="AP65" s="2"/>
      <c r="AQ65" s="2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2"/>
      <c r="CC65" s="238"/>
      <c r="CD65" s="237"/>
      <c r="CE65" s="237"/>
      <c r="CF65" s="237"/>
      <c r="CG65" s="237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</row>
    <row r="66" ht="12.75" customHeight="1">
      <c r="A66" s="2">
        <v>1.0</v>
      </c>
      <c r="B66" s="2" t="s">
        <v>212</v>
      </c>
      <c r="C66" s="243">
        <v>2069.9</v>
      </c>
      <c r="D66" s="2" t="s">
        <v>213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2"/>
      <c r="AP66" s="2"/>
      <c r="AQ66" s="2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2"/>
      <c r="CC66" s="238"/>
      <c r="CD66" s="237"/>
      <c r="CE66" s="237"/>
      <c r="CF66" s="237"/>
      <c r="CG66" s="237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</row>
    <row r="67" ht="12.75" customHeight="1">
      <c r="A67" s="2">
        <v>2.0</v>
      </c>
      <c r="B67" s="2" t="s">
        <v>214</v>
      </c>
      <c r="C67" s="244">
        <v>50.0</v>
      </c>
      <c r="D67" s="2" t="s">
        <v>215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2"/>
      <c r="AP67" s="2"/>
      <c r="AQ67" s="2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2"/>
      <c r="CC67" s="238"/>
      <c r="CD67" s="237"/>
      <c r="CE67" s="237"/>
      <c r="CF67" s="237"/>
      <c r="CG67" s="237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</row>
    <row r="68" ht="12.75" customHeight="1">
      <c r="A68" s="2"/>
      <c r="B68" s="2"/>
      <c r="C68" s="244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2"/>
      <c r="AP68" s="2"/>
      <c r="AQ68" s="2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2"/>
      <c r="CC68" s="238"/>
      <c r="CD68" s="237"/>
      <c r="CE68" s="237"/>
      <c r="CF68" s="237"/>
      <c r="CG68" s="237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</row>
    <row r="69" ht="12.75" customHeight="1">
      <c r="A69" s="34" t="s">
        <v>124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16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16"/>
      <c r="CC69" s="217"/>
      <c r="CD69" s="217"/>
      <c r="CE69" s="217"/>
      <c r="CF69" s="217"/>
      <c r="CG69" s="217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</row>
    <row r="70" ht="12.75" customHeight="1">
      <c r="A70" s="239" t="s">
        <v>43</v>
      </c>
      <c r="B70" s="239" t="s">
        <v>125</v>
      </c>
      <c r="C70" s="59" t="s">
        <v>59</v>
      </c>
      <c r="D70" s="59" t="s">
        <v>60</v>
      </c>
      <c r="E70" s="59" t="s">
        <v>61</v>
      </c>
      <c r="F70" s="59" t="s">
        <v>62</v>
      </c>
      <c r="G70" s="59" t="s">
        <v>63</v>
      </c>
      <c r="H70" s="59" t="s">
        <v>64</v>
      </c>
      <c r="I70" s="59" t="s">
        <v>65</v>
      </c>
      <c r="J70" s="59" t="s">
        <v>66</v>
      </c>
      <c r="K70" s="59" t="s">
        <v>67</v>
      </c>
      <c r="L70" s="59" t="s">
        <v>68</v>
      </c>
      <c r="M70" s="59" t="s">
        <v>69</v>
      </c>
      <c r="N70" s="59" t="s">
        <v>70</v>
      </c>
      <c r="O70" s="162">
        <v>2026.0</v>
      </c>
      <c r="P70" s="162" t="s">
        <v>59</v>
      </c>
      <c r="Q70" s="162" t="s">
        <v>60</v>
      </c>
      <c r="R70" s="162" t="s">
        <v>61</v>
      </c>
      <c r="S70" s="162" t="s">
        <v>62</v>
      </c>
      <c r="T70" s="162" t="s">
        <v>63</v>
      </c>
      <c r="U70" s="162" t="s">
        <v>64</v>
      </c>
      <c r="V70" s="162" t="s">
        <v>65</v>
      </c>
      <c r="W70" s="162" t="s">
        <v>66</v>
      </c>
      <c r="X70" s="162" t="s">
        <v>67</v>
      </c>
      <c r="Y70" s="162" t="s">
        <v>68</v>
      </c>
      <c r="Z70" s="162" t="s">
        <v>69</v>
      </c>
      <c r="AA70" s="162" t="s">
        <v>70</v>
      </c>
      <c r="AB70" s="162">
        <v>2027.0</v>
      </c>
      <c r="AC70" s="162" t="s">
        <v>59</v>
      </c>
      <c r="AD70" s="162" t="s">
        <v>60</v>
      </c>
      <c r="AE70" s="162" t="s">
        <v>61</v>
      </c>
      <c r="AF70" s="162" t="s">
        <v>62</v>
      </c>
      <c r="AG70" s="162" t="s">
        <v>63</v>
      </c>
      <c r="AH70" s="162" t="s">
        <v>64</v>
      </c>
      <c r="AI70" s="162" t="s">
        <v>65</v>
      </c>
      <c r="AJ70" s="162" t="s">
        <v>66</v>
      </c>
      <c r="AK70" s="162" t="s">
        <v>67</v>
      </c>
      <c r="AL70" s="162" t="s">
        <v>68</v>
      </c>
      <c r="AM70" s="162" t="s">
        <v>69</v>
      </c>
      <c r="AN70" s="162" t="s">
        <v>70</v>
      </c>
      <c r="AO70" s="162">
        <v>2028.0</v>
      </c>
      <c r="AP70" s="162">
        <v>2029.0</v>
      </c>
      <c r="AQ70" s="162">
        <v>2030.0</v>
      </c>
      <c r="AR70" s="162">
        <v>2031.0</v>
      </c>
      <c r="AS70" s="162">
        <v>2032.0</v>
      </c>
      <c r="AT70" s="162">
        <v>2033.0</v>
      </c>
      <c r="AU70" s="162">
        <v>2034.0</v>
      </c>
      <c r="AV70" s="162">
        <v>2035.0</v>
      </c>
      <c r="AW70" s="162">
        <v>2036.0</v>
      </c>
      <c r="AX70" s="162">
        <v>2037.0</v>
      </c>
      <c r="AY70" s="162">
        <v>2038.0</v>
      </c>
      <c r="AZ70" s="162">
        <v>2039.0</v>
      </c>
      <c r="BA70" s="162">
        <v>2040.0</v>
      </c>
      <c r="BB70" s="162">
        <v>2041.0</v>
      </c>
      <c r="BC70" s="162">
        <v>2042.0</v>
      </c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</row>
    <row r="71" ht="12.75" customHeight="1">
      <c r="A71" s="245" t="s">
        <v>187</v>
      </c>
      <c r="B71" s="246" t="s">
        <v>216</v>
      </c>
      <c r="C71" s="247">
        <f>C66*C67/1000/12</f>
        <v>8.624583333</v>
      </c>
      <c r="D71" s="247">
        <f t="shared" ref="D71:N71" si="21">C71</f>
        <v>8.624583333</v>
      </c>
      <c r="E71" s="247">
        <f t="shared" si="21"/>
        <v>8.624583333</v>
      </c>
      <c r="F71" s="247">
        <f t="shared" si="21"/>
        <v>8.624583333</v>
      </c>
      <c r="G71" s="247">
        <f t="shared" si="21"/>
        <v>8.624583333</v>
      </c>
      <c r="H71" s="247">
        <f t="shared" si="21"/>
        <v>8.624583333</v>
      </c>
      <c r="I71" s="247">
        <f t="shared" si="21"/>
        <v>8.624583333</v>
      </c>
      <c r="J71" s="247">
        <f t="shared" si="21"/>
        <v>8.624583333</v>
      </c>
      <c r="K71" s="247">
        <f t="shared" si="21"/>
        <v>8.624583333</v>
      </c>
      <c r="L71" s="247">
        <f t="shared" si="21"/>
        <v>8.624583333</v>
      </c>
      <c r="M71" s="247">
        <f t="shared" si="21"/>
        <v>8.624583333</v>
      </c>
      <c r="N71" s="247">
        <f t="shared" si="21"/>
        <v>8.624583333</v>
      </c>
      <c r="O71" s="247">
        <f>SUM(C71:N71)</f>
        <v>103.495</v>
      </c>
      <c r="P71" s="247">
        <f>N71</f>
        <v>8.624583333</v>
      </c>
      <c r="Q71" s="247">
        <f t="shared" ref="Q71:AA71" si="22">P71</f>
        <v>8.624583333</v>
      </c>
      <c r="R71" s="247">
        <f t="shared" si="22"/>
        <v>8.624583333</v>
      </c>
      <c r="S71" s="247">
        <f t="shared" si="22"/>
        <v>8.624583333</v>
      </c>
      <c r="T71" s="247">
        <f t="shared" si="22"/>
        <v>8.624583333</v>
      </c>
      <c r="U71" s="247">
        <f t="shared" si="22"/>
        <v>8.624583333</v>
      </c>
      <c r="V71" s="247">
        <f t="shared" si="22"/>
        <v>8.624583333</v>
      </c>
      <c r="W71" s="247">
        <f t="shared" si="22"/>
        <v>8.624583333</v>
      </c>
      <c r="X71" s="247">
        <f t="shared" si="22"/>
        <v>8.624583333</v>
      </c>
      <c r="Y71" s="247">
        <f t="shared" si="22"/>
        <v>8.624583333</v>
      </c>
      <c r="Z71" s="247">
        <f t="shared" si="22"/>
        <v>8.624583333</v>
      </c>
      <c r="AA71" s="247">
        <f t="shared" si="22"/>
        <v>8.624583333</v>
      </c>
      <c r="AB71" s="247">
        <f>SUM(P71:AA71)</f>
        <v>103.495</v>
      </c>
      <c r="AC71" s="247">
        <f>AA71</f>
        <v>8.624583333</v>
      </c>
      <c r="AD71" s="247">
        <f t="shared" ref="AD71:AN71" si="23">AC71</f>
        <v>8.624583333</v>
      </c>
      <c r="AE71" s="247">
        <f t="shared" si="23"/>
        <v>8.624583333</v>
      </c>
      <c r="AF71" s="247">
        <f t="shared" si="23"/>
        <v>8.624583333</v>
      </c>
      <c r="AG71" s="247">
        <f t="shared" si="23"/>
        <v>8.624583333</v>
      </c>
      <c r="AH71" s="247">
        <f t="shared" si="23"/>
        <v>8.624583333</v>
      </c>
      <c r="AI71" s="247">
        <f t="shared" si="23"/>
        <v>8.624583333</v>
      </c>
      <c r="AJ71" s="247">
        <f t="shared" si="23"/>
        <v>8.624583333</v>
      </c>
      <c r="AK71" s="247">
        <f t="shared" si="23"/>
        <v>8.624583333</v>
      </c>
      <c r="AL71" s="247">
        <f t="shared" si="23"/>
        <v>8.624583333</v>
      </c>
      <c r="AM71" s="247">
        <f t="shared" si="23"/>
        <v>8.624583333</v>
      </c>
      <c r="AN71" s="247">
        <f t="shared" si="23"/>
        <v>8.624583333</v>
      </c>
      <c r="AO71" s="247">
        <f>SUM(AC71:AN71)</f>
        <v>103.495</v>
      </c>
      <c r="AP71" s="247">
        <f t="shared" ref="AP71:BC71" si="24">AO71</f>
        <v>103.495</v>
      </c>
      <c r="AQ71" s="247">
        <f t="shared" si="24"/>
        <v>103.495</v>
      </c>
      <c r="AR71" s="247">
        <f t="shared" si="24"/>
        <v>103.495</v>
      </c>
      <c r="AS71" s="247">
        <f t="shared" si="24"/>
        <v>103.495</v>
      </c>
      <c r="AT71" s="247">
        <f t="shared" si="24"/>
        <v>103.495</v>
      </c>
      <c r="AU71" s="247">
        <f t="shared" si="24"/>
        <v>103.495</v>
      </c>
      <c r="AV71" s="247">
        <f t="shared" si="24"/>
        <v>103.495</v>
      </c>
      <c r="AW71" s="247">
        <f t="shared" si="24"/>
        <v>103.495</v>
      </c>
      <c r="AX71" s="247">
        <f t="shared" si="24"/>
        <v>103.495</v>
      </c>
      <c r="AY71" s="247">
        <f t="shared" si="24"/>
        <v>103.495</v>
      </c>
      <c r="AZ71" s="247">
        <f t="shared" si="24"/>
        <v>103.495</v>
      </c>
      <c r="BA71" s="247">
        <f t="shared" si="24"/>
        <v>103.495</v>
      </c>
      <c r="BB71" s="247">
        <f t="shared" si="24"/>
        <v>103.495</v>
      </c>
      <c r="BC71" s="247">
        <f t="shared" si="24"/>
        <v>103.495</v>
      </c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</row>
    <row r="72" ht="12.75" customHeight="1">
      <c r="A72" s="248"/>
      <c r="B72" s="249" t="s">
        <v>56</v>
      </c>
      <c r="C72" s="236">
        <f t="shared" ref="C72:BC72" si="25">SUM(C71)</f>
        <v>8.624583333</v>
      </c>
      <c r="D72" s="236">
        <f t="shared" si="25"/>
        <v>8.624583333</v>
      </c>
      <c r="E72" s="236">
        <f t="shared" si="25"/>
        <v>8.624583333</v>
      </c>
      <c r="F72" s="236">
        <f t="shared" si="25"/>
        <v>8.624583333</v>
      </c>
      <c r="G72" s="236">
        <f t="shared" si="25"/>
        <v>8.624583333</v>
      </c>
      <c r="H72" s="236">
        <f t="shared" si="25"/>
        <v>8.624583333</v>
      </c>
      <c r="I72" s="236">
        <f t="shared" si="25"/>
        <v>8.624583333</v>
      </c>
      <c r="J72" s="236">
        <f t="shared" si="25"/>
        <v>8.624583333</v>
      </c>
      <c r="K72" s="236">
        <f t="shared" si="25"/>
        <v>8.624583333</v>
      </c>
      <c r="L72" s="236">
        <f t="shared" si="25"/>
        <v>8.624583333</v>
      </c>
      <c r="M72" s="236">
        <f t="shared" si="25"/>
        <v>8.624583333</v>
      </c>
      <c r="N72" s="236">
        <f t="shared" si="25"/>
        <v>8.624583333</v>
      </c>
      <c r="O72" s="236">
        <f t="shared" si="25"/>
        <v>103.495</v>
      </c>
      <c r="P72" s="236">
        <f t="shared" si="25"/>
        <v>8.624583333</v>
      </c>
      <c r="Q72" s="236">
        <f t="shared" si="25"/>
        <v>8.624583333</v>
      </c>
      <c r="R72" s="236">
        <f t="shared" si="25"/>
        <v>8.624583333</v>
      </c>
      <c r="S72" s="236">
        <f t="shared" si="25"/>
        <v>8.624583333</v>
      </c>
      <c r="T72" s="236">
        <f t="shared" si="25"/>
        <v>8.624583333</v>
      </c>
      <c r="U72" s="236">
        <f t="shared" si="25"/>
        <v>8.624583333</v>
      </c>
      <c r="V72" s="236">
        <f t="shared" si="25"/>
        <v>8.624583333</v>
      </c>
      <c r="W72" s="236">
        <f t="shared" si="25"/>
        <v>8.624583333</v>
      </c>
      <c r="X72" s="236">
        <f t="shared" si="25"/>
        <v>8.624583333</v>
      </c>
      <c r="Y72" s="236">
        <f t="shared" si="25"/>
        <v>8.624583333</v>
      </c>
      <c r="Z72" s="236">
        <f t="shared" si="25"/>
        <v>8.624583333</v>
      </c>
      <c r="AA72" s="236">
        <f t="shared" si="25"/>
        <v>8.624583333</v>
      </c>
      <c r="AB72" s="236">
        <f t="shared" si="25"/>
        <v>103.495</v>
      </c>
      <c r="AC72" s="236">
        <f t="shared" si="25"/>
        <v>8.624583333</v>
      </c>
      <c r="AD72" s="236">
        <f t="shared" si="25"/>
        <v>8.624583333</v>
      </c>
      <c r="AE72" s="236">
        <f t="shared" si="25"/>
        <v>8.624583333</v>
      </c>
      <c r="AF72" s="236">
        <f t="shared" si="25"/>
        <v>8.624583333</v>
      </c>
      <c r="AG72" s="236">
        <f t="shared" si="25"/>
        <v>8.624583333</v>
      </c>
      <c r="AH72" s="236">
        <f t="shared" si="25"/>
        <v>8.624583333</v>
      </c>
      <c r="AI72" s="236">
        <f t="shared" si="25"/>
        <v>8.624583333</v>
      </c>
      <c r="AJ72" s="236">
        <f t="shared" si="25"/>
        <v>8.624583333</v>
      </c>
      <c r="AK72" s="236">
        <f t="shared" si="25"/>
        <v>8.624583333</v>
      </c>
      <c r="AL72" s="236">
        <f t="shared" si="25"/>
        <v>8.624583333</v>
      </c>
      <c r="AM72" s="236">
        <f t="shared" si="25"/>
        <v>8.624583333</v>
      </c>
      <c r="AN72" s="236">
        <f t="shared" si="25"/>
        <v>8.624583333</v>
      </c>
      <c r="AO72" s="236">
        <f t="shared" si="25"/>
        <v>103.495</v>
      </c>
      <c r="AP72" s="236">
        <f t="shared" si="25"/>
        <v>103.495</v>
      </c>
      <c r="AQ72" s="236">
        <f t="shared" si="25"/>
        <v>103.495</v>
      </c>
      <c r="AR72" s="236">
        <f t="shared" si="25"/>
        <v>103.495</v>
      </c>
      <c r="AS72" s="236">
        <f t="shared" si="25"/>
        <v>103.495</v>
      </c>
      <c r="AT72" s="236">
        <f t="shared" si="25"/>
        <v>103.495</v>
      </c>
      <c r="AU72" s="236">
        <f t="shared" si="25"/>
        <v>103.495</v>
      </c>
      <c r="AV72" s="236">
        <f t="shared" si="25"/>
        <v>103.495</v>
      </c>
      <c r="AW72" s="236">
        <f t="shared" si="25"/>
        <v>103.495</v>
      </c>
      <c r="AX72" s="236">
        <f t="shared" si="25"/>
        <v>103.495</v>
      </c>
      <c r="AY72" s="236">
        <f t="shared" si="25"/>
        <v>103.495</v>
      </c>
      <c r="AZ72" s="236">
        <f t="shared" si="25"/>
        <v>103.495</v>
      </c>
      <c r="BA72" s="236">
        <f t="shared" si="25"/>
        <v>103.495</v>
      </c>
      <c r="BB72" s="236">
        <f t="shared" si="25"/>
        <v>103.495</v>
      </c>
      <c r="BC72" s="236">
        <f t="shared" si="25"/>
        <v>103.495</v>
      </c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</row>
    <row r="75" ht="12.75" customHeight="1">
      <c r="A75" s="1" t="s">
        <v>217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</row>
    <row r="77" ht="12.75" customHeight="1">
      <c r="A77" s="2" t="s">
        <v>218</v>
      </c>
      <c r="B77" s="2"/>
      <c r="C77" s="2">
        <v>0.0731</v>
      </c>
      <c r="D77" s="2" t="s">
        <v>219</v>
      </c>
      <c r="E77" s="34" t="s">
        <v>220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</row>
    <row r="79" ht="12.75" customHeight="1">
      <c r="A79" s="34" t="s">
        <v>42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</row>
    <row r="80" ht="12.75" customHeight="1">
      <c r="A80" s="239" t="s">
        <v>43</v>
      </c>
      <c r="B80" s="239" t="s">
        <v>125</v>
      </c>
      <c r="C80" s="59" t="s">
        <v>59</v>
      </c>
      <c r="D80" s="59" t="s">
        <v>60</v>
      </c>
      <c r="E80" s="59" t="s">
        <v>61</v>
      </c>
      <c r="F80" s="59" t="s">
        <v>62</v>
      </c>
      <c r="G80" s="59" t="s">
        <v>63</v>
      </c>
      <c r="H80" s="59" t="s">
        <v>64</v>
      </c>
      <c r="I80" s="59" t="s">
        <v>65</v>
      </c>
      <c r="J80" s="59" t="s">
        <v>66</v>
      </c>
      <c r="K80" s="59" t="s">
        <v>67</v>
      </c>
      <c r="L80" s="59" t="s">
        <v>68</v>
      </c>
      <c r="M80" s="59" t="s">
        <v>69</v>
      </c>
      <c r="N80" s="59" t="s">
        <v>70</v>
      </c>
      <c r="O80" s="162">
        <v>2026.0</v>
      </c>
      <c r="P80" s="162" t="s">
        <v>59</v>
      </c>
      <c r="Q80" s="162" t="s">
        <v>60</v>
      </c>
      <c r="R80" s="162" t="s">
        <v>61</v>
      </c>
      <c r="S80" s="162" t="s">
        <v>62</v>
      </c>
      <c r="T80" s="162" t="s">
        <v>63</v>
      </c>
      <c r="U80" s="162" t="s">
        <v>64</v>
      </c>
      <c r="V80" s="162" t="s">
        <v>65</v>
      </c>
      <c r="W80" s="162" t="s">
        <v>66</v>
      </c>
      <c r="X80" s="162" t="s">
        <v>67</v>
      </c>
      <c r="Y80" s="162" t="s">
        <v>68</v>
      </c>
      <c r="Z80" s="162" t="s">
        <v>69</v>
      </c>
      <c r="AA80" s="162" t="s">
        <v>70</v>
      </c>
      <c r="AB80" s="162">
        <v>2027.0</v>
      </c>
      <c r="AC80" s="162" t="s">
        <v>59</v>
      </c>
      <c r="AD80" s="162" t="s">
        <v>60</v>
      </c>
      <c r="AE80" s="162" t="s">
        <v>61</v>
      </c>
      <c r="AF80" s="162" t="s">
        <v>62</v>
      </c>
      <c r="AG80" s="162" t="s">
        <v>63</v>
      </c>
      <c r="AH80" s="162" t="s">
        <v>64</v>
      </c>
      <c r="AI80" s="162" t="s">
        <v>65</v>
      </c>
      <c r="AJ80" s="162" t="s">
        <v>66</v>
      </c>
      <c r="AK80" s="162" t="s">
        <v>67</v>
      </c>
      <c r="AL80" s="162" t="s">
        <v>68</v>
      </c>
      <c r="AM80" s="162" t="s">
        <v>69</v>
      </c>
      <c r="AN80" s="162" t="s">
        <v>70</v>
      </c>
      <c r="AO80" s="162">
        <v>2028.0</v>
      </c>
      <c r="AP80" s="162">
        <v>2029.0</v>
      </c>
      <c r="AQ80" s="162">
        <v>2030.0</v>
      </c>
      <c r="AR80" s="162">
        <v>2031.0</v>
      </c>
      <c r="AS80" s="162">
        <v>2032.0</v>
      </c>
      <c r="AT80" s="162">
        <v>2033.0</v>
      </c>
      <c r="AU80" s="162">
        <v>2034.0</v>
      </c>
      <c r="AV80" s="162">
        <v>2035.0</v>
      </c>
      <c r="AW80" s="162">
        <v>2036.0</v>
      </c>
      <c r="AX80" s="162">
        <v>2037.0</v>
      </c>
      <c r="AY80" s="162">
        <v>2038.0</v>
      </c>
      <c r="AZ80" s="162">
        <v>2039.0</v>
      </c>
      <c r="BA80" s="162">
        <v>2040.0</v>
      </c>
      <c r="BB80" s="162">
        <v>2041.0</v>
      </c>
      <c r="BC80" s="162">
        <v>2042.0</v>
      </c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</row>
    <row r="81" ht="12.75" customHeight="1">
      <c r="A81" s="2">
        <v>1.0</v>
      </c>
      <c r="B81" s="2" t="s">
        <v>221</v>
      </c>
      <c r="C81" s="26">
        <f>$C$77*('Выручка'!E46)*1000</f>
        <v>101.3177155</v>
      </c>
      <c r="D81" s="26">
        <f>$C$77*('Выручка'!F46)*1000</f>
        <v>85.99987246</v>
      </c>
      <c r="E81" s="26">
        <f>$C$77*('Выручка'!G46)*1000</f>
        <v>135.124722</v>
      </c>
      <c r="F81" s="26">
        <f>$C$77*('Выручка'!H46)*1000</f>
        <v>79.69087924</v>
      </c>
      <c r="G81" s="26">
        <f>$C$77*('Выручка'!I46)*1000</f>
        <v>181.1176373</v>
      </c>
      <c r="H81" s="26">
        <f>$C$77*('Выручка'!J46)*1000</f>
        <v>203.7773512</v>
      </c>
      <c r="I81" s="26">
        <f>$C$77*('Выручка'!K46)*1000</f>
        <v>253.9477714</v>
      </c>
      <c r="J81" s="26">
        <f>$C$77*('Выручка'!L46)*1000</f>
        <v>253.9477714</v>
      </c>
      <c r="K81" s="26">
        <f>$C$77*('Выручка'!M46)*1000</f>
        <v>209.8152369</v>
      </c>
      <c r="L81" s="26">
        <f>$C$77*('Выручка'!N46)*1000</f>
        <v>171.9354541</v>
      </c>
      <c r="M81" s="26">
        <f>$C$77*('Выручка'!O46)*1000</f>
        <v>134.8906653</v>
      </c>
      <c r="N81" s="26">
        <f>$C$77*('Выручка'!P46)*1000</f>
        <v>104.3967704</v>
      </c>
      <c r="O81" s="26">
        <f>SUM(C81:N81)</f>
        <v>1915.961847</v>
      </c>
      <c r="P81" s="26">
        <f t="shared" ref="P81:AA81" si="26">C81</f>
        <v>101.3177155</v>
      </c>
      <c r="Q81" s="26">
        <f t="shared" si="26"/>
        <v>85.99987246</v>
      </c>
      <c r="R81" s="26">
        <f t="shared" si="26"/>
        <v>135.124722</v>
      </c>
      <c r="S81" s="26">
        <f t="shared" si="26"/>
        <v>79.69087924</v>
      </c>
      <c r="T81" s="26">
        <f t="shared" si="26"/>
        <v>181.1176373</v>
      </c>
      <c r="U81" s="26">
        <f t="shared" si="26"/>
        <v>203.7773512</v>
      </c>
      <c r="V81" s="26">
        <f t="shared" si="26"/>
        <v>253.9477714</v>
      </c>
      <c r="W81" s="26">
        <f t="shared" si="26"/>
        <v>253.9477714</v>
      </c>
      <c r="X81" s="26">
        <f t="shared" si="26"/>
        <v>209.8152369</v>
      </c>
      <c r="Y81" s="26">
        <f t="shared" si="26"/>
        <v>171.9354541</v>
      </c>
      <c r="Z81" s="26">
        <f t="shared" si="26"/>
        <v>134.8906653</v>
      </c>
      <c r="AA81" s="26">
        <f t="shared" si="26"/>
        <v>104.3967704</v>
      </c>
      <c r="AB81" s="26">
        <f>SUM(P81:AA81)</f>
        <v>1915.961847</v>
      </c>
      <c r="AC81" s="26">
        <f t="shared" ref="AC81:AN81" si="27">P81</f>
        <v>101.3177155</v>
      </c>
      <c r="AD81" s="26">
        <f t="shared" si="27"/>
        <v>85.99987246</v>
      </c>
      <c r="AE81" s="26">
        <f t="shared" si="27"/>
        <v>135.124722</v>
      </c>
      <c r="AF81" s="26">
        <f t="shared" si="27"/>
        <v>79.69087924</v>
      </c>
      <c r="AG81" s="26">
        <f t="shared" si="27"/>
        <v>181.1176373</v>
      </c>
      <c r="AH81" s="26">
        <f t="shared" si="27"/>
        <v>203.7773512</v>
      </c>
      <c r="AI81" s="26">
        <f t="shared" si="27"/>
        <v>253.9477714</v>
      </c>
      <c r="AJ81" s="26">
        <f t="shared" si="27"/>
        <v>253.9477714</v>
      </c>
      <c r="AK81" s="26">
        <f t="shared" si="27"/>
        <v>209.8152369</v>
      </c>
      <c r="AL81" s="26">
        <f t="shared" si="27"/>
        <v>171.9354541</v>
      </c>
      <c r="AM81" s="26">
        <f t="shared" si="27"/>
        <v>134.8906653</v>
      </c>
      <c r="AN81" s="26">
        <f t="shared" si="27"/>
        <v>104.3967704</v>
      </c>
      <c r="AO81" s="26">
        <f>SUM(AC81:AN81)</f>
        <v>1915.961847</v>
      </c>
      <c r="AP81" s="26">
        <f t="shared" ref="AP81:BC81" si="28">AO81</f>
        <v>1915.961847</v>
      </c>
      <c r="AQ81" s="26">
        <f t="shared" si="28"/>
        <v>1915.961847</v>
      </c>
      <c r="AR81" s="26">
        <f t="shared" si="28"/>
        <v>1915.961847</v>
      </c>
      <c r="AS81" s="26">
        <f t="shared" si="28"/>
        <v>1915.961847</v>
      </c>
      <c r="AT81" s="26">
        <f t="shared" si="28"/>
        <v>1915.961847</v>
      </c>
      <c r="AU81" s="26">
        <f t="shared" si="28"/>
        <v>1915.961847</v>
      </c>
      <c r="AV81" s="26">
        <f t="shared" si="28"/>
        <v>1915.961847</v>
      </c>
      <c r="AW81" s="26">
        <f t="shared" si="28"/>
        <v>1915.961847</v>
      </c>
      <c r="AX81" s="26">
        <f t="shared" si="28"/>
        <v>1915.961847</v>
      </c>
      <c r="AY81" s="26">
        <f t="shared" si="28"/>
        <v>1915.961847</v>
      </c>
      <c r="AZ81" s="26">
        <f t="shared" si="28"/>
        <v>1915.961847</v>
      </c>
      <c r="BA81" s="26">
        <f t="shared" si="28"/>
        <v>1915.961847</v>
      </c>
      <c r="BB81" s="26">
        <f t="shared" si="28"/>
        <v>1915.961847</v>
      </c>
      <c r="BC81" s="26">
        <f t="shared" si="28"/>
        <v>1915.961847</v>
      </c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</row>
    <row r="82" ht="12.75" customHeight="1">
      <c r="A82" s="48"/>
      <c r="B82" s="48" t="s">
        <v>56</v>
      </c>
      <c r="C82" s="236">
        <f t="shared" ref="C82:BC82" si="29">SUM(C81)</f>
        <v>101.3177155</v>
      </c>
      <c r="D82" s="236">
        <f t="shared" si="29"/>
        <v>85.99987246</v>
      </c>
      <c r="E82" s="236">
        <f t="shared" si="29"/>
        <v>135.124722</v>
      </c>
      <c r="F82" s="236">
        <f t="shared" si="29"/>
        <v>79.69087924</v>
      </c>
      <c r="G82" s="236">
        <f t="shared" si="29"/>
        <v>181.1176373</v>
      </c>
      <c r="H82" s="236">
        <f t="shared" si="29"/>
        <v>203.7773512</v>
      </c>
      <c r="I82" s="236">
        <f t="shared" si="29"/>
        <v>253.9477714</v>
      </c>
      <c r="J82" s="236">
        <f t="shared" si="29"/>
        <v>253.9477714</v>
      </c>
      <c r="K82" s="236">
        <f t="shared" si="29"/>
        <v>209.8152369</v>
      </c>
      <c r="L82" s="236">
        <f t="shared" si="29"/>
        <v>171.9354541</v>
      </c>
      <c r="M82" s="236">
        <f t="shared" si="29"/>
        <v>134.8906653</v>
      </c>
      <c r="N82" s="236">
        <f t="shared" si="29"/>
        <v>104.3967704</v>
      </c>
      <c r="O82" s="236">
        <f t="shared" si="29"/>
        <v>1915.961847</v>
      </c>
      <c r="P82" s="236">
        <f t="shared" si="29"/>
        <v>101.3177155</v>
      </c>
      <c r="Q82" s="236">
        <f t="shared" si="29"/>
        <v>85.99987246</v>
      </c>
      <c r="R82" s="236">
        <f t="shared" si="29"/>
        <v>135.124722</v>
      </c>
      <c r="S82" s="236">
        <f t="shared" si="29"/>
        <v>79.69087924</v>
      </c>
      <c r="T82" s="236">
        <f t="shared" si="29"/>
        <v>181.1176373</v>
      </c>
      <c r="U82" s="236">
        <f t="shared" si="29"/>
        <v>203.7773512</v>
      </c>
      <c r="V82" s="236">
        <f t="shared" si="29"/>
        <v>253.9477714</v>
      </c>
      <c r="W82" s="236">
        <f t="shared" si="29"/>
        <v>253.9477714</v>
      </c>
      <c r="X82" s="236">
        <f t="shared" si="29"/>
        <v>209.8152369</v>
      </c>
      <c r="Y82" s="236">
        <f t="shared" si="29"/>
        <v>171.9354541</v>
      </c>
      <c r="Z82" s="236">
        <f t="shared" si="29"/>
        <v>134.8906653</v>
      </c>
      <c r="AA82" s="236">
        <f t="shared" si="29"/>
        <v>104.3967704</v>
      </c>
      <c r="AB82" s="236">
        <f t="shared" si="29"/>
        <v>1915.961847</v>
      </c>
      <c r="AC82" s="236">
        <f t="shared" si="29"/>
        <v>101.3177155</v>
      </c>
      <c r="AD82" s="236">
        <f t="shared" si="29"/>
        <v>85.99987246</v>
      </c>
      <c r="AE82" s="236">
        <f t="shared" si="29"/>
        <v>135.124722</v>
      </c>
      <c r="AF82" s="236">
        <f t="shared" si="29"/>
        <v>79.69087924</v>
      </c>
      <c r="AG82" s="236">
        <f t="shared" si="29"/>
        <v>181.1176373</v>
      </c>
      <c r="AH82" s="236">
        <f t="shared" si="29"/>
        <v>203.7773512</v>
      </c>
      <c r="AI82" s="236">
        <f t="shared" si="29"/>
        <v>253.9477714</v>
      </c>
      <c r="AJ82" s="236">
        <f t="shared" si="29"/>
        <v>253.9477714</v>
      </c>
      <c r="AK82" s="236">
        <f t="shared" si="29"/>
        <v>209.8152369</v>
      </c>
      <c r="AL82" s="236">
        <f t="shared" si="29"/>
        <v>171.9354541</v>
      </c>
      <c r="AM82" s="236">
        <f t="shared" si="29"/>
        <v>134.8906653</v>
      </c>
      <c r="AN82" s="236">
        <f t="shared" si="29"/>
        <v>104.3967704</v>
      </c>
      <c r="AO82" s="236">
        <f t="shared" si="29"/>
        <v>1915.961847</v>
      </c>
      <c r="AP82" s="236">
        <f t="shared" si="29"/>
        <v>1915.961847</v>
      </c>
      <c r="AQ82" s="236">
        <f t="shared" si="29"/>
        <v>1915.961847</v>
      </c>
      <c r="AR82" s="236">
        <f t="shared" si="29"/>
        <v>1915.961847</v>
      </c>
      <c r="AS82" s="236">
        <f t="shared" si="29"/>
        <v>1915.961847</v>
      </c>
      <c r="AT82" s="236">
        <f t="shared" si="29"/>
        <v>1915.961847</v>
      </c>
      <c r="AU82" s="236">
        <f t="shared" si="29"/>
        <v>1915.961847</v>
      </c>
      <c r="AV82" s="236">
        <f t="shared" si="29"/>
        <v>1915.961847</v>
      </c>
      <c r="AW82" s="236">
        <f t="shared" si="29"/>
        <v>1915.961847</v>
      </c>
      <c r="AX82" s="236">
        <f t="shared" si="29"/>
        <v>1915.961847</v>
      </c>
      <c r="AY82" s="236">
        <f t="shared" si="29"/>
        <v>1915.961847</v>
      </c>
      <c r="AZ82" s="236">
        <f t="shared" si="29"/>
        <v>1915.961847</v>
      </c>
      <c r="BA82" s="236">
        <f t="shared" si="29"/>
        <v>1915.961847</v>
      </c>
      <c r="BB82" s="236">
        <f t="shared" si="29"/>
        <v>1915.961847</v>
      </c>
      <c r="BC82" s="236">
        <f t="shared" si="29"/>
        <v>1915.961847</v>
      </c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</row>
    <row r="85" ht="12.75" customHeight="1">
      <c r="A85" s="1" t="s">
        <v>222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</row>
    <row r="87" ht="12.75" customHeight="1">
      <c r="A87" s="2" t="s">
        <v>223</v>
      </c>
      <c r="B87" s="2"/>
      <c r="C87" s="70">
        <v>0.2335042680829104</v>
      </c>
      <c r="D87" s="2" t="s">
        <v>224</v>
      </c>
      <c r="E87" s="235" t="s">
        <v>225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</row>
    <row r="89" ht="12.75" customHeight="1">
      <c r="A89" s="34" t="s">
        <v>42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</row>
    <row r="90" ht="12.75" customHeight="1">
      <c r="A90" s="239" t="s">
        <v>43</v>
      </c>
      <c r="B90" s="239" t="s">
        <v>125</v>
      </c>
      <c r="C90" s="59" t="s">
        <v>59</v>
      </c>
      <c r="D90" s="59" t="s">
        <v>60</v>
      </c>
      <c r="E90" s="59" t="s">
        <v>61</v>
      </c>
      <c r="F90" s="59" t="s">
        <v>62</v>
      </c>
      <c r="G90" s="59" t="s">
        <v>63</v>
      </c>
      <c r="H90" s="59" t="s">
        <v>64</v>
      </c>
      <c r="I90" s="59" t="s">
        <v>65</v>
      </c>
      <c r="J90" s="59" t="s">
        <v>66</v>
      </c>
      <c r="K90" s="59" t="s">
        <v>67</v>
      </c>
      <c r="L90" s="59" t="s">
        <v>68</v>
      </c>
      <c r="M90" s="59" t="s">
        <v>69</v>
      </c>
      <c r="N90" s="59" t="s">
        <v>70</v>
      </c>
      <c r="O90" s="162">
        <v>2026.0</v>
      </c>
      <c r="P90" s="162" t="s">
        <v>59</v>
      </c>
      <c r="Q90" s="162" t="s">
        <v>60</v>
      </c>
      <c r="R90" s="162" t="s">
        <v>61</v>
      </c>
      <c r="S90" s="162" t="s">
        <v>62</v>
      </c>
      <c r="T90" s="162" t="s">
        <v>63</v>
      </c>
      <c r="U90" s="162" t="s">
        <v>64</v>
      </c>
      <c r="V90" s="162" t="s">
        <v>65</v>
      </c>
      <c r="W90" s="162" t="s">
        <v>66</v>
      </c>
      <c r="X90" s="162" t="s">
        <v>67</v>
      </c>
      <c r="Y90" s="162" t="s">
        <v>68</v>
      </c>
      <c r="Z90" s="162" t="s">
        <v>69</v>
      </c>
      <c r="AA90" s="162" t="s">
        <v>70</v>
      </c>
      <c r="AB90" s="162">
        <v>2027.0</v>
      </c>
      <c r="AC90" s="162" t="s">
        <v>59</v>
      </c>
      <c r="AD90" s="162" t="s">
        <v>60</v>
      </c>
      <c r="AE90" s="162" t="s">
        <v>61</v>
      </c>
      <c r="AF90" s="162" t="s">
        <v>62</v>
      </c>
      <c r="AG90" s="162" t="s">
        <v>63</v>
      </c>
      <c r="AH90" s="162" t="s">
        <v>64</v>
      </c>
      <c r="AI90" s="162" t="s">
        <v>65</v>
      </c>
      <c r="AJ90" s="162" t="s">
        <v>66</v>
      </c>
      <c r="AK90" s="162" t="s">
        <v>67</v>
      </c>
      <c r="AL90" s="162" t="s">
        <v>68</v>
      </c>
      <c r="AM90" s="162" t="s">
        <v>69</v>
      </c>
      <c r="AN90" s="162" t="s">
        <v>70</v>
      </c>
      <c r="AO90" s="162">
        <v>2028.0</v>
      </c>
      <c r="AP90" s="162">
        <v>2029.0</v>
      </c>
      <c r="AQ90" s="162">
        <v>2030.0</v>
      </c>
      <c r="AR90" s="162">
        <v>2031.0</v>
      </c>
      <c r="AS90" s="162">
        <v>2032.0</v>
      </c>
      <c r="AT90" s="162">
        <v>2033.0</v>
      </c>
      <c r="AU90" s="162">
        <v>2034.0</v>
      </c>
      <c r="AV90" s="162">
        <v>2035.0</v>
      </c>
      <c r="AW90" s="162">
        <v>2036.0</v>
      </c>
      <c r="AX90" s="162">
        <v>2037.0</v>
      </c>
      <c r="AY90" s="162">
        <v>2038.0</v>
      </c>
      <c r="AZ90" s="162">
        <v>2039.0</v>
      </c>
      <c r="BA90" s="162">
        <v>2040.0</v>
      </c>
      <c r="BB90" s="162">
        <v>2041.0</v>
      </c>
      <c r="BC90" s="162">
        <v>2042.0</v>
      </c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</row>
    <row r="91" ht="12.75" customHeight="1">
      <c r="A91" s="2">
        <v>1.0</v>
      </c>
      <c r="B91" s="2" t="s">
        <v>226</v>
      </c>
      <c r="C91" s="26">
        <f>($C$87*('Выручка'!E46)*1000)*(1+Panel!$B$43)*(1+Panel!$B$43)</f>
        <v>403.8026655</v>
      </c>
      <c r="D91" s="26">
        <f>($C$87*('Выручка'!F46)*1000)*(1+Panel!$B$43)*(1+Panel!$B$43)*(1+Panel!$B$43)</f>
        <v>382.8553963</v>
      </c>
      <c r="E91" s="26">
        <f>($C$87*('Выручка'!G46)*1000)*(1+Panel!$B$43)*(1+Panel!$B$43)*(1+Panel!$B$43)</f>
        <v>601.5500665</v>
      </c>
      <c r="F91" s="26">
        <f>($C$87*('Выручка'!H46)*1000)*(1+Panel!$B$43)*(1+Panel!$B$43)*(1+Panel!$B$43)</f>
        <v>354.7689349</v>
      </c>
      <c r="G91" s="26">
        <f>($C$87*('Выручка'!I46)*1000)*(1+Panel!$B$43)*(1+Panel!$B$43)*(1+Panel!$B$43)</f>
        <v>806.3019491</v>
      </c>
      <c r="H91" s="26">
        <f>($C$87*('Выручка'!J46)*1000)*(1+Panel!$B$43)*(1+Panel!$B$43)*(1+Panel!$B$43)</f>
        <v>907.1787703</v>
      </c>
      <c r="I91" s="26">
        <f>($C$87*('Выручка'!K46)*1000)*(1+Panel!$B$43)*(1+Panel!$B$43)*(1+Panel!$B$43)</f>
        <v>1130.528126</v>
      </c>
      <c r="J91" s="26">
        <f>($C$87*('Выручка'!L46)*1000)*(1+Panel!$B$43)*(1+Panel!$B$43)*(1+Panel!$B$43)</f>
        <v>1130.528126</v>
      </c>
      <c r="K91" s="26">
        <f>($C$87*('Выручка'!M46)*1000)*(1+Panel!$B$43)*(1+Panel!$B$43)*(1+Panel!$B$43)</f>
        <v>934.0583117</v>
      </c>
      <c r="L91" s="26">
        <f>($C$87*('Выручка'!N46)*1000)*(1+Panel!$B$43)*(1+Panel!$B$43)*(1+Panel!$B$43)</f>
        <v>765.4245816</v>
      </c>
      <c r="M91" s="26">
        <f>($C$87*('Выручка'!O46)*1000)*(1+Panel!$B$43)*(1+Panel!$B$43)*(1+Panel!$B$43)</f>
        <v>600.5080897</v>
      </c>
      <c r="N91" s="26">
        <f>($C$87*('Выручка'!P46)*1000)*(1+Panel!$B$43)*(1+Panel!$B$43)*(1+Panel!$B$43)</f>
        <v>464.7549555</v>
      </c>
      <c r="O91" s="26">
        <f>SUM(C91:N91)</f>
        <v>8482.259973</v>
      </c>
      <c r="P91" s="26">
        <f>(C91)*(1+Panel!$B$43)</f>
        <v>451.0475774</v>
      </c>
      <c r="Q91" s="26">
        <f>(D91)*(1+Panel!$B$43)</f>
        <v>427.6494776</v>
      </c>
      <c r="R91" s="26">
        <f>(E91)*(1+Panel!$B$43)</f>
        <v>671.9314243</v>
      </c>
      <c r="S91" s="26">
        <f>(F91)*(1+Panel!$B$43)</f>
        <v>396.2769002</v>
      </c>
      <c r="T91" s="26">
        <f>(G91)*(1+Panel!$B$43)</f>
        <v>900.6392771</v>
      </c>
      <c r="U91" s="26">
        <f>(H91)*(1+Panel!$B$43)</f>
        <v>1013.318686</v>
      </c>
      <c r="V91" s="26">
        <f>(I91)*(1+Panel!$B$43)</f>
        <v>1262.799917</v>
      </c>
      <c r="W91" s="26">
        <f>(J91)*(1+Panel!$B$43)</f>
        <v>1262.799917</v>
      </c>
      <c r="X91" s="26">
        <f>(K91)*(1+Panel!$B$43)</f>
        <v>1043.343134</v>
      </c>
      <c r="Y91" s="26">
        <f>(L91)*(1+Panel!$B$43)</f>
        <v>854.9792577</v>
      </c>
      <c r="Z91" s="26">
        <f>(M91)*(1+Panel!$B$43)</f>
        <v>670.7675362</v>
      </c>
      <c r="AA91" s="26">
        <f>(N91)*(1+Panel!$B$43)</f>
        <v>519.1312853</v>
      </c>
      <c r="AB91" s="26">
        <f>SUM(P91:AA91)</f>
        <v>9474.68439</v>
      </c>
      <c r="AC91" s="26">
        <f>(P91)*(1+Panel!$B$43)</f>
        <v>503.8201439</v>
      </c>
      <c r="AD91" s="26">
        <f>(Q91)*(1+Panel!$B$43)</f>
        <v>477.6844665</v>
      </c>
      <c r="AE91" s="26">
        <f>(R91)*(1+Panel!$B$43)</f>
        <v>750.547401</v>
      </c>
      <c r="AF91" s="26">
        <f>(S91)*(1+Panel!$B$43)</f>
        <v>442.6412976</v>
      </c>
      <c r="AG91" s="26">
        <f>(T91)*(1+Panel!$B$43)</f>
        <v>1006.014073</v>
      </c>
      <c r="AH91" s="26">
        <f>(U91)*(1+Panel!$B$43)</f>
        <v>1131.876973</v>
      </c>
      <c r="AI91" s="26">
        <f>(V91)*(1+Panel!$B$43)</f>
        <v>1410.547507</v>
      </c>
      <c r="AJ91" s="26">
        <f>(W91)*(1+Panel!$B$43)</f>
        <v>1410.547507</v>
      </c>
      <c r="AK91" s="26">
        <f>(X91)*(1+Panel!$B$43)</f>
        <v>1165.414281</v>
      </c>
      <c r="AL91" s="26">
        <f>(Y91)*(1+Panel!$B$43)</f>
        <v>955.0118308</v>
      </c>
      <c r="AM91" s="26">
        <f>(Z91)*(1+Panel!$B$43)</f>
        <v>749.247338</v>
      </c>
      <c r="AN91" s="26">
        <f>(AA91)*(1+Panel!$B$43)</f>
        <v>579.8696457</v>
      </c>
      <c r="AO91" s="26">
        <f>SUM(AC91:AN91)</f>
        <v>10583.22246</v>
      </c>
      <c r="AP91" s="26">
        <f>AO91*(1+Panel!$B$43)</f>
        <v>11821.45949</v>
      </c>
      <c r="AQ91" s="26">
        <f>AP91*(1+Panel!$B$43)</f>
        <v>13204.57025</v>
      </c>
      <c r="AR91" s="26">
        <f>AQ91*(1+Panel!$B$43)</f>
        <v>14749.50497</v>
      </c>
      <c r="AS91" s="26">
        <f>AR91*(1+Panel!$B$43)</f>
        <v>16475.19705</v>
      </c>
      <c r="AT91" s="26">
        <f>AS91*(1+Panel!$B$43)</f>
        <v>18402.79511</v>
      </c>
      <c r="AU91" s="26">
        <f>AT91*(1+Panel!$B$43)</f>
        <v>20555.92214</v>
      </c>
      <c r="AV91" s="26">
        <f>AU91*(1+Panel!$B$43)</f>
        <v>22960.96503</v>
      </c>
      <c r="AW91" s="26">
        <f>AV91*(1+Panel!$B$43)</f>
        <v>25647.39793</v>
      </c>
      <c r="AX91" s="26">
        <f>AW91*(1+Panel!$B$43)</f>
        <v>28648.14349</v>
      </c>
      <c r="AY91" s="26">
        <f>AX91*(1+Panel!$B$43)</f>
        <v>31999.97628</v>
      </c>
      <c r="AZ91" s="26">
        <f>AY91*(1+Panel!$B$43)</f>
        <v>35743.97351</v>
      </c>
      <c r="BA91" s="26">
        <f>AZ91*(1+Panel!$B$43)</f>
        <v>39926.01841</v>
      </c>
      <c r="BB91" s="26">
        <f>BA91*(1+Panel!$B$43)</f>
        <v>44597.36256</v>
      </c>
      <c r="BC91" s="26">
        <f>BB91*(1+Panel!$B$43)</f>
        <v>49815.25398</v>
      </c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</row>
    <row r="92" ht="12.75" customHeight="1">
      <c r="A92" s="48"/>
      <c r="B92" s="48" t="s">
        <v>56</v>
      </c>
      <c r="C92" s="236">
        <f t="shared" ref="C92:BC92" si="30">SUM(C91)</f>
        <v>403.8026655</v>
      </c>
      <c r="D92" s="236">
        <f t="shared" si="30"/>
        <v>382.8553963</v>
      </c>
      <c r="E92" s="236">
        <f t="shared" si="30"/>
        <v>601.5500665</v>
      </c>
      <c r="F92" s="236">
        <f t="shared" si="30"/>
        <v>354.7689349</v>
      </c>
      <c r="G92" s="236">
        <f t="shared" si="30"/>
        <v>806.3019491</v>
      </c>
      <c r="H92" s="236">
        <f t="shared" si="30"/>
        <v>907.1787703</v>
      </c>
      <c r="I92" s="236">
        <f t="shared" si="30"/>
        <v>1130.528126</v>
      </c>
      <c r="J92" s="236">
        <f t="shared" si="30"/>
        <v>1130.528126</v>
      </c>
      <c r="K92" s="236">
        <f t="shared" si="30"/>
        <v>934.0583117</v>
      </c>
      <c r="L92" s="236">
        <f t="shared" si="30"/>
        <v>765.4245816</v>
      </c>
      <c r="M92" s="236">
        <f t="shared" si="30"/>
        <v>600.5080897</v>
      </c>
      <c r="N92" s="236">
        <f t="shared" si="30"/>
        <v>464.7549555</v>
      </c>
      <c r="O92" s="236">
        <f t="shared" si="30"/>
        <v>8482.259973</v>
      </c>
      <c r="P92" s="236">
        <f t="shared" si="30"/>
        <v>451.0475774</v>
      </c>
      <c r="Q92" s="236">
        <f t="shared" si="30"/>
        <v>427.6494776</v>
      </c>
      <c r="R92" s="236">
        <f t="shared" si="30"/>
        <v>671.9314243</v>
      </c>
      <c r="S92" s="236">
        <f t="shared" si="30"/>
        <v>396.2769002</v>
      </c>
      <c r="T92" s="236">
        <f t="shared" si="30"/>
        <v>900.6392771</v>
      </c>
      <c r="U92" s="236">
        <f t="shared" si="30"/>
        <v>1013.318686</v>
      </c>
      <c r="V92" s="236">
        <f t="shared" si="30"/>
        <v>1262.799917</v>
      </c>
      <c r="W92" s="236">
        <f t="shared" si="30"/>
        <v>1262.799917</v>
      </c>
      <c r="X92" s="236">
        <f t="shared" si="30"/>
        <v>1043.343134</v>
      </c>
      <c r="Y92" s="236">
        <f t="shared" si="30"/>
        <v>854.9792577</v>
      </c>
      <c r="Z92" s="236">
        <f t="shared" si="30"/>
        <v>670.7675362</v>
      </c>
      <c r="AA92" s="236">
        <f t="shared" si="30"/>
        <v>519.1312853</v>
      </c>
      <c r="AB92" s="236">
        <f t="shared" si="30"/>
        <v>9474.68439</v>
      </c>
      <c r="AC92" s="236">
        <f t="shared" si="30"/>
        <v>503.8201439</v>
      </c>
      <c r="AD92" s="236">
        <f t="shared" si="30"/>
        <v>477.6844665</v>
      </c>
      <c r="AE92" s="236">
        <f t="shared" si="30"/>
        <v>750.547401</v>
      </c>
      <c r="AF92" s="236">
        <f t="shared" si="30"/>
        <v>442.6412976</v>
      </c>
      <c r="AG92" s="236">
        <f t="shared" si="30"/>
        <v>1006.014073</v>
      </c>
      <c r="AH92" s="236">
        <f t="shared" si="30"/>
        <v>1131.876973</v>
      </c>
      <c r="AI92" s="236">
        <f t="shared" si="30"/>
        <v>1410.547507</v>
      </c>
      <c r="AJ92" s="236">
        <f t="shared" si="30"/>
        <v>1410.547507</v>
      </c>
      <c r="AK92" s="236">
        <f t="shared" si="30"/>
        <v>1165.414281</v>
      </c>
      <c r="AL92" s="236">
        <f t="shared" si="30"/>
        <v>955.0118308</v>
      </c>
      <c r="AM92" s="236">
        <f t="shared" si="30"/>
        <v>749.247338</v>
      </c>
      <c r="AN92" s="236">
        <f t="shared" si="30"/>
        <v>579.8696457</v>
      </c>
      <c r="AO92" s="236">
        <f t="shared" si="30"/>
        <v>10583.22246</v>
      </c>
      <c r="AP92" s="236">
        <f t="shared" si="30"/>
        <v>11821.45949</v>
      </c>
      <c r="AQ92" s="236">
        <f t="shared" si="30"/>
        <v>13204.57025</v>
      </c>
      <c r="AR92" s="236">
        <f t="shared" si="30"/>
        <v>14749.50497</v>
      </c>
      <c r="AS92" s="236">
        <f t="shared" si="30"/>
        <v>16475.19705</v>
      </c>
      <c r="AT92" s="236">
        <f t="shared" si="30"/>
        <v>18402.79511</v>
      </c>
      <c r="AU92" s="236">
        <f t="shared" si="30"/>
        <v>20555.92214</v>
      </c>
      <c r="AV92" s="236">
        <f t="shared" si="30"/>
        <v>22960.96503</v>
      </c>
      <c r="AW92" s="236">
        <f t="shared" si="30"/>
        <v>25647.39793</v>
      </c>
      <c r="AX92" s="236">
        <f t="shared" si="30"/>
        <v>28648.14349</v>
      </c>
      <c r="AY92" s="236">
        <f t="shared" si="30"/>
        <v>31999.97628</v>
      </c>
      <c r="AZ92" s="236">
        <f t="shared" si="30"/>
        <v>35743.97351</v>
      </c>
      <c r="BA92" s="236">
        <f t="shared" si="30"/>
        <v>39926.01841</v>
      </c>
      <c r="BB92" s="236">
        <f t="shared" si="30"/>
        <v>44597.36256</v>
      </c>
      <c r="BC92" s="236">
        <f t="shared" si="30"/>
        <v>49815.25398</v>
      </c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</row>
    <row r="95" ht="12.75" customHeight="1">
      <c r="A95" s="1" t="s">
        <v>227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0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</row>
    <row r="97" ht="12.75" customHeight="1">
      <c r="A97" s="2"/>
      <c r="B97" s="2" t="s">
        <v>205</v>
      </c>
      <c r="C97" s="26">
        <f>2000/(1+Panel!B26)</f>
        <v>1724.137931</v>
      </c>
      <c r="D97" s="2" t="s">
        <v>228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</row>
    <row r="99" ht="12.75" customHeight="1">
      <c r="A99" s="34" t="s">
        <v>42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</row>
    <row r="100" ht="12.75" customHeight="1">
      <c r="A100" s="223" t="s">
        <v>43</v>
      </c>
      <c r="B100" s="223" t="s">
        <v>58</v>
      </c>
      <c r="C100" s="59" t="s">
        <v>59</v>
      </c>
      <c r="D100" s="59" t="s">
        <v>60</v>
      </c>
      <c r="E100" s="59" t="s">
        <v>61</v>
      </c>
      <c r="F100" s="59" t="s">
        <v>62</v>
      </c>
      <c r="G100" s="59" t="s">
        <v>63</v>
      </c>
      <c r="H100" s="59" t="s">
        <v>64</v>
      </c>
      <c r="I100" s="59" t="s">
        <v>65</v>
      </c>
      <c r="J100" s="59" t="s">
        <v>66</v>
      </c>
      <c r="K100" s="59" t="s">
        <v>67</v>
      </c>
      <c r="L100" s="59" t="s">
        <v>68</v>
      </c>
      <c r="M100" s="59" t="s">
        <v>69</v>
      </c>
      <c r="N100" s="59" t="s">
        <v>70</v>
      </c>
      <c r="O100" s="162">
        <v>2026.0</v>
      </c>
      <c r="P100" s="162" t="s">
        <v>59</v>
      </c>
      <c r="Q100" s="162" t="s">
        <v>60</v>
      </c>
      <c r="R100" s="162" t="s">
        <v>61</v>
      </c>
      <c r="S100" s="162" t="s">
        <v>62</v>
      </c>
      <c r="T100" s="162" t="s">
        <v>63</v>
      </c>
      <c r="U100" s="162" t="s">
        <v>64</v>
      </c>
      <c r="V100" s="162" t="s">
        <v>65</v>
      </c>
      <c r="W100" s="162" t="s">
        <v>66</v>
      </c>
      <c r="X100" s="162" t="s">
        <v>67</v>
      </c>
      <c r="Y100" s="162" t="s">
        <v>68</v>
      </c>
      <c r="Z100" s="162" t="s">
        <v>69</v>
      </c>
      <c r="AA100" s="162" t="s">
        <v>70</v>
      </c>
      <c r="AB100" s="162">
        <v>2027.0</v>
      </c>
      <c r="AC100" s="162" t="s">
        <v>59</v>
      </c>
      <c r="AD100" s="162" t="s">
        <v>60</v>
      </c>
      <c r="AE100" s="162" t="s">
        <v>61</v>
      </c>
      <c r="AF100" s="162" t="s">
        <v>62</v>
      </c>
      <c r="AG100" s="162" t="s">
        <v>63</v>
      </c>
      <c r="AH100" s="162" t="s">
        <v>64</v>
      </c>
      <c r="AI100" s="162" t="s">
        <v>65</v>
      </c>
      <c r="AJ100" s="162" t="s">
        <v>66</v>
      </c>
      <c r="AK100" s="162" t="s">
        <v>67</v>
      </c>
      <c r="AL100" s="162" t="s">
        <v>68</v>
      </c>
      <c r="AM100" s="162" t="s">
        <v>69</v>
      </c>
      <c r="AN100" s="162" t="s">
        <v>70</v>
      </c>
      <c r="AO100" s="162">
        <v>2028.0</v>
      </c>
      <c r="AP100" s="162">
        <v>2029.0</v>
      </c>
      <c r="AQ100" s="162">
        <v>2030.0</v>
      </c>
      <c r="AR100" s="162">
        <v>2031.0</v>
      </c>
      <c r="AS100" s="162">
        <v>2032.0</v>
      </c>
      <c r="AT100" s="162">
        <v>2033.0</v>
      </c>
      <c r="AU100" s="162">
        <v>2034.0</v>
      </c>
      <c r="AV100" s="162">
        <v>2035.0</v>
      </c>
      <c r="AW100" s="162">
        <v>2036.0</v>
      </c>
      <c r="AX100" s="162">
        <v>2037.0</v>
      </c>
      <c r="AY100" s="162">
        <v>2038.0</v>
      </c>
      <c r="AZ100" s="162">
        <v>2039.0</v>
      </c>
      <c r="BA100" s="162">
        <v>2040.0</v>
      </c>
      <c r="BB100" s="162">
        <v>2041.0</v>
      </c>
      <c r="BC100" s="162">
        <v>2042.0</v>
      </c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</row>
    <row r="101" ht="12.75" customHeight="1">
      <c r="A101" s="2">
        <v>1.0</v>
      </c>
      <c r="B101" s="2" t="s">
        <v>227</v>
      </c>
      <c r="C101" s="26">
        <f>C97*(1+Panel!$B$43)*(1+Panel!$B$43)</f>
        <v>2151.187931</v>
      </c>
      <c r="D101" s="26">
        <f t="shared" ref="D101:N101" si="31">C101</f>
        <v>2151.187931</v>
      </c>
      <c r="E101" s="26">
        <f t="shared" si="31"/>
        <v>2151.187931</v>
      </c>
      <c r="F101" s="26">
        <f t="shared" si="31"/>
        <v>2151.187931</v>
      </c>
      <c r="G101" s="26">
        <f t="shared" si="31"/>
        <v>2151.187931</v>
      </c>
      <c r="H101" s="26">
        <f t="shared" si="31"/>
        <v>2151.187931</v>
      </c>
      <c r="I101" s="26">
        <f t="shared" si="31"/>
        <v>2151.187931</v>
      </c>
      <c r="J101" s="26">
        <f t="shared" si="31"/>
        <v>2151.187931</v>
      </c>
      <c r="K101" s="26">
        <f t="shared" si="31"/>
        <v>2151.187931</v>
      </c>
      <c r="L101" s="26">
        <f t="shared" si="31"/>
        <v>2151.187931</v>
      </c>
      <c r="M101" s="26">
        <f t="shared" si="31"/>
        <v>2151.187931</v>
      </c>
      <c r="N101" s="26">
        <f t="shared" si="31"/>
        <v>2151.187931</v>
      </c>
      <c r="O101" s="26">
        <f>SUM(C101:N101)</f>
        <v>25814.25517</v>
      </c>
      <c r="P101" s="26">
        <f>C101*(1+Panel!$B$43)</f>
        <v>2402.876919</v>
      </c>
      <c r="Q101" s="26">
        <f t="shared" ref="Q101:AA101" si="32">P101</f>
        <v>2402.876919</v>
      </c>
      <c r="R101" s="26">
        <f t="shared" si="32"/>
        <v>2402.876919</v>
      </c>
      <c r="S101" s="26">
        <f t="shared" si="32"/>
        <v>2402.876919</v>
      </c>
      <c r="T101" s="26">
        <f t="shared" si="32"/>
        <v>2402.876919</v>
      </c>
      <c r="U101" s="26">
        <f t="shared" si="32"/>
        <v>2402.876919</v>
      </c>
      <c r="V101" s="26">
        <f t="shared" si="32"/>
        <v>2402.876919</v>
      </c>
      <c r="W101" s="26">
        <f t="shared" si="32"/>
        <v>2402.876919</v>
      </c>
      <c r="X101" s="26">
        <f t="shared" si="32"/>
        <v>2402.876919</v>
      </c>
      <c r="Y101" s="26">
        <f t="shared" si="32"/>
        <v>2402.876919</v>
      </c>
      <c r="Z101" s="26">
        <f t="shared" si="32"/>
        <v>2402.876919</v>
      </c>
      <c r="AA101" s="26">
        <f t="shared" si="32"/>
        <v>2402.876919</v>
      </c>
      <c r="AB101" s="26">
        <f>SUM(P101:AA101)</f>
        <v>28834.52303</v>
      </c>
      <c r="AC101" s="26">
        <f>P101*(1+Panel!$B$43)</f>
        <v>2684.013518</v>
      </c>
      <c r="AD101" s="26">
        <f t="shared" ref="AD101:AN101" si="33">AC101</f>
        <v>2684.013518</v>
      </c>
      <c r="AE101" s="26">
        <f t="shared" si="33"/>
        <v>2684.013518</v>
      </c>
      <c r="AF101" s="26">
        <f t="shared" si="33"/>
        <v>2684.013518</v>
      </c>
      <c r="AG101" s="26">
        <f t="shared" si="33"/>
        <v>2684.013518</v>
      </c>
      <c r="AH101" s="26">
        <f t="shared" si="33"/>
        <v>2684.013518</v>
      </c>
      <c r="AI101" s="26">
        <f t="shared" si="33"/>
        <v>2684.013518</v>
      </c>
      <c r="AJ101" s="26">
        <f t="shared" si="33"/>
        <v>2684.013518</v>
      </c>
      <c r="AK101" s="26">
        <f t="shared" si="33"/>
        <v>2684.013518</v>
      </c>
      <c r="AL101" s="26">
        <f t="shared" si="33"/>
        <v>2684.013518</v>
      </c>
      <c r="AM101" s="26">
        <f t="shared" si="33"/>
        <v>2684.013518</v>
      </c>
      <c r="AN101" s="26">
        <f t="shared" si="33"/>
        <v>2684.013518</v>
      </c>
      <c r="AO101" s="26">
        <f>SUM(AC101:AN101)</f>
        <v>32208.16222</v>
      </c>
      <c r="AP101" s="26">
        <f>AO101*(1+Panel!$B$43)</f>
        <v>35976.5172</v>
      </c>
      <c r="AQ101" s="26">
        <f>AP101*(1+Panel!$B$43)</f>
        <v>40185.76971</v>
      </c>
      <c r="AR101" s="26">
        <f>AQ101*(1+Panel!$B$43)</f>
        <v>44887.50477</v>
      </c>
      <c r="AS101" s="26">
        <f>AR101*(1+Panel!$B$43)</f>
        <v>50139.34283</v>
      </c>
      <c r="AT101" s="26">
        <f>AS101*(1+Panel!$B$43)</f>
        <v>56005.64594</v>
      </c>
      <c r="AU101" s="26">
        <f>AT101*(1+Panel!$B$43)</f>
        <v>62558.30652</v>
      </c>
      <c r="AV101" s="26">
        <f>AU101*(1+Panel!$B$43)</f>
        <v>69877.62838</v>
      </c>
      <c r="AW101" s="26">
        <f>AV101*(1+Panel!$B$43)</f>
        <v>78053.3109</v>
      </c>
      <c r="AX101" s="26">
        <f>AW101*(1+Panel!$B$43)</f>
        <v>87185.54827</v>
      </c>
      <c r="AY101" s="26">
        <f>AX101*(1+Panel!$B$43)</f>
        <v>97386.25742</v>
      </c>
      <c r="AZ101" s="26">
        <f>AY101*(1+Panel!$B$43)</f>
        <v>108780.4495</v>
      </c>
      <c r="BA101" s="26">
        <f>AZ101*(1+Panel!$B$43)</f>
        <v>121507.7621</v>
      </c>
      <c r="BB101" s="26">
        <f>BA101*(1+Panel!$B$43)</f>
        <v>135724.1703</v>
      </c>
      <c r="BC101" s="26">
        <f>BB101*(1+Panel!$B$43)</f>
        <v>151603.8982</v>
      </c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</row>
    <row r="102" ht="12.75" customHeight="1">
      <c r="A102" s="48"/>
      <c r="B102" s="48" t="s">
        <v>56</v>
      </c>
      <c r="C102" s="236">
        <f t="shared" ref="C102:BC102" si="34">SUM(C101)</f>
        <v>2151.187931</v>
      </c>
      <c r="D102" s="236">
        <f t="shared" si="34"/>
        <v>2151.187931</v>
      </c>
      <c r="E102" s="236">
        <f t="shared" si="34"/>
        <v>2151.187931</v>
      </c>
      <c r="F102" s="236">
        <f t="shared" si="34"/>
        <v>2151.187931</v>
      </c>
      <c r="G102" s="236">
        <f t="shared" si="34"/>
        <v>2151.187931</v>
      </c>
      <c r="H102" s="236">
        <f t="shared" si="34"/>
        <v>2151.187931</v>
      </c>
      <c r="I102" s="236">
        <f t="shared" si="34"/>
        <v>2151.187931</v>
      </c>
      <c r="J102" s="236">
        <f t="shared" si="34"/>
        <v>2151.187931</v>
      </c>
      <c r="K102" s="236">
        <f t="shared" si="34"/>
        <v>2151.187931</v>
      </c>
      <c r="L102" s="236">
        <f t="shared" si="34"/>
        <v>2151.187931</v>
      </c>
      <c r="M102" s="236">
        <f t="shared" si="34"/>
        <v>2151.187931</v>
      </c>
      <c r="N102" s="236">
        <f t="shared" si="34"/>
        <v>2151.187931</v>
      </c>
      <c r="O102" s="236">
        <f t="shared" si="34"/>
        <v>25814.25517</v>
      </c>
      <c r="P102" s="236">
        <f t="shared" si="34"/>
        <v>2402.876919</v>
      </c>
      <c r="Q102" s="236">
        <f t="shared" si="34"/>
        <v>2402.876919</v>
      </c>
      <c r="R102" s="236">
        <f t="shared" si="34"/>
        <v>2402.876919</v>
      </c>
      <c r="S102" s="236">
        <f t="shared" si="34"/>
        <v>2402.876919</v>
      </c>
      <c r="T102" s="236">
        <f t="shared" si="34"/>
        <v>2402.876919</v>
      </c>
      <c r="U102" s="236">
        <f t="shared" si="34"/>
        <v>2402.876919</v>
      </c>
      <c r="V102" s="236">
        <f t="shared" si="34"/>
        <v>2402.876919</v>
      </c>
      <c r="W102" s="236">
        <f t="shared" si="34"/>
        <v>2402.876919</v>
      </c>
      <c r="X102" s="236">
        <f t="shared" si="34"/>
        <v>2402.876919</v>
      </c>
      <c r="Y102" s="236">
        <f t="shared" si="34"/>
        <v>2402.876919</v>
      </c>
      <c r="Z102" s="236">
        <f t="shared" si="34"/>
        <v>2402.876919</v>
      </c>
      <c r="AA102" s="236">
        <f t="shared" si="34"/>
        <v>2402.876919</v>
      </c>
      <c r="AB102" s="236">
        <f t="shared" si="34"/>
        <v>28834.52303</v>
      </c>
      <c r="AC102" s="236">
        <f t="shared" si="34"/>
        <v>2684.013518</v>
      </c>
      <c r="AD102" s="236">
        <f t="shared" si="34"/>
        <v>2684.013518</v>
      </c>
      <c r="AE102" s="236">
        <f t="shared" si="34"/>
        <v>2684.013518</v>
      </c>
      <c r="AF102" s="236">
        <f t="shared" si="34"/>
        <v>2684.013518</v>
      </c>
      <c r="AG102" s="236">
        <f t="shared" si="34"/>
        <v>2684.013518</v>
      </c>
      <c r="AH102" s="236">
        <f t="shared" si="34"/>
        <v>2684.013518</v>
      </c>
      <c r="AI102" s="236">
        <f t="shared" si="34"/>
        <v>2684.013518</v>
      </c>
      <c r="AJ102" s="236">
        <f t="shared" si="34"/>
        <v>2684.013518</v>
      </c>
      <c r="AK102" s="236">
        <f t="shared" si="34"/>
        <v>2684.013518</v>
      </c>
      <c r="AL102" s="236">
        <f t="shared" si="34"/>
        <v>2684.013518</v>
      </c>
      <c r="AM102" s="236">
        <f t="shared" si="34"/>
        <v>2684.013518</v>
      </c>
      <c r="AN102" s="236">
        <f t="shared" si="34"/>
        <v>2684.013518</v>
      </c>
      <c r="AO102" s="236">
        <f t="shared" si="34"/>
        <v>32208.16222</v>
      </c>
      <c r="AP102" s="236">
        <f t="shared" si="34"/>
        <v>35976.5172</v>
      </c>
      <c r="AQ102" s="236">
        <f t="shared" si="34"/>
        <v>40185.76971</v>
      </c>
      <c r="AR102" s="236">
        <f t="shared" si="34"/>
        <v>44887.50477</v>
      </c>
      <c r="AS102" s="236">
        <f t="shared" si="34"/>
        <v>50139.34283</v>
      </c>
      <c r="AT102" s="236">
        <f t="shared" si="34"/>
        <v>56005.64594</v>
      </c>
      <c r="AU102" s="236">
        <f t="shared" si="34"/>
        <v>62558.30652</v>
      </c>
      <c r="AV102" s="236">
        <f t="shared" si="34"/>
        <v>69877.62838</v>
      </c>
      <c r="AW102" s="236">
        <f t="shared" si="34"/>
        <v>78053.3109</v>
      </c>
      <c r="AX102" s="236">
        <f t="shared" si="34"/>
        <v>87185.54827</v>
      </c>
      <c r="AY102" s="236">
        <f t="shared" si="34"/>
        <v>97386.25742</v>
      </c>
      <c r="AZ102" s="236">
        <f t="shared" si="34"/>
        <v>108780.4495</v>
      </c>
      <c r="BA102" s="236">
        <f t="shared" si="34"/>
        <v>121507.7621</v>
      </c>
      <c r="BB102" s="236">
        <f t="shared" si="34"/>
        <v>135724.1703</v>
      </c>
      <c r="BC102" s="236">
        <f t="shared" si="34"/>
        <v>151603.8982</v>
      </c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</row>
    <row r="106" ht="12.75" customHeight="1">
      <c r="A106" s="1" t="s">
        <v>229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</row>
    <row r="108" ht="12.75" customHeight="1">
      <c r="A108" s="2"/>
      <c r="B108" s="2" t="s">
        <v>205</v>
      </c>
      <c r="C108" s="24">
        <v>0.005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</row>
    <row r="110" ht="12.75" customHeight="1">
      <c r="A110" s="34" t="s">
        <v>42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</row>
    <row r="111" ht="12.75" customHeight="1">
      <c r="A111" s="223" t="s">
        <v>43</v>
      </c>
      <c r="B111" s="223" t="s">
        <v>58</v>
      </c>
      <c r="C111" s="59" t="s">
        <v>59</v>
      </c>
      <c r="D111" s="59" t="s">
        <v>60</v>
      </c>
      <c r="E111" s="59" t="s">
        <v>61</v>
      </c>
      <c r="F111" s="59" t="s">
        <v>62</v>
      </c>
      <c r="G111" s="59" t="s">
        <v>63</v>
      </c>
      <c r="H111" s="59" t="s">
        <v>64</v>
      </c>
      <c r="I111" s="59" t="s">
        <v>65</v>
      </c>
      <c r="J111" s="59" t="s">
        <v>66</v>
      </c>
      <c r="K111" s="59" t="s">
        <v>67</v>
      </c>
      <c r="L111" s="59" t="s">
        <v>68</v>
      </c>
      <c r="M111" s="59" t="s">
        <v>69</v>
      </c>
      <c r="N111" s="59" t="s">
        <v>70</v>
      </c>
      <c r="O111" s="162">
        <v>2026.0</v>
      </c>
      <c r="P111" s="162" t="s">
        <v>59</v>
      </c>
      <c r="Q111" s="162" t="s">
        <v>60</v>
      </c>
      <c r="R111" s="162" t="s">
        <v>61</v>
      </c>
      <c r="S111" s="162" t="s">
        <v>62</v>
      </c>
      <c r="T111" s="162" t="s">
        <v>63</v>
      </c>
      <c r="U111" s="162" t="s">
        <v>64</v>
      </c>
      <c r="V111" s="162" t="s">
        <v>65</v>
      </c>
      <c r="W111" s="162" t="s">
        <v>66</v>
      </c>
      <c r="X111" s="162" t="s">
        <v>67</v>
      </c>
      <c r="Y111" s="162" t="s">
        <v>68</v>
      </c>
      <c r="Z111" s="162" t="s">
        <v>69</v>
      </c>
      <c r="AA111" s="162" t="s">
        <v>70</v>
      </c>
      <c r="AB111" s="162">
        <v>2027.0</v>
      </c>
      <c r="AC111" s="162" t="s">
        <v>59</v>
      </c>
      <c r="AD111" s="162" t="s">
        <v>60</v>
      </c>
      <c r="AE111" s="162" t="s">
        <v>61</v>
      </c>
      <c r="AF111" s="162" t="s">
        <v>62</v>
      </c>
      <c r="AG111" s="162" t="s">
        <v>63</v>
      </c>
      <c r="AH111" s="162" t="s">
        <v>64</v>
      </c>
      <c r="AI111" s="162" t="s">
        <v>65</v>
      </c>
      <c r="AJ111" s="162" t="s">
        <v>66</v>
      </c>
      <c r="AK111" s="162" t="s">
        <v>67</v>
      </c>
      <c r="AL111" s="162" t="s">
        <v>68</v>
      </c>
      <c r="AM111" s="162" t="s">
        <v>69</v>
      </c>
      <c r="AN111" s="162" t="s">
        <v>70</v>
      </c>
      <c r="AO111" s="162">
        <v>2028.0</v>
      </c>
      <c r="AP111" s="162">
        <v>2029.0</v>
      </c>
      <c r="AQ111" s="162">
        <v>2030.0</v>
      </c>
      <c r="AR111" s="162">
        <v>2031.0</v>
      </c>
      <c r="AS111" s="162">
        <v>2032.0</v>
      </c>
      <c r="AT111" s="162">
        <v>2033.0</v>
      </c>
      <c r="AU111" s="162">
        <v>2034.0</v>
      </c>
      <c r="AV111" s="162">
        <v>2035.0</v>
      </c>
      <c r="AW111" s="162">
        <v>2036.0</v>
      </c>
      <c r="AX111" s="162">
        <v>2037.0</v>
      </c>
      <c r="AY111" s="162">
        <v>2038.0</v>
      </c>
      <c r="AZ111" s="162">
        <v>2039.0</v>
      </c>
      <c r="BA111" s="162">
        <v>2040.0</v>
      </c>
      <c r="BB111" s="162">
        <v>2041.0</v>
      </c>
      <c r="BC111" s="162">
        <v>2042.0</v>
      </c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</row>
    <row r="112" ht="12.75" customHeight="1">
      <c r="A112" s="2">
        <v>1.0</v>
      </c>
      <c r="B112" s="2" t="s">
        <v>196</v>
      </c>
      <c r="C112" s="26">
        <f>$C$108*'Выручка'!C13</f>
        <v>145.046497</v>
      </c>
      <c r="D112" s="26">
        <f>$C$108*'Выручка'!D13</f>
        <v>123.1174645</v>
      </c>
      <c r="E112" s="26">
        <f>$C$108*'Выручка'!E13</f>
        <v>193.444626</v>
      </c>
      <c r="F112" s="26">
        <f>$C$108*'Выручка'!F13</f>
        <v>114.0855063</v>
      </c>
      <c r="G112" s="26">
        <f>$C$108*'Выручка'!G13</f>
        <v>259.2881086</v>
      </c>
      <c r="H112" s="26">
        <f>$C$108*'Выручка'!H13</f>
        <v>291.7277675</v>
      </c>
      <c r="I112" s="26">
        <f>$C$108*'Выручка'!I13</f>
        <v>363.5517685</v>
      </c>
      <c r="J112" s="26">
        <f>$C$108*'Выручка'!J13</f>
        <v>363.5517685</v>
      </c>
      <c r="K112" s="26">
        <f>$C$108*'Выручка'!K13</f>
        <v>300.371608</v>
      </c>
      <c r="L112" s="26">
        <f>$C$108*'Выручка'!L13</f>
        <v>246.1428901</v>
      </c>
      <c r="M112" s="26">
        <f>$C$108*'Выручка'!M13</f>
        <v>193.1095503</v>
      </c>
      <c r="N112" s="26">
        <f>$C$108*'Выручка'!N13</f>
        <v>149.4544736</v>
      </c>
      <c r="O112" s="26">
        <f>$C$108*'Выручка'!O13</f>
        <v>2742.892029</v>
      </c>
      <c r="P112" s="26">
        <f>$C$108*'Выручка'!P13</f>
        <v>159.4061002</v>
      </c>
      <c r="Q112" s="26">
        <f>$C$108*'Выручка'!Q13</f>
        <v>135.3060935</v>
      </c>
      <c r="R112" s="26">
        <f>$C$108*'Выручка'!R13</f>
        <v>212.595644</v>
      </c>
      <c r="S112" s="26">
        <f>$C$108*'Выручка'!S13</f>
        <v>125.3799715</v>
      </c>
      <c r="T112" s="26">
        <f>$C$108*'Выручка'!T13</f>
        <v>284.9576314</v>
      </c>
      <c r="U112" s="26">
        <f>$C$108*'Выручка'!U13</f>
        <v>320.6088165</v>
      </c>
      <c r="V112" s="26">
        <f>$C$108*'Выручка'!V13</f>
        <v>399.5433936</v>
      </c>
      <c r="W112" s="26">
        <f>$C$108*'Выручка'!W13</f>
        <v>399.5433936</v>
      </c>
      <c r="X112" s="26">
        <f>$C$108*'Выручка'!X13</f>
        <v>330.1083972</v>
      </c>
      <c r="Y112" s="26">
        <f>$C$108*'Выручка'!Y13</f>
        <v>270.5110362</v>
      </c>
      <c r="Z112" s="26">
        <f>$C$108*'Выручка'!Z13</f>
        <v>212.2273958</v>
      </c>
      <c r="AA112" s="26">
        <f>$C$108*'Выручка'!AA13</f>
        <v>164.2504665</v>
      </c>
      <c r="AB112" s="26">
        <f>$C$108*'Выручка'!AB13</f>
        <v>3014.43834</v>
      </c>
      <c r="AC112" s="26">
        <f>$C$108*'Выручка'!AC13</f>
        <v>175.1873041</v>
      </c>
      <c r="AD112" s="26">
        <f>$C$108*'Выручка'!AD13</f>
        <v>148.7013967</v>
      </c>
      <c r="AE112" s="26">
        <f>$C$108*'Выручка'!AE13</f>
        <v>233.6426127</v>
      </c>
      <c r="AF112" s="26">
        <f>$C$108*'Выручка'!AF13</f>
        <v>137.7925886</v>
      </c>
      <c r="AG112" s="26">
        <f>$C$108*'Выручка'!AG13</f>
        <v>313.1684369</v>
      </c>
      <c r="AH112" s="26">
        <f>$C$108*'Выручка'!AH13</f>
        <v>352.3490893</v>
      </c>
      <c r="AI112" s="26">
        <f>$C$108*'Выручка'!AI13</f>
        <v>439.0981895</v>
      </c>
      <c r="AJ112" s="26">
        <f>$C$108*'Выручка'!AJ13</f>
        <v>439.0981895</v>
      </c>
      <c r="AK112" s="26">
        <f>$C$108*'Выручка'!AK13</f>
        <v>362.7891285</v>
      </c>
      <c r="AL112" s="26">
        <f>$C$108*'Выручка'!AL13</f>
        <v>297.2916288</v>
      </c>
      <c r="AM112" s="26">
        <f>$C$108*'Выручка'!AM13</f>
        <v>233.237908</v>
      </c>
      <c r="AN112" s="26">
        <f>$C$108*'Выручка'!AN13</f>
        <v>180.5112627</v>
      </c>
      <c r="AO112" s="26">
        <f>$C$108*'Выручка'!AO13</f>
        <v>3312.867735</v>
      </c>
      <c r="AP112" s="26">
        <f>$C$108*'Выручка'!AP13</f>
        <v>3640.841641</v>
      </c>
      <c r="AQ112" s="26">
        <f>$C$108*'Выручка'!AQ13</f>
        <v>4001.284964</v>
      </c>
      <c r="AR112" s="26">
        <f>$C$108*'Выручка'!AR13</f>
        <v>4397.412175</v>
      </c>
      <c r="AS112" s="26">
        <f>$C$108*'Выручка'!AS13</f>
        <v>4832.755981</v>
      </c>
      <c r="AT112" s="26">
        <f>$C$108*'Выручка'!AT13</f>
        <v>5311.198823</v>
      </c>
      <c r="AU112" s="26">
        <f>$C$108*'Выручка'!AU13</f>
        <v>5837.007506</v>
      </c>
      <c r="AV112" s="26">
        <f>$C$108*'Выручка'!AV13</f>
        <v>6414.871249</v>
      </c>
      <c r="AW112" s="26">
        <f>$C$108*'Выручка'!AW13</f>
        <v>7049.943503</v>
      </c>
      <c r="AX112" s="26">
        <f>$C$108*'Выручка'!AX13</f>
        <v>7747.88791</v>
      </c>
      <c r="AY112" s="26">
        <f>$C$108*'Выручка'!AY13</f>
        <v>8514.928813</v>
      </c>
      <c r="AZ112" s="26">
        <f>$C$108*'Выручка'!AZ13</f>
        <v>9357.906765</v>
      </c>
      <c r="BA112" s="26">
        <f>$C$108*'Выручка'!BA13</f>
        <v>10284.33953</v>
      </c>
      <c r="BB112" s="26">
        <f>$C$108*'Выручка'!BB13</f>
        <v>11302.48915</v>
      </c>
      <c r="BC112" s="26">
        <f>$C$108*'Выручка'!BC13</f>
        <v>12421.43557</v>
      </c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</row>
    <row r="113" ht="12.75" customHeight="1">
      <c r="A113" s="48"/>
      <c r="B113" s="48" t="s">
        <v>56</v>
      </c>
      <c r="C113" s="236">
        <f t="shared" ref="C113:BC113" si="35">SUM(C112)</f>
        <v>145.046497</v>
      </c>
      <c r="D113" s="236">
        <f t="shared" si="35"/>
        <v>123.1174645</v>
      </c>
      <c r="E113" s="236">
        <f t="shared" si="35"/>
        <v>193.444626</v>
      </c>
      <c r="F113" s="236">
        <f t="shared" si="35"/>
        <v>114.0855063</v>
      </c>
      <c r="G113" s="236">
        <f t="shared" si="35"/>
        <v>259.2881086</v>
      </c>
      <c r="H113" s="236">
        <f t="shared" si="35"/>
        <v>291.7277675</v>
      </c>
      <c r="I113" s="236">
        <f t="shared" si="35"/>
        <v>363.5517685</v>
      </c>
      <c r="J113" s="236">
        <f t="shared" si="35"/>
        <v>363.5517685</v>
      </c>
      <c r="K113" s="236">
        <f t="shared" si="35"/>
        <v>300.371608</v>
      </c>
      <c r="L113" s="236">
        <f t="shared" si="35"/>
        <v>246.1428901</v>
      </c>
      <c r="M113" s="236">
        <f t="shared" si="35"/>
        <v>193.1095503</v>
      </c>
      <c r="N113" s="236">
        <f t="shared" si="35"/>
        <v>149.4544736</v>
      </c>
      <c r="O113" s="236">
        <f t="shared" si="35"/>
        <v>2742.892029</v>
      </c>
      <c r="P113" s="236">
        <f t="shared" si="35"/>
        <v>159.4061002</v>
      </c>
      <c r="Q113" s="236">
        <f t="shared" si="35"/>
        <v>135.3060935</v>
      </c>
      <c r="R113" s="236">
        <f t="shared" si="35"/>
        <v>212.595644</v>
      </c>
      <c r="S113" s="236">
        <f t="shared" si="35"/>
        <v>125.3799715</v>
      </c>
      <c r="T113" s="236">
        <f t="shared" si="35"/>
        <v>284.9576314</v>
      </c>
      <c r="U113" s="236">
        <f t="shared" si="35"/>
        <v>320.6088165</v>
      </c>
      <c r="V113" s="236">
        <f t="shared" si="35"/>
        <v>399.5433936</v>
      </c>
      <c r="W113" s="236">
        <f t="shared" si="35"/>
        <v>399.5433936</v>
      </c>
      <c r="X113" s="236">
        <f t="shared" si="35"/>
        <v>330.1083972</v>
      </c>
      <c r="Y113" s="236">
        <f t="shared" si="35"/>
        <v>270.5110362</v>
      </c>
      <c r="Z113" s="236">
        <f t="shared" si="35"/>
        <v>212.2273958</v>
      </c>
      <c r="AA113" s="236">
        <f t="shared" si="35"/>
        <v>164.2504665</v>
      </c>
      <c r="AB113" s="236">
        <f t="shared" si="35"/>
        <v>3014.43834</v>
      </c>
      <c r="AC113" s="236">
        <f t="shared" si="35"/>
        <v>175.1873041</v>
      </c>
      <c r="AD113" s="236">
        <f t="shared" si="35"/>
        <v>148.7013967</v>
      </c>
      <c r="AE113" s="236">
        <f t="shared" si="35"/>
        <v>233.6426127</v>
      </c>
      <c r="AF113" s="236">
        <f t="shared" si="35"/>
        <v>137.7925886</v>
      </c>
      <c r="AG113" s="236">
        <f t="shared" si="35"/>
        <v>313.1684369</v>
      </c>
      <c r="AH113" s="236">
        <f t="shared" si="35"/>
        <v>352.3490893</v>
      </c>
      <c r="AI113" s="236">
        <f t="shared" si="35"/>
        <v>439.0981895</v>
      </c>
      <c r="AJ113" s="236">
        <f t="shared" si="35"/>
        <v>439.0981895</v>
      </c>
      <c r="AK113" s="236">
        <f t="shared" si="35"/>
        <v>362.7891285</v>
      </c>
      <c r="AL113" s="236">
        <f t="shared" si="35"/>
        <v>297.2916288</v>
      </c>
      <c r="AM113" s="236">
        <f t="shared" si="35"/>
        <v>233.237908</v>
      </c>
      <c r="AN113" s="236">
        <f t="shared" si="35"/>
        <v>180.5112627</v>
      </c>
      <c r="AO113" s="236">
        <f t="shared" si="35"/>
        <v>3312.867735</v>
      </c>
      <c r="AP113" s="236">
        <f t="shared" si="35"/>
        <v>3640.841641</v>
      </c>
      <c r="AQ113" s="236">
        <f t="shared" si="35"/>
        <v>4001.284964</v>
      </c>
      <c r="AR113" s="236">
        <f t="shared" si="35"/>
        <v>4397.412175</v>
      </c>
      <c r="AS113" s="236">
        <f t="shared" si="35"/>
        <v>4832.755981</v>
      </c>
      <c r="AT113" s="236">
        <f t="shared" si="35"/>
        <v>5311.198823</v>
      </c>
      <c r="AU113" s="236">
        <f t="shared" si="35"/>
        <v>5837.007506</v>
      </c>
      <c r="AV113" s="236">
        <f t="shared" si="35"/>
        <v>6414.871249</v>
      </c>
      <c r="AW113" s="236">
        <f t="shared" si="35"/>
        <v>7049.943503</v>
      </c>
      <c r="AX113" s="236">
        <f t="shared" si="35"/>
        <v>7747.88791</v>
      </c>
      <c r="AY113" s="236">
        <f t="shared" si="35"/>
        <v>8514.928813</v>
      </c>
      <c r="AZ113" s="236">
        <f t="shared" si="35"/>
        <v>9357.906765</v>
      </c>
      <c r="BA113" s="236">
        <f t="shared" si="35"/>
        <v>10284.33953</v>
      </c>
      <c r="BB113" s="236">
        <f t="shared" si="35"/>
        <v>11302.48915</v>
      </c>
      <c r="BC113" s="236">
        <f t="shared" si="35"/>
        <v>12421.43557</v>
      </c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</row>
    <row r="116" ht="12.75" customHeight="1">
      <c r="A116" s="1" t="s">
        <v>209</v>
      </c>
      <c r="B116" s="2"/>
      <c r="C116" s="2"/>
      <c r="D116" s="26"/>
      <c r="E116" s="26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</row>
    <row r="117" ht="12.75" customHeight="1">
      <c r="A117" s="2"/>
      <c r="B117" s="2"/>
      <c r="C117" s="2"/>
      <c r="D117" s="26"/>
      <c r="E117" s="26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</row>
    <row r="118" ht="12.75" customHeight="1">
      <c r="A118" s="1" t="s">
        <v>230</v>
      </c>
      <c r="B118" s="2"/>
      <c r="C118" s="2"/>
      <c r="D118" s="250">
        <v>0.015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</row>
    <row r="119" ht="12.75" customHeight="1">
      <c r="A119" s="2"/>
      <c r="B119" s="2"/>
      <c r="C119" s="2"/>
      <c r="D119" s="26"/>
      <c r="E119" s="26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</row>
    <row r="120" ht="12.75" customHeight="1">
      <c r="A120" s="34" t="s">
        <v>42</v>
      </c>
      <c r="B120" s="2"/>
      <c r="C120" s="2"/>
      <c r="D120" s="26"/>
      <c r="E120" s="26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</row>
    <row r="121" ht="12.75" customHeight="1">
      <c r="A121" s="239" t="s">
        <v>231</v>
      </c>
      <c r="B121" s="239" t="s">
        <v>232</v>
      </c>
      <c r="C121" s="239" t="s">
        <v>233</v>
      </c>
      <c r="D121" s="239" t="s">
        <v>234</v>
      </c>
      <c r="E121" s="239" t="s">
        <v>235</v>
      </c>
      <c r="F121" s="239" t="s">
        <v>236</v>
      </c>
      <c r="G121" s="239" t="s">
        <v>237</v>
      </c>
      <c r="H121" s="239" t="s">
        <v>238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</row>
    <row r="122" ht="12.75" customHeight="1">
      <c r="A122" s="251"/>
      <c r="B122" s="252">
        <v>1.0</v>
      </c>
      <c r="C122" s="253">
        <f>'Инвестиции'!C11/(1+Panel!B26)</f>
        <v>835539.2605</v>
      </c>
      <c r="D122" s="254">
        <f>F31*('Инвестиции'!C11/SUM('Инвестиции'!C11:C14))</f>
        <v>4818.334407</v>
      </c>
      <c r="E122" s="253">
        <v>0.0</v>
      </c>
      <c r="F122" s="253">
        <f t="shared" ref="F122:F294" si="36">C122-D122+E122</f>
        <v>830720.9261</v>
      </c>
      <c r="G122" s="255"/>
      <c r="H122" s="255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</row>
    <row r="123" ht="12.75" customHeight="1">
      <c r="A123" s="256"/>
      <c r="B123" s="2">
        <v>2.0</v>
      </c>
      <c r="C123" s="44">
        <f t="shared" ref="C123:C295" si="37">F122</f>
        <v>830720.9261</v>
      </c>
      <c r="D123" s="44">
        <f t="shared" ref="D123:D295" si="38">D122</f>
        <v>4818.334407</v>
      </c>
      <c r="E123" s="44">
        <v>0.0</v>
      </c>
      <c r="F123" s="44">
        <f t="shared" si="36"/>
        <v>825902.5917</v>
      </c>
      <c r="G123" s="26"/>
      <c r="H123" s="26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</row>
    <row r="124" ht="12.75" customHeight="1">
      <c r="A124" s="256"/>
      <c r="B124" s="2">
        <v>3.0</v>
      </c>
      <c r="C124" s="44">
        <f t="shared" si="37"/>
        <v>825902.5917</v>
      </c>
      <c r="D124" s="44">
        <f t="shared" si="38"/>
        <v>4818.334407</v>
      </c>
      <c r="E124" s="44">
        <v>0.0</v>
      </c>
      <c r="F124" s="44">
        <f t="shared" si="36"/>
        <v>821084.2573</v>
      </c>
      <c r="G124" s="26"/>
      <c r="H124" s="26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</row>
    <row r="125" ht="12.75" customHeight="1">
      <c r="A125" s="256"/>
      <c r="B125" s="2">
        <v>4.0</v>
      </c>
      <c r="C125" s="44">
        <f t="shared" si="37"/>
        <v>821084.2573</v>
      </c>
      <c r="D125" s="44">
        <f t="shared" si="38"/>
        <v>4818.334407</v>
      </c>
      <c r="E125" s="44">
        <v>0.0</v>
      </c>
      <c r="F125" s="44">
        <f t="shared" si="36"/>
        <v>816265.9229</v>
      </c>
      <c r="G125" s="26"/>
      <c r="H125" s="26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</row>
    <row r="126" ht="12.75" customHeight="1">
      <c r="A126" s="256"/>
      <c r="B126" s="2">
        <v>5.0</v>
      </c>
      <c r="C126" s="44">
        <f t="shared" si="37"/>
        <v>816265.9229</v>
      </c>
      <c r="D126" s="44">
        <f t="shared" si="38"/>
        <v>4818.334407</v>
      </c>
      <c r="E126" s="44">
        <v>0.0</v>
      </c>
      <c r="F126" s="44">
        <f t="shared" si="36"/>
        <v>811447.5885</v>
      </c>
      <c r="G126" s="26"/>
      <c r="H126" s="26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</row>
    <row r="127" ht="12.75" customHeight="1">
      <c r="A127" s="256"/>
      <c r="B127" s="2">
        <v>6.0</v>
      </c>
      <c r="C127" s="44">
        <f t="shared" si="37"/>
        <v>811447.5885</v>
      </c>
      <c r="D127" s="44">
        <f t="shared" si="38"/>
        <v>4818.334407</v>
      </c>
      <c r="E127" s="44">
        <v>0.0</v>
      </c>
      <c r="F127" s="44">
        <f t="shared" si="36"/>
        <v>806629.2541</v>
      </c>
      <c r="G127" s="26"/>
      <c r="H127" s="26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</row>
    <row r="128" ht="12.75" customHeight="1">
      <c r="A128" s="256"/>
      <c r="B128" s="2">
        <v>7.0</v>
      </c>
      <c r="C128" s="44">
        <f t="shared" si="37"/>
        <v>806629.2541</v>
      </c>
      <c r="D128" s="44">
        <f t="shared" si="38"/>
        <v>4818.334407</v>
      </c>
      <c r="E128" s="44">
        <v>0.0</v>
      </c>
      <c r="F128" s="44">
        <f t="shared" si="36"/>
        <v>801810.9197</v>
      </c>
      <c r="G128" s="26"/>
      <c r="H128" s="26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</row>
    <row r="129" ht="12.75" customHeight="1">
      <c r="A129" s="256"/>
      <c r="B129" s="2">
        <v>8.0</v>
      </c>
      <c r="C129" s="44">
        <f t="shared" si="37"/>
        <v>801810.9197</v>
      </c>
      <c r="D129" s="44">
        <f t="shared" si="38"/>
        <v>4818.334407</v>
      </c>
      <c r="E129" s="44">
        <v>0.0</v>
      </c>
      <c r="F129" s="44">
        <f t="shared" si="36"/>
        <v>796992.5852</v>
      </c>
      <c r="G129" s="26"/>
      <c r="H129" s="26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</row>
    <row r="130" ht="12.75" customHeight="1">
      <c r="A130" s="256"/>
      <c r="B130" s="2">
        <v>9.0</v>
      </c>
      <c r="C130" s="44">
        <f t="shared" si="37"/>
        <v>796992.5852</v>
      </c>
      <c r="D130" s="44">
        <f t="shared" si="38"/>
        <v>4818.334407</v>
      </c>
      <c r="E130" s="44">
        <v>0.0</v>
      </c>
      <c r="F130" s="44">
        <f t="shared" si="36"/>
        <v>792174.2508</v>
      </c>
      <c r="G130" s="26"/>
      <c r="H130" s="26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</row>
    <row r="131" ht="12.75" customHeight="1">
      <c r="A131" s="256"/>
      <c r="B131" s="2">
        <v>10.0</v>
      </c>
      <c r="C131" s="44">
        <f t="shared" si="37"/>
        <v>792174.2508</v>
      </c>
      <c r="D131" s="44">
        <f t="shared" si="38"/>
        <v>4818.334407</v>
      </c>
      <c r="E131" s="44">
        <v>0.0</v>
      </c>
      <c r="F131" s="44">
        <f t="shared" si="36"/>
        <v>787355.9164</v>
      </c>
      <c r="G131" s="26"/>
      <c r="H131" s="26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</row>
    <row r="132" ht="12.75" customHeight="1">
      <c r="A132" s="256"/>
      <c r="B132" s="2">
        <v>11.0</v>
      </c>
      <c r="C132" s="44">
        <f t="shared" si="37"/>
        <v>787355.9164</v>
      </c>
      <c r="D132" s="44">
        <f t="shared" si="38"/>
        <v>4818.334407</v>
      </c>
      <c r="E132" s="44">
        <v>0.0</v>
      </c>
      <c r="F132" s="44">
        <f t="shared" si="36"/>
        <v>782537.582</v>
      </c>
      <c r="G132" s="26"/>
      <c r="H132" s="26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</row>
    <row r="133" ht="12.75" customHeight="1">
      <c r="A133" s="257"/>
      <c r="B133" s="71">
        <v>12.0</v>
      </c>
      <c r="C133" s="258">
        <f t="shared" si="37"/>
        <v>782537.582</v>
      </c>
      <c r="D133" s="44">
        <f t="shared" si="38"/>
        <v>4818.334407</v>
      </c>
      <c r="E133" s="44">
        <v>0.0</v>
      </c>
      <c r="F133" s="44">
        <f t="shared" si="36"/>
        <v>777719.2476</v>
      </c>
      <c r="G133" s="72"/>
      <c r="H133" s="7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</row>
    <row r="134" ht="12.75" customHeight="1">
      <c r="A134" s="259">
        <v>2026.0</v>
      </c>
      <c r="B134" s="260">
        <v>1.0</v>
      </c>
      <c r="C134" s="261">
        <f t="shared" si="37"/>
        <v>777719.2476</v>
      </c>
      <c r="D134" s="262">
        <f t="shared" si="38"/>
        <v>4818.334407</v>
      </c>
      <c r="E134" s="261">
        <v>0.0</v>
      </c>
      <c r="F134" s="261">
        <f t="shared" si="36"/>
        <v>772900.9132</v>
      </c>
      <c r="G134" s="263">
        <f>SUM(C122:C134)/13</f>
        <v>806629.2541</v>
      </c>
      <c r="H134" s="263">
        <f>G134*$D$118</f>
        <v>12099.43881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</row>
    <row r="135" ht="12.75" customHeight="1">
      <c r="A135" s="256"/>
      <c r="B135" s="2">
        <v>2.0</v>
      </c>
      <c r="C135" s="44">
        <f t="shared" si="37"/>
        <v>772900.9132</v>
      </c>
      <c r="D135" s="44">
        <f t="shared" si="38"/>
        <v>4818.334407</v>
      </c>
      <c r="E135" s="44">
        <v>0.0</v>
      </c>
      <c r="F135" s="44">
        <f t="shared" si="36"/>
        <v>768082.5788</v>
      </c>
      <c r="G135" s="26"/>
      <c r="H135" s="26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</row>
    <row r="136" ht="12.75" customHeight="1">
      <c r="A136" s="256"/>
      <c r="B136" s="2">
        <v>3.0</v>
      </c>
      <c r="C136" s="44">
        <f t="shared" si="37"/>
        <v>768082.5788</v>
      </c>
      <c r="D136" s="44">
        <f t="shared" si="38"/>
        <v>4818.334407</v>
      </c>
      <c r="E136" s="44">
        <v>0.0</v>
      </c>
      <c r="F136" s="44">
        <f t="shared" si="36"/>
        <v>763264.2444</v>
      </c>
      <c r="G136" s="26"/>
      <c r="H136" s="26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</row>
    <row r="137" ht="12.75" customHeight="1">
      <c r="A137" s="256"/>
      <c r="B137" s="2">
        <v>4.0</v>
      </c>
      <c r="C137" s="44">
        <f t="shared" si="37"/>
        <v>763264.2444</v>
      </c>
      <c r="D137" s="44">
        <f t="shared" si="38"/>
        <v>4818.334407</v>
      </c>
      <c r="E137" s="44">
        <v>0.0</v>
      </c>
      <c r="F137" s="44">
        <f t="shared" si="36"/>
        <v>758445.91</v>
      </c>
      <c r="G137" s="26"/>
      <c r="H137" s="26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</row>
    <row r="138" ht="12.75" customHeight="1">
      <c r="A138" s="256"/>
      <c r="B138" s="2">
        <v>5.0</v>
      </c>
      <c r="C138" s="44">
        <f t="shared" si="37"/>
        <v>758445.91</v>
      </c>
      <c r="D138" s="44">
        <f t="shared" si="38"/>
        <v>4818.334407</v>
      </c>
      <c r="E138" s="44">
        <v>0.0</v>
      </c>
      <c r="F138" s="44">
        <f t="shared" si="36"/>
        <v>753627.5756</v>
      </c>
      <c r="G138" s="26"/>
      <c r="H138" s="26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</row>
    <row r="139" ht="12.75" customHeight="1">
      <c r="A139" s="256"/>
      <c r="B139" s="2">
        <v>6.0</v>
      </c>
      <c r="C139" s="44">
        <f t="shared" si="37"/>
        <v>753627.5756</v>
      </c>
      <c r="D139" s="44">
        <f t="shared" si="38"/>
        <v>4818.334407</v>
      </c>
      <c r="E139" s="44">
        <v>0.0</v>
      </c>
      <c r="F139" s="44">
        <f t="shared" si="36"/>
        <v>748809.2412</v>
      </c>
      <c r="G139" s="26"/>
      <c r="H139" s="26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</row>
    <row r="140" ht="12.75" customHeight="1">
      <c r="A140" s="256"/>
      <c r="B140" s="2">
        <v>7.0</v>
      </c>
      <c r="C140" s="44">
        <f t="shared" si="37"/>
        <v>748809.2412</v>
      </c>
      <c r="D140" s="44">
        <f t="shared" si="38"/>
        <v>4818.334407</v>
      </c>
      <c r="E140" s="44">
        <v>0.0</v>
      </c>
      <c r="F140" s="44">
        <f t="shared" si="36"/>
        <v>743990.9068</v>
      </c>
      <c r="G140" s="26"/>
      <c r="H140" s="26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</row>
    <row r="141" ht="12.75" customHeight="1">
      <c r="A141" s="256"/>
      <c r="B141" s="2">
        <v>8.0</v>
      </c>
      <c r="C141" s="44">
        <f t="shared" si="37"/>
        <v>743990.9068</v>
      </c>
      <c r="D141" s="44">
        <f t="shared" si="38"/>
        <v>4818.334407</v>
      </c>
      <c r="E141" s="44">
        <v>0.0</v>
      </c>
      <c r="F141" s="44">
        <f t="shared" si="36"/>
        <v>739172.5724</v>
      </c>
      <c r="G141" s="26"/>
      <c r="H141" s="26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</row>
    <row r="142" ht="12.75" customHeight="1">
      <c r="A142" s="256"/>
      <c r="B142" s="2">
        <v>9.0</v>
      </c>
      <c r="C142" s="44">
        <f t="shared" si="37"/>
        <v>739172.5724</v>
      </c>
      <c r="D142" s="44">
        <f t="shared" si="38"/>
        <v>4818.334407</v>
      </c>
      <c r="E142" s="44">
        <v>0.0</v>
      </c>
      <c r="F142" s="44">
        <f t="shared" si="36"/>
        <v>734354.238</v>
      </c>
      <c r="G142" s="26"/>
      <c r="H142" s="26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</row>
    <row r="143" ht="12.75" customHeight="1">
      <c r="A143" s="256"/>
      <c r="B143" s="2">
        <v>10.0</v>
      </c>
      <c r="C143" s="44">
        <f t="shared" si="37"/>
        <v>734354.238</v>
      </c>
      <c r="D143" s="44">
        <f t="shared" si="38"/>
        <v>4818.334407</v>
      </c>
      <c r="E143" s="44">
        <v>0.0</v>
      </c>
      <c r="F143" s="44">
        <f t="shared" si="36"/>
        <v>729535.9036</v>
      </c>
      <c r="G143" s="26"/>
      <c r="H143" s="26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</row>
    <row r="144" ht="12.75" customHeight="1">
      <c r="A144" s="256"/>
      <c r="B144" s="2">
        <v>11.0</v>
      </c>
      <c r="C144" s="44">
        <f t="shared" si="37"/>
        <v>729535.9036</v>
      </c>
      <c r="D144" s="44">
        <f t="shared" si="38"/>
        <v>4818.334407</v>
      </c>
      <c r="E144" s="44">
        <v>0.0</v>
      </c>
      <c r="F144" s="44">
        <f t="shared" si="36"/>
        <v>724717.5691</v>
      </c>
      <c r="G144" s="26"/>
      <c r="H144" s="26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</row>
    <row r="145" ht="12.75" customHeight="1">
      <c r="A145" s="257"/>
      <c r="B145" s="71">
        <v>12.0</v>
      </c>
      <c r="C145" s="258">
        <f t="shared" si="37"/>
        <v>724717.5691</v>
      </c>
      <c r="D145" s="44">
        <f t="shared" si="38"/>
        <v>4818.334407</v>
      </c>
      <c r="E145" s="44">
        <v>0.0</v>
      </c>
      <c r="F145" s="258">
        <f t="shared" si="36"/>
        <v>719899.2347</v>
      </c>
      <c r="G145" s="72"/>
      <c r="H145" s="7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</row>
    <row r="146" ht="12.75" customHeight="1">
      <c r="A146" s="259">
        <v>2027.0</v>
      </c>
      <c r="B146" s="260">
        <v>1.0</v>
      </c>
      <c r="C146" s="261">
        <f t="shared" si="37"/>
        <v>719899.2347</v>
      </c>
      <c r="D146" s="262">
        <f t="shared" si="38"/>
        <v>4818.334407</v>
      </c>
      <c r="E146" s="261">
        <v>0.0</v>
      </c>
      <c r="F146" s="261">
        <f t="shared" si="36"/>
        <v>715080.9003</v>
      </c>
      <c r="G146" s="263">
        <f>SUM(C134:C146)/13</f>
        <v>748809.2412</v>
      </c>
      <c r="H146" s="263">
        <f>G146*$D$118</f>
        <v>11232.13862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</row>
    <row r="147" ht="12.75" customHeight="1">
      <c r="A147" s="256"/>
      <c r="B147" s="2">
        <v>2.0</v>
      </c>
      <c r="C147" s="44">
        <f t="shared" si="37"/>
        <v>715080.9003</v>
      </c>
      <c r="D147" s="44">
        <f t="shared" si="38"/>
        <v>4818.334407</v>
      </c>
      <c r="E147" s="44">
        <v>0.0</v>
      </c>
      <c r="F147" s="44">
        <f t="shared" si="36"/>
        <v>710262.5659</v>
      </c>
      <c r="G147" s="26"/>
      <c r="H147" s="26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</row>
    <row r="148" ht="12.75" customHeight="1">
      <c r="A148" s="256"/>
      <c r="B148" s="2">
        <v>3.0</v>
      </c>
      <c r="C148" s="44">
        <f t="shared" si="37"/>
        <v>710262.5659</v>
      </c>
      <c r="D148" s="44">
        <f t="shared" si="38"/>
        <v>4818.334407</v>
      </c>
      <c r="E148" s="44">
        <v>0.0</v>
      </c>
      <c r="F148" s="44">
        <f t="shared" si="36"/>
        <v>705444.2315</v>
      </c>
      <c r="G148" s="26"/>
      <c r="H148" s="26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</row>
    <row r="149" ht="12.75" customHeight="1">
      <c r="A149" s="256"/>
      <c r="B149" s="2">
        <v>4.0</v>
      </c>
      <c r="C149" s="44">
        <f t="shared" si="37"/>
        <v>705444.2315</v>
      </c>
      <c r="D149" s="44">
        <f t="shared" si="38"/>
        <v>4818.334407</v>
      </c>
      <c r="E149" s="44">
        <v>0.0</v>
      </c>
      <c r="F149" s="44">
        <f t="shared" si="36"/>
        <v>700625.8971</v>
      </c>
      <c r="G149" s="26"/>
      <c r="H149" s="26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</row>
    <row r="150" ht="12.75" customHeight="1">
      <c r="A150" s="256"/>
      <c r="B150" s="2">
        <v>5.0</v>
      </c>
      <c r="C150" s="44">
        <f t="shared" si="37"/>
        <v>700625.8971</v>
      </c>
      <c r="D150" s="44">
        <f t="shared" si="38"/>
        <v>4818.334407</v>
      </c>
      <c r="E150" s="44">
        <v>0.0</v>
      </c>
      <c r="F150" s="44">
        <f t="shared" si="36"/>
        <v>695807.5627</v>
      </c>
      <c r="G150" s="26"/>
      <c r="H150" s="26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</row>
    <row r="151" ht="12.75" customHeight="1">
      <c r="A151" s="256"/>
      <c r="B151" s="2">
        <v>6.0</v>
      </c>
      <c r="C151" s="44">
        <f t="shared" si="37"/>
        <v>695807.5627</v>
      </c>
      <c r="D151" s="44">
        <f t="shared" si="38"/>
        <v>4818.334407</v>
      </c>
      <c r="E151" s="44">
        <v>0.0</v>
      </c>
      <c r="F151" s="44">
        <f t="shared" si="36"/>
        <v>690989.2283</v>
      </c>
      <c r="G151" s="26"/>
      <c r="H151" s="26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</row>
    <row r="152" ht="12.75" customHeight="1">
      <c r="A152" s="256"/>
      <c r="B152" s="2">
        <v>7.0</v>
      </c>
      <c r="C152" s="44">
        <f t="shared" si="37"/>
        <v>690989.2283</v>
      </c>
      <c r="D152" s="44">
        <f t="shared" si="38"/>
        <v>4818.334407</v>
      </c>
      <c r="E152" s="44">
        <v>0.0</v>
      </c>
      <c r="F152" s="44">
        <f t="shared" si="36"/>
        <v>686170.8939</v>
      </c>
      <c r="G152" s="26"/>
      <c r="H152" s="26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</row>
    <row r="153" ht="12.75" customHeight="1">
      <c r="A153" s="256"/>
      <c r="B153" s="2">
        <v>8.0</v>
      </c>
      <c r="C153" s="44">
        <f t="shared" si="37"/>
        <v>686170.8939</v>
      </c>
      <c r="D153" s="44">
        <f t="shared" si="38"/>
        <v>4818.334407</v>
      </c>
      <c r="E153" s="44">
        <v>0.0</v>
      </c>
      <c r="F153" s="44">
        <f t="shared" si="36"/>
        <v>681352.5595</v>
      </c>
      <c r="G153" s="26"/>
      <c r="H153" s="26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</row>
    <row r="154" ht="12.75" customHeight="1">
      <c r="A154" s="256"/>
      <c r="B154" s="2">
        <v>9.0</v>
      </c>
      <c r="C154" s="44">
        <f t="shared" si="37"/>
        <v>681352.5595</v>
      </c>
      <c r="D154" s="44">
        <f t="shared" si="38"/>
        <v>4818.334407</v>
      </c>
      <c r="E154" s="44">
        <v>0.0</v>
      </c>
      <c r="F154" s="44">
        <f t="shared" si="36"/>
        <v>676534.2251</v>
      </c>
      <c r="G154" s="26"/>
      <c r="H154" s="26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</row>
    <row r="155" ht="12.75" customHeight="1">
      <c r="A155" s="256"/>
      <c r="B155" s="2">
        <v>10.0</v>
      </c>
      <c r="C155" s="44">
        <f t="shared" si="37"/>
        <v>676534.2251</v>
      </c>
      <c r="D155" s="44">
        <f t="shared" si="38"/>
        <v>4818.334407</v>
      </c>
      <c r="E155" s="44">
        <v>0.0</v>
      </c>
      <c r="F155" s="44">
        <f t="shared" si="36"/>
        <v>671715.8907</v>
      </c>
      <c r="G155" s="26"/>
      <c r="H155" s="26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</row>
    <row r="156" ht="12.75" customHeight="1">
      <c r="A156" s="256"/>
      <c r="B156" s="2">
        <v>11.0</v>
      </c>
      <c r="C156" s="44">
        <f t="shared" si="37"/>
        <v>671715.8907</v>
      </c>
      <c r="D156" s="44">
        <f t="shared" si="38"/>
        <v>4818.334407</v>
      </c>
      <c r="E156" s="44">
        <v>0.0</v>
      </c>
      <c r="F156" s="44">
        <f t="shared" si="36"/>
        <v>666897.5563</v>
      </c>
      <c r="G156" s="26"/>
      <c r="H156" s="26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</row>
    <row r="157" ht="12.75" customHeight="1">
      <c r="A157" s="257"/>
      <c r="B157" s="71">
        <v>12.0</v>
      </c>
      <c r="C157" s="258">
        <f t="shared" si="37"/>
        <v>666897.5563</v>
      </c>
      <c r="D157" s="44">
        <f t="shared" si="38"/>
        <v>4818.334407</v>
      </c>
      <c r="E157" s="44">
        <v>0.0</v>
      </c>
      <c r="F157" s="44">
        <f t="shared" si="36"/>
        <v>662079.2219</v>
      </c>
      <c r="G157" s="72"/>
      <c r="H157" s="7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</row>
    <row r="158" ht="12.75" customHeight="1">
      <c r="A158" s="259">
        <v>2028.0</v>
      </c>
      <c r="B158" s="260">
        <v>1.0</v>
      </c>
      <c r="C158" s="261">
        <f t="shared" si="37"/>
        <v>662079.2219</v>
      </c>
      <c r="D158" s="262">
        <f t="shared" si="38"/>
        <v>4818.334407</v>
      </c>
      <c r="E158" s="261">
        <v>0.0</v>
      </c>
      <c r="F158" s="261">
        <f t="shared" si="36"/>
        <v>657260.8874</v>
      </c>
      <c r="G158" s="263">
        <f>SUM(C146:C158)/13</f>
        <v>690989.2283</v>
      </c>
      <c r="H158" s="263">
        <f>G158*$D$118</f>
        <v>10364.83842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</row>
    <row r="159" ht="12.75" customHeight="1">
      <c r="A159" s="256"/>
      <c r="B159" s="2">
        <v>2.0</v>
      </c>
      <c r="C159" s="44">
        <f t="shared" si="37"/>
        <v>657260.8874</v>
      </c>
      <c r="D159" s="44">
        <f t="shared" si="38"/>
        <v>4818.334407</v>
      </c>
      <c r="E159" s="44">
        <v>0.0</v>
      </c>
      <c r="F159" s="44">
        <f t="shared" si="36"/>
        <v>652442.553</v>
      </c>
      <c r="G159" s="26"/>
      <c r="H159" s="26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</row>
    <row r="160" ht="12.75" customHeight="1">
      <c r="A160" s="256"/>
      <c r="B160" s="2">
        <v>3.0</v>
      </c>
      <c r="C160" s="44">
        <f t="shared" si="37"/>
        <v>652442.553</v>
      </c>
      <c r="D160" s="44">
        <f t="shared" si="38"/>
        <v>4818.334407</v>
      </c>
      <c r="E160" s="44">
        <v>0.0</v>
      </c>
      <c r="F160" s="44">
        <f t="shared" si="36"/>
        <v>647624.2186</v>
      </c>
      <c r="G160" s="26"/>
      <c r="H160" s="26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</row>
    <row r="161" ht="12.75" customHeight="1">
      <c r="A161" s="256"/>
      <c r="B161" s="2">
        <v>4.0</v>
      </c>
      <c r="C161" s="44">
        <f t="shared" si="37"/>
        <v>647624.2186</v>
      </c>
      <c r="D161" s="44">
        <f t="shared" si="38"/>
        <v>4818.334407</v>
      </c>
      <c r="E161" s="44">
        <v>0.0</v>
      </c>
      <c r="F161" s="44">
        <f t="shared" si="36"/>
        <v>642805.8842</v>
      </c>
      <c r="G161" s="26"/>
      <c r="H161" s="26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</row>
    <row r="162" ht="12.75" customHeight="1">
      <c r="A162" s="256"/>
      <c r="B162" s="2">
        <v>5.0</v>
      </c>
      <c r="C162" s="44">
        <f t="shared" si="37"/>
        <v>642805.8842</v>
      </c>
      <c r="D162" s="44">
        <f t="shared" si="38"/>
        <v>4818.334407</v>
      </c>
      <c r="E162" s="44">
        <v>0.0</v>
      </c>
      <c r="F162" s="44">
        <f t="shared" si="36"/>
        <v>637987.5498</v>
      </c>
      <c r="G162" s="26"/>
      <c r="H162" s="26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</row>
    <row r="163" ht="12.75" customHeight="1">
      <c r="A163" s="256"/>
      <c r="B163" s="2">
        <v>6.0</v>
      </c>
      <c r="C163" s="44">
        <f t="shared" si="37"/>
        <v>637987.5498</v>
      </c>
      <c r="D163" s="44">
        <f t="shared" si="38"/>
        <v>4818.334407</v>
      </c>
      <c r="E163" s="44">
        <v>0.0</v>
      </c>
      <c r="F163" s="44">
        <f t="shared" si="36"/>
        <v>633169.2154</v>
      </c>
      <c r="G163" s="26"/>
      <c r="H163" s="26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</row>
    <row r="164" ht="12.75" customHeight="1">
      <c r="A164" s="256"/>
      <c r="B164" s="2">
        <v>7.0</v>
      </c>
      <c r="C164" s="44">
        <f t="shared" si="37"/>
        <v>633169.2154</v>
      </c>
      <c r="D164" s="44">
        <f t="shared" si="38"/>
        <v>4818.334407</v>
      </c>
      <c r="E164" s="44">
        <v>0.0</v>
      </c>
      <c r="F164" s="44">
        <f t="shared" si="36"/>
        <v>628350.881</v>
      </c>
      <c r="G164" s="26"/>
      <c r="H164" s="26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</row>
    <row r="165" ht="12.75" customHeight="1">
      <c r="A165" s="256"/>
      <c r="B165" s="2">
        <v>8.0</v>
      </c>
      <c r="C165" s="44">
        <f t="shared" si="37"/>
        <v>628350.881</v>
      </c>
      <c r="D165" s="44">
        <f t="shared" si="38"/>
        <v>4818.334407</v>
      </c>
      <c r="E165" s="44">
        <v>0.0</v>
      </c>
      <c r="F165" s="44">
        <f t="shared" si="36"/>
        <v>623532.5466</v>
      </c>
      <c r="G165" s="26"/>
      <c r="H165" s="26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</row>
    <row r="166" ht="12.75" customHeight="1">
      <c r="A166" s="256"/>
      <c r="B166" s="2">
        <v>9.0</v>
      </c>
      <c r="C166" s="44">
        <f t="shared" si="37"/>
        <v>623532.5466</v>
      </c>
      <c r="D166" s="44">
        <f t="shared" si="38"/>
        <v>4818.334407</v>
      </c>
      <c r="E166" s="44">
        <v>0.0</v>
      </c>
      <c r="F166" s="44">
        <f t="shared" si="36"/>
        <v>618714.2122</v>
      </c>
      <c r="G166" s="26"/>
      <c r="H166" s="26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</row>
    <row r="167" ht="12.75" customHeight="1">
      <c r="A167" s="256"/>
      <c r="B167" s="2">
        <v>10.0</v>
      </c>
      <c r="C167" s="44">
        <f t="shared" si="37"/>
        <v>618714.2122</v>
      </c>
      <c r="D167" s="44">
        <f t="shared" si="38"/>
        <v>4818.334407</v>
      </c>
      <c r="E167" s="44">
        <v>0.0</v>
      </c>
      <c r="F167" s="44">
        <f t="shared" si="36"/>
        <v>613895.8778</v>
      </c>
      <c r="G167" s="26"/>
      <c r="H167" s="26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</row>
    <row r="168" ht="12.75" customHeight="1">
      <c r="A168" s="256"/>
      <c r="B168" s="2">
        <v>11.0</v>
      </c>
      <c r="C168" s="44">
        <f t="shared" si="37"/>
        <v>613895.8778</v>
      </c>
      <c r="D168" s="44">
        <f t="shared" si="38"/>
        <v>4818.334407</v>
      </c>
      <c r="E168" s="44">
        <v>0.0</v>
      </c>
      <c r="F168" s="44">
        <f t="shared" si="36"/>
        <v>609077.5434</v>
      </c>
      <c r="G168" s="26"/>
      <c r="H168" s="26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</row>
    <row r="169" ht="12.75" customHeight="1">
      <c r="A169" s="257"/>
      <c r="B169" s="2">
        <v>12.0</v>
      </c>
      <c r="C169" s="44">
        <f t="shared" si="37"/>
        <v>609077.5434</v>
      </c>
      <c r="D169" s="44">
        <f t="shared" si="38"/>
        <v>4818.334407</v>
      </c>
      <c r="E169" s="44">
        <v>0.0</v>
      </c>
      <c r="F169" s="44">
        <f t="shared" si="36"/>
        <v>604259.209</v>
      </c>
      <c r="G169" s="26"/>
      <c r="H169" s="26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</row>
    <row r="170" ht="12.75" customHeight="1">
      <c r="A170" s="259">
        <v>2029.0</v>
      </c>
      <c r="B170" s="260">
        <v>1.0</v>
      </c>
      <c r="C170" s="261">
        <f t="shared" si="37"/>
        <v>604259.209</v>
      </c>
      <c r="D170" s="262">
        <f t="shared" si="38"/>
        <v>4818.334407</v>
      </c>
      <c r="E170" s="261">
        <v>0.0</v>
      </c>
      <c r="F170" s="261">
        <f t="shared" si="36"/>
        <v>599440.8746</v>
      </c>
      <c r="G170" s="263">
        <f>SUM(C158:C170)/13</f>
        <v>633169.2154</v>
      </c>
      <c r="H170" s="263">
        <f>G170*$D$118</f>
        <v>9497.538231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</row>
    <row r="171" ht="12.75" customHeight="1">
      <c r="A171" s="256"/>
      <c r="B171" s="2">
        <v>2.0</v>
      </c>
      <c r="C171" s="44">
        <f t="shared" si="37"/>
        <v>599440.8746</v>
      </c>
      <c r="D171" s="44">
        <f t="shared" si="38"/>
        <v>4818.334407</v>
      </c>
      <c r="E171" s="44">
        <v>0.0</v>
      </c>
      <c r="F171" s="44">
        <f t="shared" si="36"/>
        <v>594622.5402</v>
      </c>
      <c r="G171" s="26"/>
      <c r="H171" s="26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</row>
    <row r="172" ht="12.75" customHeight="1">
      <c r="A172" s="256"/>
      <c r="B172" s="2">
        <v>3.0</v>
      </c>
      <c r="C172" s="44">
        <f t="shared" si="37"/>
        <v>594622.5402</v>
      </c>
      <c r="D172" s="44">
        <f t="shared" si="38"/>
        <v>4818.334407</v>
      </c>
      <c r="E172" s="44">
        <v>0.0</v>
      </c>
      <c r="F172" s="44">
        <f t="shared" si="36"/>
        <v>589804.2058</v>
      </c>
      <c r="G172" s="26"/>
      <c r="H172" s="26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</row>
    <row r="173" ht="12.75" customHeight="1">
      <c r="A173" s="256"/>
      <c r="B173" s="2">
        <v>4.0</v>
      </c>
      <c r="C173" s="44">
        <f t="shared" si="37"/>
        <v>589804.2058</v>
      </c>
      <c r="D173" s="44">
        <f t="shared" si="38"/>
        <v>4818.334407</v>
      </c>
      <c r="E173" s="44">
        <v>0.0</v>
      </c>
      <c r="F173" s="44">
        <f t="shared" si="36"/>
        <v>584985.8713</v>
      </c>
      <c r="G173" s="26"/>
      <c r="H173" s="26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</row>
    <row r="174" ht="12.75" customHeight="1">
      <c r="A174" s="256"/>
      <c r="B174" s="2">
        <v>5.0</v>
      </c>
      <c r="C174" s="44">
        <f t="shared" si="37"/>
        <v>584985.8713</v>
      </c>
      <c r="D174" s="44">
        <f t="shared" si="38"/>
        <v>4818.334407</v>
      </c>
      <c r="E174" s="44">
        <v>0.0</v>
      </c>
      <c r="F174" s="44">
        <f t="shared" si="36"/>
        <v>580167.5369</v>
      </c>
      <c r="G174" s="26"/>
      <c r="H174" s="26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</row>
    <row r="175" ht="12.75" customHeight="1">
      <c r="A175" s="256"/>
      <c r="B175" s="2">
        <v>6.0</v>
      </c>
      <c r="C175" s="44">
        <f t="shared" si="37"/>
        <v>580167.5369</v>
      </c>
      <c r="D175" s="44">
        <f t="shared" si="38"/>
        <v>4818.334407</v>
      </c>
      <c r="E175" s="44">
        <v>0.0</v>
      </c>
      <c r="F175" s="44">
        <f t="shared" si="36"/>
        <v>575349.2025</v>
      </c>
      <c r="G175" s="26"/>
      <c r="H175" s="26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</row>
    <row r="176" ht="12.75" customHeight="1">
      <c r="A176" s="256"/>
      <c r="B176" s="2">
        <v>7.0</v>
      </c>
      <c r="C176" s="44">
        <f t="shared" si="37"/>
        <v>575349.2025</v>
      </c>
      <c r="D176" s="44">
        <f t="shared" si="38"/>
        <v>4818.334407</v>
      </c>
      <c r="E176" s="44">
        <v>0.0</v>
      </c>
      <c r="F176" s="44">
        <f t="shared" si="36"/>
        <v>570530.8681</v>
      </c>
      <c r="G176" s="26"/>
      <c r="H176" s="26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</row>
    <row r="177" ht="12.75" customHeight="1">
      <c r="A177" s="256"/>
      <c r="B177" s="2">
        <v>8.0</v>
      </c>
      <c r="C177" s="44">
        <f t="shared" si="37"/>
        <v>570530.8681</v>
      </c>
      <c r="D177" s="44">
        <f t="shared" si="38"/>
        <v>4818.334407</v>
      </c>
      <c r="E177" s="44">
        <v>0.0</v>
      </c>
      <c r="F177" s="44">
        <f t="shared" si="36"/>
        <v>565712.5337</v>
      </c>
      <c r="G177" s="26"/>
      <c r="H177" s="26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</row>
    <row r="178" ht="12.75" customHeight="1">
      <c r="A178" s="256"/>
      <c r="B178" s="2">
        <v>9.0</v>
      </c>
      <c r="C178" s="44">
        <f t="shared" si="37"/>
        <v>565712.5337</v>
      </c>
      <c r="D178" s="44">
        <f t="shared" si="38"/>
        <v>4818.334407</v>
      </c>
      <c r="E178" s="44">
        <v>0.0</v>
      </c>
      <c r="F178" s="44">
        <f t="shared" si="36"/>
        <v>560894.1993</v>
      </c>
      <c r="G178" s="26"/>
      <c r="H178" s="26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</row>
    <row r="179" ht="12.75" customHeight="1">
      <c r="A179" s="256"/>
      <c r="B179" s="2">
        <v>10.0</v>
      </c>
      <c r="C179" s="44">
        <f t="shared" si="37"/>
        <v>560894.1993</v>
      </c>
      <c r="D179" s="44">
        <f t="shared" si="38"/>
        <v>4818.334407</v>
      </c>
      <c r="E179" s="44">
        <v>0.0</v>
      </c>
      <c r="F179" s="44">
        <f t="shared" si="36"/>
        <v>556075.8649</v>
      </c>
      <c r="G179" s="26"/>
      <c r="H179" s="26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</row>
    <row r="180" ht="12.75" customHeight="1">
      <c r="A180" s="256"/>
      <c r="B180" s="2">
        <v>11.0</v>
      </c>
      <c r="C180" s="44">
        <f t="shared" si="37"/>
        <v>556075.8649</v>
      </c>
      <c r="D180" s="44">
        <f t="shared" si="38"/>
        <v>4818.334407</v>
      </c>
      <c r="E180" s="44">
        <v>0.0</v>
      </c>
      <c r="F180" s="44">
        <f t="shared" si="36"/>
        <v>551257.5305</v>
      </c>
      <c r="G180" s="26"/>
      <c r="H180" s="26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</row>
    <row r="181" ht="12.75" customHeight="1">
      <c r="A181" s="256"/>
      <c r="B181" s="71">
        <v>12.0</v>
      </c>
      <c r="C181" s="258">
        <f t="shared" si="37"/>
        <v>551257.5305</v>
      </c>
      <c r="D181" s="44">
        <f t="shared" si="38"/>
        <v>4818.334407</v>
      </c>
      <c r="E181" s="44">
        <v>0.0</v>
      </c>
      <c r="F181" s="44">
        <f t="shared" si="36"/>
        <v>546439.1961</v>
      </c>
      <c r="G181" s="72"/>
      <c r="H181" s="7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</row>
    <row r="182" ht="12.75" customHeight="1">
      <c r="A182" s="259">
        <v>2030.0</v>
      </c>
      <c r="B182" s="260">
        <v>1.0</v>
      </c>
      <c r="C182" s="261">
        <f t="shared" si="37"/>
        <v>546439.1961</v>
      </c>
      <c r="D182" s="262">
        <f t="shared" si="38"/>
        <v>4818.334407</v>
      </c>
      <c r="E182" s="261">
        <v>0.0</v>
      </c>
      <c r="F182" s="261">
        <f t="shared" si="36"/>
        <v>541620.8617</v>
      </c>
      <c r="G182" s="263">
        <f>SUM(C170:C182)/13</f>
        <v>575349.2025</v>
      </c>
      <c r="H182" s="263">
        <f>G182*$D$118</f>
        <v>8630.238038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</row>
    <row r="183" ht="12.75" customHeight="1">
      <c r="A183" s="256"/>
      <c r="B183" s="2">
        <v>2.0</v>
      </c>
      <c r="C183" s="44">
        <f t="shared" si="37"/>
        <v>541620.8617</v>
      </c>
      <c r="D183" s="44">
        <f t="shared" si="38"/>
        <v>4818.334407</v>
      </c>
      <c r="E183" s="44">
        <v>0.0</v>
      </c>
      <c r="F183" s="44">
        <f t="shared" si="36"/>
        <v>536802.5273</v>
      </c>
      <c r="G183" s="26"/>
      <c r="H183" s="26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</row>
    <row r="184" ht="12.75" customHeight="1">
      <c r="A184" s="256"/>
      <c r="B184" s="2">
        <v>3.0</v>
      </c>
      <c r="C184" s="44">
        <f t="shared" si="37"/>
        <v>536802.5273</v>
      </c>
      <c r="D184" s="44">
        <f t="shared" si="38"/>
        <v>4818.334407</v>
      </c>
      <c r="E184" s="44">
        <v>0.0</v>
      </c>
      <c r="F184" s="44">
        <f t="shared" si="36"/>
        <v>531984.1929</v>
      </c>
      <c r="G184" s="26"/>
      <c r="H184" s="26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</row>
    <row r="185" ht="12.75" customHeight="1">
      <c r="A185" s="256"/>
      <c r="B185" s="2">
        <v>4.0</v>
      </c>
      <c r="C185" s="44">
        <f t="shared" si="37"/>
        <v>531984.1929</v>
      </c>
      <c r="D185" s="44">
        <f t="shared" si="38"/>
        <v>4818.334407</v>
      </c>
      <c r="E185" s="44">
        <v>0.0</v>
      </c>
      <c r="F185" s="44">
        <f t="shared" si="36"/>
        <v>527165.8585</v>
      </c>
      <c r="G185" s="26"/>
      <c r="H185" s="26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</row>
    <row r="186" ht="12.75" customHeight="1">
      <c r="A186" s="256"/>
      <c r="B186" s="2">
        <v>5.0</v>
      </c>
      <c r="C186" s="44">
        <f t="shared" si="37"/>
        <v>527165.8585</v>
      </c>
      <c r="D186" s="44">
        <f t="shared" si="38"/>
        <v>4818.334407</v>
      </c>
      <c r="E186" s="44">
        <v>0.0</v>
      </c>
      <c r="F186" s="44">
        <f t="shared" si="36"/>
        <v>522347.5241</v>
      </c>
      <c r="G186" s="26"/>
      <c r="H186" s="26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</row>
    <row r="187" ht="12.75" customHeight="1">
      <c r="A187" s="256"/>
      <c r="B187" s="2">
        <v>6.0</v>
      </c>
      <c r="C187" s="44">
        <f t="shared" si="37"/>
        <v>522347.5241</v>
      </c>
      <c r="D187" s="44">
        <f t="shared" si="38"/>
        <v>4818.334407</v>
      </c>
      <c r="E187" s="44">
        <v>0.0</v>
      </c>
      <c r="F187" s="44">
        <f t="shared" si="36"/>
        <v>517529.1896</v>
      </c>
      <c r="G187" s="26"/>
      <c r="H187" s="26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</row>
    <row r="188" ht="12.75" customHeight="1">
      <c r="A188" s="256"/>
      <c r="B188" s="2">
        <v>7.0</v>
      </c>
      <c r="C188" s="44">
        <f t="shared" si="37"/>
        <v>517529.1896</v>
      </c>
      <c r="D188" s="44">
        <f t="shared" si="38"/>
        <v>4818.334407</v>
      </c>
      <c r="E188" s="44">
        <v>0.0</v>
      </c>
      <c r="F188" s="44">
        <f t="shared" si="36"/>
        <v>512710.8552</v>
      </c>
      <c r="G188" s="26"/>
      <c r="H188" s="26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</row>
    <row r="189" ht="12.75" customHeight="1">
      <c r="A189" s="256"/>
      <c r="B189" s="2">
        <v>8.0</v>
      </c>
      <c r="C189" s="44">
        <f t="shared" si="37"/>
        <v>512710.8552</v>
      </c>
      <c r="D189" s="44">
        <f t="shared" si="38"/>
        <v>4818.334407</v>
      </c>
      <c r="E189" s="44">
        <v>0.0</v>
      </c>
      <c r="F189" s="44">
        <f t="shared" si="36"/>
        <v>507892.5208</v>
      </c>
      <c r="G189" s="26"/>
      <c r="H189" s="26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</row>
    <row r="190" ht="12.75" customHeight="1">
      <c r="A190" s="256"/>
      <c r="B190" s="2">
        <v>9.0</v>
      </c>
      <c r="C190" s="44">
        <f t="shared" si="37"/>
        <v>507892.5208</v>
      </c>
      <c r="D190" s="44">
        <f t="shared" si="38"/>
        <v>4818.334407</v>
      </c>
      <c r="E190" s="44">
        <v>0.0</v>
      </c>
      <c r="F190" s="44">
        <f t="shared" si="36"/>
        <v>503074.1864</v>
      </c>
      <c r="G190" s="26"/>
      <c r="H190" s="26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</row>
    <row r="191" ht="12.75" customHeight="1">
      <c r="A191" s="256"/>
      <c r="B191" s="2">
        <v>10.0</v>
      </c>
      <c r="C191" s="44">
        <f t="shared" si="37"/>
        <v>503074.1864</v>
      </c>
      <c r="D191" s="44">
        <f t="shared" si="38"/>
        <v>4818.334407</v>
      </c>
      <c r="E191" s="44">
        <v>0.0</v>
      </c>
      <c r="F191" s="44">
        <f t="shared" si="36"/>
        <v>498255.852</v>
      </c>
      <c r="G191" s="26"/>
      <c r="H191" s="26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</row>
    <row r="192" ht="12.75" customHeight="1">
      <c r="A192" s="256"/>
      <c r="B192" s="2">
        <v>11.0</v>
      </c>
      <c r="C192" s="44">
        <f t="shared" si="37"/>
        <v>498255.852</v>
      </c>
      <c r="D192" s="44">
        <f t="shared" si="38"/>
        <v>4818.334407</v>
      </c>
      <c r="E192" s="44">
        <v>0.0</v>
      </c>
      <c r="F192" s="44">
        <f t="shared" si="36"/>
        <v>493437.5176</v>
      </c>
      <c r="G192" s="26"/>
      <c r="H192" s="26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</row>
    <row r="193" ht="12.75" customHeight="1">
      <c r="A193" s="257"/>
      <c r="B193" s="71">
        <v>12.0</v>
      </c>
      <c r="C193" s="258">
        <f t="shared" si="37"/>
        <v>493437.5176</v>
      </c>
      <c r="D193" s="44">
        <f t="shared" si="38"/>
        <v>4818.334407</v>
      </c>
      <c r="E193" s="44">
        <v>0.0</v>
      </c>
      <c r="F193" s="44">
        <f t="shared" si="36"/>
        <v>488619.1832</v>
      </c>
      <c r="G193" s="72"/>
      <c r="H193" s="7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</row>
    <row r="194" ht="12.75" customHeight="1">
      <c r="A194" s="259">
        <v>2031.0</v>
      </c>
      <c r="B194" s="260">
        <v>1.0</v>
      </c>
      <c r="C194" s="261">
        <f t="shared" si="37"/>
        <v>488619.1832</v>
      </c>
      <c r="D194" s="262">
        <f t="shared" si="38"/>
        <v>4818.334407</v>
      </c>
      <c r="E194" s="261">
        <v>0.0</v>
      </c>
      <c r="F194" s="261">
        <f t="shared" si="36"/>
        <v>483800.8488</v>
      </c>
      <c r="G194" s="263">
        <f>SUM(C182:C194)/13</f>
        <v>517529.1896</v>
      </c>
      <c r="H194" s="263">
        <f>G194*$D$118</f>
        <v>7762.937845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</row>
    <row r="195" ht="12.75" customHeight="1">
      <c r="A195" s="256"/>
      <c r="B195" s="2">
        <v>2.0</v>
      </c>
      <c r="C195" s="44">
        <f t="shared" si="37"/>
        <v>483800.8488</v>
      </c>
      <c r="D195" s="44">
        <f t="shared" si="38"/>
        <v>4818.334407</v>
      </c>
      <c r="E195" s="44">
        <v>0.0</v>
      </c>
      <c r="F195" s="44">
        <f t="shared" si="36"/>
        <v>478982.5144</v>
      </c>
      <c r="G195" s="26"/>
      <c r="H195" s="26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</row>
    <row r="196" ht="12.75" customHeight="1">
      <c r="A196" s="256"/>
      <c r="B196" s="2">
        <v>3.0</v>
      </c>
      <c r="C196" s="44">
        <f t="shared" si="37"/>
        <v>478982.5144</v>
      </c>
      <c r="D196" s="44">
        <f t="shared" si="38"/>
        <v>4818.334407</v>
      </c>
      <c r="E196" s="44">
        <v>0.0</v>
      </c>
      <c r="F196" s="44">
        <f t="shared" si="36"/>
        <v>474164.18</v>
      </c>
      <c r="G196" s="26"/>
      <c r="H196" s="26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</row>
    <row r="197" ht="12.75" customHeight="1">
      <c r="A197" s="256"/>
      <c r="B197" s="2">
        <v>4.0</v>
      </c>
      <c r="C197" s="44">
        <f t="shared" si="37"/>
        <v>474164.18</v>
      </c>
      <c r="D197" s="44">
        <f t="shared" si="38"/>
        <v>4818.334407</v>
      </c>
      <c r="E197" s="44">
        <v>0.0</v>
      </c>
      <c r="F197" s="44">
        <f t="shared" si="36"/>
        <v>469345.8456</v>
      </c>
      <c r="G197" s="26"/>
      <c r="H197" s="26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</row>
    <row r="198" ht="12.75" customHeight="1">
      <c r="A198" s="256"/>
      <c r="B198" s="2">
        <v>5.0</v>
      </c>
      <c r="C198" s="44">
        <f t="shared" si="37"/>
        <v>469345.8456</v>
      </c>
      <c r="D198" s="44">
        <f t="shared" si="38"/>
        <v>4818.334407</v>
      </c>
      <c r="E198" s="44">
        <v>0.0</v>
      </c>
      <c r="F198" s="44">
        <f t="shared" si="36"/>
        <v>464527.5112</v>
      </c>
      <c r="G198" s="26"/>
      <c r="H198" s="26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</row>
    <row r="199" ht="12.75" customHeight="1">
      <c r="A199" s="256"/>
      <c r="B199" s="2">
        <v>6.0</v>
      </c>
      <c r="C199" s="44">
        <f t="shared" si="37"/>
        <v>464527.5112</v>
      </c>
      <c r="D199" s="44">
        <f t="shared" si="38"/>
        <v>4818.334407</v>
      </c>
      <c r="E199" s="44">
        <v>0.0</v>
      </c>
      <c r="F199" s="44">
        <f t="shared" si="36"/>
        <v>459709.1768</v>
      </c>
      <c r="G199" s="26"/>
      <c r="H199" s="26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</row>
    <row r="200" ht="12.75" customHeight="1">
      <c r="A200" s="256"/>
      <c r="B200" s="2">
        <v>7.0</v>
      </c>
      <c r="C200" s="44">
        <f t="shared" si="37"/>
        <v>459709.1768</v>
      </c>
      <c r="D200" s="44">
        <f t="shared" si="38"/>
        <v>4818.334407</v>
      </c>
      <c r="E200" s="44">
        <v>0.0</v>
      </c>
      <c r="F200" s="44">
        <f t="shared" si="36"/>
        <v>454890.8424</v>
      </c>
      <c r="G200" s="26"/>
      <c r="H200" s="26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</row>
    <row r="201" ht="12.75" customHeight="1">
      <c r="A201" s="256"/>
      <c r="B201" s="2">
        <v>8.0</v>
      </c>
      <c r="C201" s="44">
        <f t="shared" si="37"/>
        <v>454890.8424</v>
      </c>
      <c r="D201" s="44">
        <f t="shared" si="38"/>
        <v>4818.334407</v>
      </c>
      <c r="E201" s="44">
        <v>0.0</v>
      </c>
      <c r="F201" s="44">
        <f t="shared" si="36"/>
        <v>450072.5079</v>
      </c>
      <c r="G201" s="26"/>
      <c r="H201" s="26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</row>
    <row r="202" ht="12.75" customHeight="1">
      <c r="A202" s="256"/>
      <c r="B202" s="2">
        <v>9.0</v>
      </c>
      <c r="C202" s="44">
        <f t="shared" si="37"/>
        <v>450072.5079</v>
      </c>
      <c r="D202" s="44">
        <f t="shared" si="38"/>
        <v>4818.334407</v>
      </c>
      <c r="E202" s="44">
        <v>0.0</v>
      </c>
      <c r="F202" s="44">
        <f t="shared" si="36"/>
        <v>445254.1735</v>
      </c>
      <c r="G202" s="26"/>
      <c r="H202" s="26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</row>
    <row r="203" ht="12.75" customHeight="1">
      <c r="A203" s="256"/>
      <c r="B203" s="2">
        <v>10.0</v>
      </c>
      <c r="C203" s="44">
        <f t="shared" si="37"/>
        <v>445254.1735</v>
      </c>
      <c r="D203" s="44">
        <f t="shared" si="38"/>
        <v>4818.334407</v>
      </c>
      <c r="E203" s="44">
        <v>0.0</v>
      </c>
      <c r="F203" s="44">
        <f t="shared" si="36"/>
        <v>440435.8391</v>
      </c>
      <c r="G203" s="26"/>
      <c r="H203" s="26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</row>
    <row r="204" ht="12.75" customHeight="1">
      <c r="A204" s="256"/>
      <c r="B204" s="2">
        <v>11.0</v>
      </c>
      <c r="C204" s="44">
        <f t="shared" si="37"/>
        <v>440435.8391</v>
      </c>
      <c r="D204" s="44">
        <f t="shared" si="38"/>
        <v>4818.334407</v>
      </c>
      <c r="E204" s="44">
        <v>0.0</v>
      </c>
      <c r="F204" s="44">
        <f t="shared" si="36"/>
        <v>435617.5047</v>
      </c>
      <c r="G204" s="26"/>
      <c r="H204" s="26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</row>
    <row r="205" ht="12.75" customHeight="1">
      <c r="A205" s="257"/>
      <c r="B205" s="71">
        <v>12.0</v>
      </c>
      <c r="C205" s="258">
        <f t="shared" si="37"/>
        <v>435617.5047</v>
      </c>
      <c r="D205" s="258">
        <f t="shared" si="38"/>
        <v>4818.334407</v>
      </c>
      <c r="E205" s="44">
        <v>0.0</v>
      </c>
      <c r="F205" s="44">
        <f t="shared" si="36"/>
        <v>430799.1703</v>
      </c>
      <c r="G205" s="72"/>
      <c r="H205" s="7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</row>
    <row r="206" ht="12.75" customHeight="1">
      <c r="A206" s="259">
        <v>2032.0</v>
      </c>
      <c r="B206" s="260">
        <v>1.0</v>
      </c>
      <c r="C206" s="261">
        <f t="shared" si="37"/>
        <v>430799.1703</v>
      </c>
      <c r="D206" s="258">
        <f t="shared" si="38"/>
        <v>4818.334407</v>
      </c>
      <c r="E206" s="261">
        <v>0.0</v>
      </c>
      <c r="F206" s="261">
        <f t="shared" si="36"/>
        <v>425980.8359</v>
      </c>
      <c r="G206" s="263">
        <f>SUM(C194:C206)/13</f>
        <v>459709.1768</v>
      </c>
      <c r="H206" s="263">
        <f>G206*$D$118</f>
        <v>6895.637651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</row>
    <row r="207" ht="12.75" customHeight="1">
      <c r="A207" s="256"/>
      <c r="B207" s="2">
        <v>2.0</v>
      </c>
      <c r="C207" s="44">
        <f t="shared" si="37"/>
        <v>425980.8359</v>
      </c>
      <c r="D207" s="44">
        <f t="shared" si="38"/>
        <v>4818.334407</v>
      </c>
      <c r="E207" s="44">
        <v>0.0</v>
      </c>
      <c r="F207" s="44">
        <f t="shared" si="36"/>
        <v>421162.5015</v>
      </c>
      <c r="G207" s="26"/>
      <c r="H207" s="26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</row>
    <row r="208" ht="12.75" customHeight="1">
      <c r="A208" s="256"/>
      <c r="B208" s="2">
        <v>3.0</v>
      </c>
      <c r="C208" s="44">
        <f t="shared" si="37"/>
        <v>421162.5015</v>
      </c>
      <c r="D208" s="44">
        <f t="shared" si="38"/>
        <v>4818.334407</v>
      </c>
      <c r="E208" s="44">
        <v>0.0</v>
      </c>
      <c r="F208" s="44">
        <f t="shared" si="36"/>
        <v>416344.1671</v>
      </c>
      <c r="G208" s="26"/>
      <c r="H208" s="26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</row>
    <row r="209" ht="12.75" customHeight="1">
      <c r="A209" s="256"/>
      <c r="B209" s="2">
        <v>4.0</v>
      </c>
      <c r="C209" s="44">
        <f t="shared" si="37"/>
        <v>416344.1671</v>
      </c>
      <c r="D209" s="44">
        <f t="shared" si="38"/>
        <v>4818.334407</v>
      </c>
      <c r="E209" s="44">
        <v>0.0</v>
      </c>
      <c r="F209" s="44">
        <f t="shared" si="36"/>
        <v>411525.8327</v>
      </c>
      <c r="G209" s="26"/>
      <c r="H209" s="26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</row>
    <row r="210" ht="12.75" customHeight="1">
      <c r="A210" s="256"/>
      <c r="B210" s="2">
        <v>5.0</v>
      </c>
      <c r="C210" s="44">
        <f t="shared" si="37"/>
        <v>411525.8327</v>
      </c>
      <c r="D210" s="44">
        <f t="shared" si="38"/>
        <v>4818.334407</v>
      </c>
      <c r="E210" s="44">
        <v>0.0</v>
      </c>
      <c r="F210" s="44">
        <f t="shared" si="36"/>
        <v>406707.4983</v>
      </c>
      <c r="G210" s="26"/>
      <c r="H210" s="26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</row>
    <row r="211" ht="12.75" customHeight="1">
      <c r="A211" s="256"/>
      <c r="B211" s="2">
        <v>6.0</v>
      </c>
      <c r="C211" s="44">
        <f t="shared" si="37"/>
        <v>406707.4983</v>
      </c>
      <c r="D211" s="44">
        <f t="shared" si="38"/>
        <v>4818.334407</v>
      </c>
      <c r="E211" s="44">
        <v>0.0</v>
      </c>
      <c r="F211" s="44">
        <f t="shared" si="36"/>
        <v>401889.1639</v>
      </c>
      <c r="G211" s="26"/>
      <c r="H211" s="26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</row>
    <row r="212" ht="12.75" customHeight="1">
      <c r="A212" s="256"/>
      <c r="B212" s="2">
        <v>7.0</v>
      </c>
      <c r="C212" s="44">
        <f t="shared" si="37"/>
        <v>401889.1639</v>
      </c>
      <c r="D212" s="44">
        <f t="shared" si="38"/>
        <v>4818.334407</v>
      </c>
      <c r="E212" s="44">
        <v>0.0</v>
      </c>
      <c r="F212" s="44">
        <f t="shared" si="36"/>
        <v>397070.8295</v>
      </c>
      <c r="G212" s="26"/>
      <c r="H212" s="26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</row>
    <row r="213" ht="12.75" customHeight="1">
      <c r="A213" s="256"/>
      <c r="B213" s="2">
        <v>8.0</v>
      </c>
      <c r="C213" s="44">
        <f t="shared" si="37"/>
        <v>397070.8295</v>
      </c>
      <c r="D213" s="44">
        <f t="shared" si="38"/>
        <v>4818.334407</v>
      </c>
      <c r="E213" s="44">
        <v>0.0</v>
      </c>
      <c r="F213" s="44">
        <f t="shared" si="36"/>
        <v>392252.4951</v>
      </c>
      <c r="G213" s="26"/>
      <c r="H213" s="26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</row>
    <row r="214" ht="12.75" customHeight="1">
      <c r="A214" s="256"/>
      <c r="B214" s="2">
        <v>9.0</v>
      </c>
      <c r="C214" s="44">
        <f t="shared" si="37"/>
        <v>392252.4951</v>
      </c>
      <c r="D214" s="44">
        <f t="shared" si="38"/>
        <v>4818.334407</v>
      </c>
      <c r="E214" s="44">
        <v>0.0</v>
      </c>
      <c r="F214" s="44">
        <f t="shared" si="36"/>
        <v>387434.1607</v>
      </c>
      <c r="G214" s="26"/>
      <c r="H214" s="26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</row>
    <row r="215" ht="12.75" customHeight="1">
      <c r="A215" s="256"/>
      <c r="B215" s="2">
        <v>10.0</v>
      </c>
      <c r="C215" s="44">
        <f t="shared" si="37"/>
        <v>387434.1607</v>
      </c>
      <c r="D215" s="44">
        <f t="shared" si="38"/>
        <v>4818.334407</v>
      </c>
      <c r="E215" s="44">
        <v>0.0</v>
      </c>
      <c r="F215" s="44">
        <f t="shared" si="36"/>
        <v>382615.8263</v>
      </c>
      <c r="G215" s="26"/>
      <c r="H215" s="26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</row>
    <row r="216" ht="12.75" customHeight="1">
      <c r="A216" s="256"/>
      <c r="B216" s="2">
        <v>11.0</v>
      </c>
      <c r="C216" s="44">
        <f t="shared" si="37"/>
        <v>382615.8263</v>
      </c>
      <c r="D216" s="44">
        <f t="shared" si="38"/>
        <v>4818.334407</v>
      </c>
      <c r="E216" s="44">
        <v>0.0</v>
      </c>
      <c r="F216" s="44">
        <f t="shared" si="36"/>
        <v>377797.4918</v>
      </c>
      <c r="G216" s="26"/>
      <c r="H216" s="26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</row>
    <row r="217" ht="12.75" customHeight="1">
      <c r="A217" s="257"/>
      <c r="B217" s="71">
        <v>12.0</v>
      </c>
      <c r="C217" s="258">
        <f t="shared" si="37"/>
        <v>377797.4918</v>
      </c>
      <c r="D217" s="44">
        <f t="shared" si="38"/>
        <v>4818.334407</v>
      </c>
      <c r="E217" s="44">
        <v>0.0</v>
      </c>
      <c r="F217" s="44">
        <f t="shared" si="36"/>
        <v>372979.1574</v>
      </c>
      <c r="G217" s="72"/>
      <c r="H217" s="7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</row>
    <row r="218" ht="12.75" customHeight="1">
      <c r="A218" s="259">
        <v>2033.0</v>
      </c>
      <c r="B218" s="260">
        <v>1.0</v>
      </c>
      <c r="C218" s="261">
        <f t="shared" si="37"/>
        <v>372979.1574</v>
      </c>
      <c r="D218" s="262">
        <f t="shared" si="38"/>
        <v>4818.334407</v>
      </c>
      <c r="E218" s="261">
        <v>0.0</v>
      </c>
      <c r="F218" s="261">
        <f t="shared" si="36"/>
        <v>368160.823</v>
      </c>
      <c r="G218" s="263">
        <f>SUM(C206:C218)/13</f>
        <v>401889.1639</v>
      </c>
      <c r="H218" s="263">
        <f>G218*$D$118</f>
        <v>6028.337458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</row>
    <row r="219" ht="12.75" customHeight="1">
      <c r="A219" s="256"/>
      <c r="B219" s="2">
        <v>2.0</v>
      </c>
      <c r="C219" s="44">
        <f t="shared" si="37"/>
        <v>368160.823</v>
      </c>
      <c r="D219" s="44">
        <f t="shared" si="38"/>
        <v>4818.334407</v>
      </c>
      <c r="E219" s="44">
        <v>0.0</v>
      </c>
      <c r="F219" s="44">
        <f t="shared" si="36"/>
        <v>363342.4886</v>
      </c>
      <c r="G219" s="26"/>
      <c r="H219" s="26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</row>
    <row r="220" ht="12.75" customHeight="1">
      <c r="A220" s="256"/>
      <c r="B220" s="2">
        <v>3.0</v>
      </c>
      <c r="C220" s="44">
        <f t="shared" si="37"/>
        <v>363342.4886</v>
      </c>
      <c r="D220" s="44">
        <f t="shared" si="38"/>
        <v>4818.334407</v>
      </c>
      <c r="E220" s="44">
        <v>0.0</v>
      </c>
      <c r="F220" s="44">
        <f t="shared" si="36"/>
        <v>358524.1542</v>
      </c>
      <c r="G220" s="26"/>
      <c r="H220" s="26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</row>
    <row r="221" ht="12.75" customHeight="1">
      <c r="A221" s="256"/>
      <c r="B221" s="2">
        <v>4.0</v>
      </c>
      <c r="C221" s="44">
        <f t="shared" si="37"/>
        <v>358524.1542</v>
      </c>
      <c r="D221" s="44">
        <f t="shared" si="38"/>
        <v>4818.334407</v>
      </c>
      <c r="E221" s="44">
        <v>0.0</v>
      </c>
      <c r="F221" s="44">
        <f t="shared" si="36"/>
        <v>353705.8198</v>
      </c>
      <c r="G221" s="26"/>
      <c r="H221" s="26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</row>
    <row r="222" ht="12.75" customHeight="1">
      <c r="A222" s="256"/>
      <c r="B222" s="2">
        <v>5.0</v>
      </c>
      <c r="C222" s="44">
        <f t="shared" si="37"/>
        <v>353705.8198</v>
      </c>
      <c r="D222" s="44">
        <f t="shared" si="38"/>
        <v>4818.334407</v>
      </c>
      <c r="E222" s="44">
        <v>0.0</v>
      </c>
      <c r="F222" s="44">
        <f t="shared" si="36"/>
        <v>348887.4854</v>
      </c>
      <c r="G222" s="26"/>
      <c r="H222" s="26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</row>
    <row r="223" ht="12.75" customHeight="1">
      <c r="A223" s="256"/>
      <c r="B223" s="2">
        <v>6.0</v>
      </c>
      <c r="C223" s="44">
        <f t="shared" si="37"/>
        <v>348887.4854</v>
      </c>
      <c r="D223" s="44">
        <f t="shared" si="38"/>
        <v>4818.334407</v>
      </c>
      <c r="E223" s="44">
        <v>0.0</v>
      </c>
      <c r="F223" s="44">
        <f t="shared" si="36"/>
        <v>344069.151</v>
      </c>
      <c r="G223" s="26"/>
      <c r="H223" s="26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</row>
    <row r="224" ht="12.75" customHeight="1">
      <c r="A224" s="256"/>
      <c r="B224" s="2">
        <v>7.0</v>
      </c>
      <c r="C224" s="44">
        <f t="shared" si="37"/>
        <v>344069.151</v>
      </c>
      <c r="D224" s="44">
        <f t="shared" si="38"/>
        <v>4818.334407</v>
      </c>
      <c r="E224" s="44">
        <v>0.0</v>
      </c>
      <c r="F224" s="44">
        <f t="shared" si="36"/>
        <v>339250.8166</v>
      </c>
      <c r="G224" s="26"/>
      <c r="H224" s="26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</row>
    <row r="225" ht="12.75" customHeight="1">
      <c r="A225" s="256"/>
      <c r="B225" s="2">
        <v>8.0</v>
      </c>
      <c r="C225" s="44">
        <f t="shared" si="37"/>
        <v>339250.8166</v>
      </c>
      <c r="D225" s="44">
        <f t="shared" si="38"/>
        <v>4818.334407</v>
      </c>
      <c r="E225" s="44">
        <v>0.0</v>
      </c>
      <c r="F225" s="44">
        <f t="shared" si="36"/>
        <v>334432.4822</v>
      </c>
      <c r="G225" s="26"/>
      <c r="H225" s="26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</row>
    <row r="226" ht="12.75" customHeight="1">
      <c r="A226" s="256"/>
      <c r="B226" s="2">
        <v>9.0</v>
      </c>
      <c r="C226" s="44">
        <f t="shared" si="37"/>
        <v>334432.4822</v>
      </c>
      <c r="D226" s="44">
        <f t="shared" si="38"/>
        <v>4818.334407</v>
      </c>
      <c r="E226" s="44">
        <v>0.0</v>
      </c>
      <c r="F226" s="44">
        <f t="shared" si="36"/>
        <v>329614.1478</v>
      </c>
      <c r="G226" s="26"/>
      <c r="H226" s="26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</row>
    <row r="227" ht="12.75" customHeight="1">
      <c r="A227" s="256"/>
      <c r="B227" s="2">
        <v>10.0</v>
      </c>
      <c r="C227" s="44">
        <f t="shared" si="37"/>
        <v>329614.1478</v>
      </c>
      <c r="D227" s="44">
        <f t="shared" si="38"/>
        <v>4818.334407</v>
      </c>
      <c r="E227" s="44">
        <v>0.0</v>
      </c>
      <c r="F227" s="44">
        <f t="shared" si="36"/>
        <v>324795.8134</v>
      </c>
      <c r="G227" s="26"/>
      <c r="H227" s="26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</row>
    <row r="228" ht="12.75" customHeight="1">
      <c r="A228" s="256"/>
      <c r="B228" s="2">
        <v>11.0</v>
      </c>
      <c r="C228" s="44">
        <f t="shared" si="37"/>
        <v>324795.8134</v>
      </c>
      <c r="D228" s="44">
        <f t="shared" si="38"/>
        <v>4818.334407</v>
      </c>
      <c r="E228" s="44">
        <v>0.0</v>
      </c>
      <c r="F228" s="44">
        <f t="shared" si="36"/>
        <v>319977.479</v>
      </c>
      <c r="G228" s="26"/>
      <c r="H228" s="26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</row>
    <row r="229" ht="12.75" customHeight="1">
      <c r="A229" s="257"/>
      <c r="B229" s="71">
        <v>12.0</v>
      </c>
      <c r="C229" s="258">
        <f t="shared" si="37"/>
        <v>319977.479</v>
      </c>
      <c r="D229" s="258">
        <f t="shared" si="38"/>
        <v>4818.334407</v>
      </c>
      <c r="E229" s="44">
        <v>0.0</v>
      </c>
      <c r="F229" s="44">
        <f t="shared" si="36"/>
        <v>315159.1446</v>
      </c>
      <c r="G229" s="72"/>
      <c r="H229" s="7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</row>
    <row r="230" ht="12.75" customHeight="1">
      <c r="A230" s="259">
        <v>2034.0</v>
      </c>
      <c r="B230" s="260">
        <v>1.0</v>
      </c>
      <c r="C230" s="261">
        <f t="shared" si="37"/>
        <v>315159.1446</v>
      </c>
      <c r="D230" s="258">
        <f t="shared" si="38"/>
        <v>4818.334407</v>
      </c>
      <c r="E230" s="261">
        <v>0.0</v>
      </c>
      <c r="F230" s="261">
        <f t="shared" si="36"/>
        <v>310340.8101</v>
      </c>
      <c r="G230" s="263">
        <f>SUM(C218:C230)/13</f>
        <v>344069.151</v>
      </c>
      <c r="H230" s="263">
        <f>G230*$D$118</f>
        <v>5161.037265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</row>
    <row r="231" ht="12.75" customHeight="1">
      <c r="A231" s="256"/>
      <c r="B231" s="2">
        <v>2.0</v>
      </c>
      <c r="C231" s="44">
        <f t="shared" si="37"/>
        <v>310340.8101</v>
      </c>
      <c r="D231" s="44">
        <f t="shared" si="38"/>
        <v>4818.334407</v>
      </c>
      <c r="E231" s="44">
        <v>0.0</v>
      </c>
      <c r="F231" s="44">
        <f t="shared" si="36"/>
        <v>305522.4757</v>
      </c>
      <c r="G231" s="26"/>
      <c r="H231" s="26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</row>
    <row r="232" ht="12.75" customHeight="1">
      <c r="A232" s="256"/>
      <c r="B232" s="2">
        <v>3.0</v>
      </c>
      <c r="C232" s="44">
        <f t="shared" si="37"/>
        <v>305522.4757</v>
      </c>
      <c r="D232" s="44">
        <f t="shared" si="38"/>
        <v>4818.334407</v>
      </c>
      <c r="E232" s="44">
        <v>0.0</v>
      </c>
      <c r="F232" s="44">
        <f t="shared" si="36"/>
        <v>300704.1413</v>
      </c>
      <c r="G232" s="26"/>
      <c r="H232" s="26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</row>
    <row r="233" ht="12.75" customHeight="1">
      <c r="A233" s="256"/>
      <c r="B233" s="2">
        <v>4.0</v>
      </c>
      <c r="C233" s="44">
        <f t="shared" si="37"/>
        <v>300704.1413</v>
      </c>
      <c r="D233" s="44">
        <f t="shared" si="38"/>
        <v>4818.334407</v>
      </c>
      <c r="E233" s="44">
        <v>0.0</v>
      </c>
      <c r="F233" s="44">
        <f t="shared" si="36"/>
        <v>295885.8069</v>
      </c>
      <c r="G233" s="26"/>
      <c r="H233" s="26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</row>
    <row r="234" ht="12.75" customHeight="1">
      <c r="A234" s="256"/>
      <c r="B234" s="2">
        <v>5.0</v>
      </c>
      <c r="C234" s="44">
        <f t="shared" si="37"/>
        <v>295885.8069</v>
      </c>
      <c r="D234" s="44">
        <f t="shared" si="38"/>
        <v>4818.334407</v>
      </c>
      <c r="E234" s="44">
        <v>0.0</v>
      </c>
      <c r="F234" s="44">
        <f t="shared" si="36"/>
        <v>291067.4725</v>
      </c>
      <c r="G234" s="26"/>
      <c r="H234" s="26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</row>
    <row r="235" ht="12.75" customHeight="1">
      <c r="A235" s="256"/>
      <c r="B235" s="2">
        <v>6.0</v>
      </c>
      <c r="C235" s="44">
        <f t="shared" si="37"/>
        <v>291067.4725</v>
      </c>
      <c r="D235" s="44">
        <f t="shared" si="38"/>
        <v>4818.334407</v>
      </c>
      <c r="E235" s="44">
        <v>0.0</v>
      </c>
      <c r="F235" s="44">
        <f t="shared" si="36"/>
        <v>286249.1381</v>
      </c>
      <c r="G235" s="26"/>
      <c r="H235" s="26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</row>
    <row r="236" ht="12.75" customHeight="1">
      <c r="A236" s="256"/>
      <c r="B236" s="2">
        <v>7.0</v>
      </c>
      <c r="C236" s="44">
        <f t="shared" si="37"/>
        <v>286249.1381</v>
      </c>
      <c r="D236" s="44">
        <f t="shared" si="38"/>
        <v>4818.334407</v>
      </c>
      <c r="E236" s="44">
        <v>0.0</v>
      </c>
      <c r="F236" s="44">
        <f t="shared" si="36"/>
        <v>281430.8037</v>
      </c>
      <c r="G236" s="26"/>
      <c r="H236" s="26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</row>
    <row r="237" ht="12.75" customHeight="1">
      <c r="A237" s="256"/>
      <c r="B237" s="2">
        <v>8.0</v>
      </c>
      <c r="C237" s="44">
        <f t="shared" si="37"/>
        <v>281430.8037</v>
      </c>
      <c r="D237" s="44">
        <f t="shared" si="38"/>
        <v>4818.334407</v>
      </c>
      <c r="E237" s="44">
        <v>0.0</v>
      </c>
      <c r="F237" s="44">
        <f t="shared" si="36"/>
        <v>276612.4693</v>
      </c>
      <c r="G237" s="26"/>
      <c r="H237" s="26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</row>
    <row r="238" ht="12.75" customHeight="1">
      <c r="A238" s="256"/>
      <c r="B238" s="2">
        <v>9.0</v>
      </c>
      <c r="C238" s="44">
        <f t="shared" si="37"/>
        <v>276612.4693</v>
      </c>
      <c r="D238" s="44">
        <f t="shared" si="38"/>
        <v>4818.334407</v>
      </c>
      <c r="E238" s="44">
        <v>0.0</v>
      </c>
      <c r="F238" s="44">
        <f t="shared" si="36"/>
        <v>271794.1349</v>
      </c>
      <c r="G238" s="26"/>
      <c r="H238" s="26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</row>
    <row r="239" ht="12.75" customHeight="1">
      <c r="A239" s="256"/>
      <c r="B239" s="2">
        <v>10.0</v>
      </c>
      <c r="C239" s="44">
        <f t="shared" si="37"/>
        <v>271794.1349</v>
      </c>
      <c r="D239" s="44">
        <f t="shared" si="38"/>
        <v>4818.334407</v>
      </c>
      <c r="E239" s="44">
        <v>0.0</v>
      </c>
      <c r="F239" s="44">
        <f t="shared" si="36"/>
        <v>266975.8005</v>
      </c>
      <c r="G239" s="26"/>
      <c r="H239" s="26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</row>
    <row r="240" ht="12.75" customHeight="1">
      <c r="A240" s="256"/>
      <c r="B240" s="2">
        <v>11.0</v>
      </c>
      <c r="C240" s="44">
        <f t="shared" si="37"/>
        <v>266975.8005</v>
      </c>
      <c r="D240" s="44">
        <f t="shared" si="38"/>
        <v>4818.334407</v>
      </c>
      <c r="E240" s="44">
        <v>0.0</v>
      </c>
      <c r="F240" s="44">
        <f t="shared" si="36"/>
        <v>262157.4661</v>
      </c>
      <c r="G240" s="26"/>
      <c r="H240" s="26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</row>
    <row r="241" ht="12.75" customHeight="1">
      <c r="A241" s="257"/>
      <c r="B241" s="71">
        <v>12.0</v>
      </c>
      <c r="C241" s="258">
        <f t="shared" si="37"/>
        <v>262157.4661</v>
      </c>
      <c r="D241" s="44">
        <f t="shared" si="38"/>
        <v>4818.334407</v>
      </c>
      <c r="E241" s="44">
        <v>0.0</v>
      </c>
      <c r="F241" s="44">
        <f t="shared" si="36"/>
        <v>257339.1317</v>
      </c>
      <c r="G241" s="72"/>
      <c r="H241" s="7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</row>
    <row r="242" ht="12.75" customHeight="1">
      <c r="A242" s="259">
        <v>2035.0</v>
      </c>
      <c r="B242" s="260">
        <v>1.0</v>
      </c>
      <c r="C242" s="261">
        <f t="shared" si="37"/>
        <v>257339.1317</v>
      </c>
      <c r="D242" s="262">
        <f t="shared" si="38"/>
        <v>4818.334407</v>
      </c>
      <c r="E242" s="261">
        <v>0.0</v>
      </c>
      <c r="F242" s="261">
        <f t="shared" si="36"/>
        <v>252520.7973</v>
      </c>
      <c r="G242" s="263">
        <f>SUM(C230:C242)/13</f>
        <v>286249.1381</v>
      </c>
      <c r="H242" s="263">
        <f>G242*$D$118</f>
        <v>4293.737072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</row>
    <row r="243" ht="12.75" customHeight="1">
      <c r="A243" s="256"/>
      <c r="B243" s="2">
        <v>2.0</v>
      </c>
      <c r="C243" s="44">
        <f t="shared" si="37"/>
        <v>252520.7973</v>
      </c>
      <c r="D243" s="44">
        <f t="shared" si="38"/>
        <v>4818.334407</v>
      </c>
      <c r="E243" s="44">
        <v>0.0</v>
      </c>
      <c r="F243" s="44">
        <f t="shared" si="36"/>
        <v>247702.4629</v>
      </c>
      <c r="G243" s="26"/>
      <c r="H243" s="26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</row>
    <row r="244" ht="12.75" customHeight="1">
      <c r="A244" s="256"/>
      <c r="B244" s="2">
        <v>3.0</v>
      </c>
      <c r="C244" s="44">
        <f t="shared" si="37"/>
        <v>247702.4629</v>
      </c>
      <c r="D244" s="44">
        <f t="shared" si="38"/>
        <v>4818.334407</v>
      </c>
      <c r="E244" s="44">
        <v>0.0</v>
      </c>
      <c r="F244" s="44">
        <f t="shared" si="36"/>
        <v>242884.1285</v>
      </c>
      <c r="G244" s="26"/>
      <c r="H244" s="26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</row>
    <row r="245" ht="12.75" customHeight="1">
      <c r="A245" s="256"/>
      <c r="B245" s="2">
        <v>4.0</v>
      </c>
      <c r="C245" s="44">
        <f t="shared" si="37"/>
        <v>242884.1285</v>
      </c>
      <c r="D245" s="44">
        <f t="shared" si="38"/>
        <v>4818.334407</v>
      </c>
      <c r="E245" s="44">
        <v>0.0</v>
      </c>
      <c r="F245" s="44">
        <f t="shared" si="36"/>
        <v>238065.794</v>
      </c>
      <c r="G245" s="26"/>
      <c r="H245" s="26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</row>
    <row r="246" ht="12.75" customHeight="1">
      <c r="A246" s="256"/>
      <c r="B246" s="2">
        <v>5.0</v>
      </c>
      <c r="C246" s="44">
        <f t="shared" si="37"/>
        <v>238065.794</v>
      </c>
      <c r="D246" s="44">
        <f t="shared" si="38"/>
        <v>4818.334407</v>
      </c>
      <c r="E246" s="44">
        <v>0.0</v>
      </c>
      <c r="F246" s="44">
        <f t="shared" si="36"/>
        <v>233247.4596</v>
      </c>
      <c r="G246" s="26"/>
      <c r="H246" s="26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</row>
    <row r="247" ht="12.75" customHeight="1">
      <c r="A247" s="256"/>
      <c r="B247" s="2">
        <v>6.0</v>
      </c>
      <c r="C247" s="44">
        <f t="shared" si="37"/>
        <v>233247.4596</v>
      </c>
      <c r="D247" s="44">
        <f t="shared" si="38"/>
        <v>4818.334407</v>
      </c>
      <c r="E247" s="44">
        <v>0.0</v>
      </c>
      <c r="F247" s="44">
        <f t="shared" si="36"/>
        <v>228429.1252</v>
      </c>
      <c r="G247" s="26"/>
      <c r="H247" s="26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</row>
    <row r="248" ht="12.75" customHeight="1">
      <c r="A248" s="256"/>
      <c r="B248" s="2">
        <v>7.0</v>
      </c>
      <c r="C248" s="44">
        <f t="shared" si="37"/>
        <v>228429.1252</v>
      </c>
      <c r="D248" s="44">
        <f t="shared" si="38"/>
        <v>4818.334407</v>
      </c>
      <c r="E248" s="44">
        <v>0.0</v>
      </c>
      <c r="F248" s="44">
        <f t="shared" si="36"/>
        <v>223610.7908</v>
      </c>
      <c r="G248" s="26"/>
      <c r="H248" s="26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</row>
    <row r="249" ht="12.75" customHeight="1">
      <c r="A249" s="256"/>
      <c r="B249" s="2">
        <v>8.0</v>
      </c>
      <c r="C249" s="44">
        <f t="shared" si="37"/>
        <v>223610.7908</v>
      </c>
      <c r="D249" s="44">
        <f t="shared" si="38"/>
        <v>4818.334407</v>
      </c>
      <c r="E249" s="44">
        <v>0.0</v>
      </c>
      <c r="F249" s="44">
        <f t="shared" si="36"/>
        <v>218792.4564</v>
      </c>
      <c r="G249" s="26"/>
      <c r="H249" s="26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</row>
    <row r="250" ht="12.75" customHeight="1">
      <c r="A250" s="256"/>
      <c r="B250" s="2">
        <v>9.0</v>
      </c>
      <c r="C250" s="44">
        <f t="shared" si="37"/>
        <v>218792.4564</v>
      </c>
      <c r="D250" s="44">
        <f t="shared" si="38"/>
        <v>4818.334407</v>
      </c>
      <c r="E250" s="44">
        <v>0.0</v>
      </c>
      <c r="F250" s="44">
        <f t="shared" si="36"/>
        <v>213974.122</v>
      </c>
      <c r="G250" s="26"/>
      <c r="H250" s="26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</row>
    <row r="251" ht="12.75" customHeight="1">
      <c r="A251" s="256"/>
      <c r="B251" s="2">
        <v>10.0</v>
      </c>
      <c r="C251" s="44">
        <f t="shared" si="37"/>
        <v>213974.122</v>
      </c>
      <c r="D251" s="44">
        <f t="shared" si="38"/>
        <v>4818.334407</v>
      </c>
      <c r="E251" s="44">
        <v>0.0</v>
      </c>
      <c r="F251" s="44">
        <f t="shared" si="36"/>
        <v>209155.7876</v>
      </c>
      <c r="G251" s="26"/>
      <c r="H251" s="26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</row>
    <row r="252" ht="12.75" customHeight="1">
      <c r="A252" s="256"/>
      <c r="B252" s="2">
        <v>11.0</v>
      </c>
      <c r="C252" s="44">
        <f t="shared" si="37"/>
        <v>209155.7876</v>
      </c>
      <c r="D252" s="44">
        <f t="shared" si="38"/>
        <v>4818.334407</v>
      </c>
      <c r="E252" s="44">
        <v>0.0</v>
      </c>
      <c r="F252" s="44">
        <f t="shared" si="36"/>
        <v>204337.4532</v>
      </c>
      <c r="G252" s="26"/>
      <c r="H252" s="26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</row>
    <row r="253" ht="12.75" customHeight="1">
      <c r="A253" s="257"/>
      <c r="B253" s="71">
        <v>12.0</v>
      </c>
      <c r="C253" s="258">
        <f t="shared" si="37"/>
        <v>204337.4532</v>
      </c>
      <c r="D253" s="258">
        <f t="shared" si="38"/>
        <v>4818.334407</v>
      </c>
      <c r="E253" s="44">
        <v>0.0</v>
      </c>
      <c r="F253" s="44">
        <f t="shared" si="36"/>
        <v>199519.1188</v>
      </c>
      <c r="G253" s="72"/>
      <c r="H253" s="7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</row>
    <row r="254" ht="12.75" customHeight="1">
      <c r="A254" s="259">
        <v>2036.0</v>
      </c>
      <c r="B254" s="260">
        <v>1.0</v>
      </c>
      <c r="C254" s="261">
        <f t="shared" si="37"/>
        <v>199519.1188</v>
      </c>
      <c r="D254" s="258">
        <f t="shared" si="38"/>
        <v>4818.334407</v>
      </c>
      <c r="E254" s="261">
        <v>0.0</v>
      </c>
      <c r="F254" s="261">
        <f t="shared" si="36"/>
        <v>194700.7844</v>
      </c>
      <c r="G254" s="263">
        <f>SUM(C242:C254)/13</f>
        <v>228429.1252</v>
      </c>
      <c r="H254" s="263">
        <f>G254*$D$118</f>
        <v>3426.436878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</row>
    <row r="255" ht="12.75" customHeight="1">
      <c r="A255" s="256"/>
      <c r="B255" s="2">
        <v>2.0</v>
      </c>
      <c r="C255" s="44">
        <f t="shared" si="37"/>
        <v>194700.7844</v>
      </c>
      <c r="D255" s="44">
        <f t="shared" si="38"/>
        <v>4818.334407</v>
      </c>
      <c r="E255" s="44">
        <v>0.0</v>
      </c>
      <c r="F255" s="44">
        <f t="shared" si="36"/>
        <v>189882.45</v>
      </c>
      <c r="G255" s="26"/>
      <c r="H255" s="26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</row>
    <row r="256" ht="12.75" customHeight="1">
      <c r="A256" s="256"/>
      <c r="B256" s="2">
        <v>3.0</v>
      </c>
      <c r="C256" s="44">
        <f t="shared" si="37"/>
        <v>189882.45</v>
      </c>
      <c r="D256" s="44">
        <f t="shared" si="38"/>
        <v>4818.334407</v>
      </c>
      <c r="E256" s="44">
        <v>0.0</v>
      </c>
      <c r="F256" s="44">
        <f t="shared" si="36"/>
        <v>185064.1156</v>
      </c>
      <c r="G256" s="26"/>
      <c r="H256" s="26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</row>
    <row r="257" ht="12.75" customHeight="1">
      <c r="A257" s="256"/>
      <c r="B257" s="2">
        <v>4.0</v>
      </c>
      <c r="C257" s="44">
        <f t="shared" si="37"/>
        <v>185064.1156</v>
      </c>
      <c r="D257" s="44">
        <f t="shared" si="38"/>
        <v>4818.334407</v>
      </c>
      <c r="E257" s="44">
        <v>0.0</v>
      </c>
      <c r="F257" s="44">
        <f t="shared" si="36"/>
        <v>180245.7812</v>
      </c>
      <c r="G257" s="26"/>
      <c r="H257" s="26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</row>
    <row r="258" ht="12.75" customHeight="1">
      <c r="A258" s="256"/>
      <c r="B258" s="2">
        <v>5.0</v>
      </c>
      <c r="C258" s="44">
        <f t="shared" si="37"/>
        <v>180245.7812</v>
      </c>
      <c r="D258" s="44">
        <f t="shared" si="38"/>
        <v>4818.334407</v>
      </c>
      <c r="E258" s="44">
        <v>0.0</v>
      </c>
      <c r="F258" s="44">
        <f t="shared" si="36"/>
        <v>175427.4468</v>
      </c>
      <c r="G258" s="26"/>
      <c r="H258" s="26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</row>
    <row r="259" ht="12.75" customHeight="1">
      <c r="A259" s="256"/>
      <c r="B259" s="2">
        <v>6.0</v>
      </c>
      <c r="C259" s="44">
        <f t="shared" si="37"/>
        <v>175427.4468</v>
      </c>
      <c r="D259" s="44">
        <f t="shared" si="38"/>
        <v>4818.334407</v>
      </c>
      <c r="E259" s="44">
        <v>0.0</v>
      </c>
      <c r="F259" s="44">
        <f t="shared" si="36"/>
        <v>170609.1123</v>
      </c>
      <c r="G259" s="26"/>
      <c r="H259" s="26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</row>
    <row r="260" ht="12.75" customHeight="1">
      <c r="A260" s="256"/>
      <c r="B260" s="2">
        <v>7.0</v>
      </c>
      <c r="C260" s="44">
        <f t="shared" si="37"/>
        <v>170609.1123</v>
      </c>
      <c r="D260" s="44">
        <f t="shared" si="38"/>
        <v>4818.334407</v>
      </c>
      <c r="E260" s="44">
        <v>0.0</v>
      </c>
      <c r="F260" s="44">
        <f t="shared" si="36"/>
        <v>165790.7779</v>
      </c>
      <c r="G260" s="26"/>
      <c r="H260" s="26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</row>
    <row r="261" ht="12.75" customHeight="1">
      <c r="A261" s="256"/>
      <c r="B261" s="2">
        <v>8.0</v>
      </c>
      <c r="C261" s="44">
        <f t="shared" si="37"/>
        <v>165790.7779</v>
      </c>
      <c r="D261" s="44">
        <f t="shared" si="38"/>
        <v>4818.334407</v>
      </c>
      <c r="E261" s="44">
        <v>0.0</v>
      </c>
      <c r="F261" s="44">
        <f t="shared" si="36"/>
        <v>160972.4435</v>
      </c>
      <c r="G261" s="26"/>
      <c r="H261" s="26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</row>
    <row r="262" ht="12.75" customHeight="1">
      <c r="A262" s="256"/>
      <c r="B262" s="2">
        <v>9.0</v>
      </c>
      <c r="C262" s="44">
        <f t="shared" si="37"/>
        <v>160972.4435</v>
      </c>
      <c r="D262" s="44">
        <f t="shared" si="38"/>
        <v>4818.334407</v>
      </c>
      <c r="E262" s="44">
        <v>0.0</v>
      </c>
      <c r="F262" s="44">
        <f t="shared" si="36"/>
        <v>156154.1091</v>
      </c>
      <c r="G262" s="26"/>
      <c r="H262" s="26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</row>
    <row r="263" ht="12.75" customHeight="1">
      <c r="A263" s="256"/>
      <c r="B263" s="2">
        <v>10.0</v>
      </c>
      <c r="C263" s="44">
        <f t="shared" si="37"/>
        <v>156154.1091</v>
      </c>
      <c r="D263" s="44">
        <f t="shared" si="38"/>
        <v>4818.334407</v>
      </c>
      <c r="E263" s="44">
        <v>0.0</v>
      </c>
      <c r="F263" s="44">
        <f t="shared" si="36"/>
        <v>151335.7747</v>
      </c>
      <c r="G263" s="26"/>
      <c r="H263" s="26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</row>
    <row r="264" ht="12.75" customHeight="1">
      <c r="A264" s="256"/>
      <c r="B264" s="2">
        <v>11.0</v>
      </c>
      <c r="C264" s="44">
        <f t="shared" si="37"/>
        <v>151335.7747</v>
      </c>
      <c r="D264" s="44">
        <f t="shared" si="38"/>
        <v>4818.334407</v>
      </c>
      <c r="E264" s="44">
        <v>0.0</v>
      </c>
      <c r="F264" s="44">
        <f t="shared" si="36"/>
        <v>146517.4403</v>
      </c>
      <c r="G264" s="26"/>
      <c r="H264" s="26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</row>
    <row r="265" ht="12.75" customHeight="1">
      <c r="A265" s="257"/>
      <c r="B265" s="71">
        <v>12.0</v>
      </c>
      <c r="C265" s="258">
        <f t="shared" si="37"/>
        <v>146517.4403</v>
      </c>
      <c r="D265" s="44">
        <f t="shared" si="38"/>
        <v>4818.334407</v>
      </c>
      <c r="E265" s="44">
        <v>0.0</v>
      </c>
      <c r="F265" s="44">
        <f t="shared" si="36"/>
        <v>141699.1059</v>
      </c>
      <c r="G265" s="72"/>
      <c r="H265" s="7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</row>
    <row r="266" ht="12.75" customHeight="1">
      <c r="A266" s="259">
        <v>2037.0</v>
      </c>
      <c r="B266" s="260">
        <v>1.0</v>
      </c>
      <c r="C266" s="261">
        <f t="shared" si="37"/>
        <v>141699.1059</v>
      </c>
      <c r="D266" s="262">
        <f t="shared" si="38"/>
        <v>4818.334407</v>
      </c>
      <c r="E266" s="261">
        <v>0.0</v>
      </c>
      <c r="F266" s="261">
        <f t="shared" si="36"/>
        <v>136880.7715</v>
      </c>
      <c r="G266" s="263">
        <f>SUM(C254:C266)/13</f>
        <v>170609.1123</v>
      </c>
      <c r="H266" s="263">
        <f>G266*$D$118</f>
        <v>2559.136685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</row>
    <row r="267" ht="12.75" customHeight="1">
      <c r="A267" s="256"/>
      <c r="B267" s="2">
        <v>2.0</v>
      </c>
      <c r="C267" s="44">
        <f t="shared" si="37"/>
        <v>136880.7715</v>
      </c>
      <c r="D267" s="44">
        <f t="shared" si="38"/>
        <v>4818.334407</v>
      </c>
      <c r="E267" s="44">
        <v>0.0</v>
      </c>
      <c r="F267" s="44">
        <f t="shared" si="36"/>
        <v>132062.4371</v>
      </c>
      <c r="G267" s="26"/>
      <c r="H267" s="26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</row>
    <row r="268" ht="12.75" customHeight="1">
      <c r="A268" s="256"/>
      <c r="B268" s="2">
        <v>3.0</v>
      </c>
      <c r="C268" s="44">
        <f t="shared" si="37"/>
        <v>132062.4371</v>
      </c>
      <c r="D268" s="44">
        <f t="shared" si="38"/>
        <v>4818.334407</v>
      </c>
      <c r="E268" s="44">
        <v>0.0</v>
      </c>
      <c r="F268" s="44">
        <f t="shared" si="36"/>
        <v>127244.1027</v>
      </c>
      <c r="G268" s="26"/>
      <c r="H268" s="26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</row>
    <row r="269" ht="12.75" customHeight="1">
      <c r="A269" s="256"/>
      <c r="B269" s="2">
        <v>4.0</v>
      </c>
      <c r="C269" s="44">
        <f t="shared" si="37"/>
        <v>127244.1027</v>
      </c>
      <c r="D269" s="44">
        <f t="shared" si="38"/>
        <v>4818.334407</v>
      </c>
      <c r="E269" s="44">
        <v>0.0</v>
      </c>
      <c r="F269" s="44">
        <f t="shared" si="36"/>
        <v>122425.7683</v>
      </c>
      <c r="G269" s="26"/>
      <c r="H269" s="26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</row>
    <row r="270" ht="12.75" customHeight="1">
      <c r="A270" s="256"/>
      <c r="B270" s="2">
        <v>5.0</v>
      </c>
      <c r="C270" s="44">
        <f t="shared" si="37"/>
        <v>122425.7683</v>
      </c>
      <c r="D270" s="44">
        <f t="shared" si="38"/>
        <v>4818.334407</v>
      </c>
      <c r="E270" s="44">
        <v>0.0</v>
      </c>
      <c r="F270" s="44">
        <f t="shared" si="36"/>
        <v>117607.4339</v>
      </c>
      <c r="G270" s="26"/>
      <c r="H270" s="26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</row>
    <row r="271" ht="12.75" customHeight="1">
      <c r="A271" s="256"/>
      <c r="B271" s="2">
        <v>6.0</v>
      </c>
      <c r="C271" s="44">
        <f t="shared" si="37"/>
        <v>117607.4339</v>
      </c>
      <c r="D271" s="44">
        <f t="shared" si="38"/>
        <v>4818.334407</v>
      </c>
      <c r="E271" s="44">
        <v>0.0</v>
      </c>
      <c r="F271" s="44">
        <f t="shared" si="36"/>
        <v>112789.0995</v>
      </c>
      <c r="G271" s="26"/>
      <c r="H271" s="26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</row>
    <row r="272" ht="12.75" customHeight="1">
      <c r="A272" s="256"/>
      <c r="B272" s="2">
        <v>7.0</v>
      </c>
      <c r="C272" s="44">
        <f t="shared" si="37"/>
        <v>112789.0995</v>
      </c>
      <c r="D272" s="44">
        <f t="shared" si="38"/>
        <v>4818.334407</v>
      </c>
      <c r="E272" s="44">
        <v>0.0</v>
      </c>
      <c r="F272" s="44">
        <f t="shared" si="36"/>
        <v>107970.7651</v>
      </c>
      <c r="G272" s="26"/>
      <c r="H272" s="26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</row>
    <row r="273" ht="12.75" customHeight="1">
      <c r="A273" s="256"/>
      <c r="B273" s="2">
        <v>8.0</v>
      </c>
      <c r="C273" s="44">
        <f t="shared" si="37"/>
        <v>107970.7651</v>
      </c>
      <c r="D273" s="44">
        <f t="shared" si="38"/>
        <v>4818.334407</v>
      </c>
      <c r="E273" s="44">
        <v>0.0</v>
      </c>
      <c r="F273" s="44">
        <f t="shared" si="36"/>
        <v>103152.4306</v>
      </c>
      <c r="G273" s="26"/>
      <c r="H273" s="26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</row>
    <row r="274" ht="12.75" customHeight="1">
      <c r="A274" s="256"/>
      <c r="B274" s="2">
        <v>9.0</v>
      </c>
      <c r="C274" s="44">
        <f t="shared" si="37"/>
        <v>103152.4306</v>
      </c>
      <c r="D274" s="44">
        <f t="shared" si="38"/>
        <v>4818.334407</v>
      </c>
      <c r="E274" s="44">
        <v>0.0</v>
      </c>
      <c r="F274" s="44">
        <f t="shared" si="36"/>
        <v>98334.09624</v>
      </c>
      <c r="G274" s="26"/>
      <c r="H274" s="26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</row>
    <row r="275" ht="12.75" customHeight="1">
      <c r="A275" s="256"/>
      <c r="B275" s="2">
        <v>10.0</v>
      </c>
      <c r="C275" s="44">
        <f t="shared" si="37"/>
        <v>98334.09624</v>
      </c>
      <c r="D275" s="44">
        <f t="shared" si="38"/>
        <v>4818.334407</v>
      </c>
      <c r="E275" s="44">
        <v>0.0</v>
      </c>
      <c r="F275" s="44">
        <f t="shared" si="36"/>
        <v>93515.76184</v>
      </c>
      <c r="G275" s="26"/>
      <c r="H275" s="26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</row>
    <row r="276" ht="12.75" customHeight="1">
      <c r="A276" s="256"/>
      <c r="B276" s="2">
        <v>11.0</v>
      </c>
      <c r="C276" s="44">
        <f t="shared" si="37"/>
        <v>93515.76184</v>
      </c>
      <c r="D276" s="44">
        <f t="shared" si="38"/>
        <v>4818.334407</v>
      </c>
      <c r="E276" s="44">
        <v>0.0</v>
      </c>
      <c r="F276" s="44">
        <f t="shared" si="36"/>
        <v>88697.42743</v>
      </c>
      <c r="G276" s="26"/>
      <c r="H276" s="26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</row>
    <row r="277" ht="12.75" customHeight="1">
      <c r="A277" s="257"/>
      <c r="B277" s="71">
        <v>12.0</v>
      </c>
      <c r="C277" s="258">
        <f t="shared" si="37"/>
        <v>88697.42743</v>
      </c>
      <c r="D277" s="258">
        <f t="shared" si="38"/>
        <v>4818.334407</v>
      </c>
      <c r="E277" s="44">
        <v>0.0</v>
      </c>
      <c r="F277" s="44">
        <f t="shared" si="36"/>
        <v>83879.09302</v>
      </c>
      <c r="G277" s="72"/>
      <c r="H277" s="7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</row>
    <row r="278" ht="12.75" customHeight="1">
      <c r="A278" s="259">
        <v>2038.0</v>
      </c>
      <c r="B278" s="260">
        <v>1.0</v>
      </c>
      <c r="C278" s="261">
        <f t="shared" si="37"/>
        <v>83879.09302</v>
      </c>
      <c r="D278" s="258">
        <f t="shared" si="38"/>
        <v>4818.334407</v>
      </c>
      <c r="E278" s="261">
        <v>0.0</v>
      </c>
      <c r="F278" s="261">
        <f t="shared" si="36"/>
        <v>79060.75862</v>
      </c>
      <c r="G278" s="263">
        <f>SUM(C266:C278)/13</f>
        <v>112789.0995</v>
      </c>
      <c r="H278" s="263">
        <f>G278*$D$118</f>
        <v>1691.836492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</row>
    <row r="279" ht="12.75" customHeight="1">
      <c r="A279" s="256"/>
      <c r="B279" s="2">
        <v>2.0</v>
      </c>
      <c r="C279" s="44">
        <f t="shared" si="37"/>
        <v>79060.75862</v>
      </c>
      <c r="D279" s="44">
        <f t="shared" si="38"/>
        <v>4818.334407</v>
      </c>
      <c r="E279" s="44">
        <v>0.0</v>
      </c>
      <c r="F279" s="44">
        <f t="shared" si="36"/>
        <v>74242.42421</v>
      </c>
      <c r="G279" s="26"/>
      <c r="H279" s="26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</row>
    <row r="280" ht="12.75" customHeight="1">
      <c r="A280" s="256"/>
      <c r="B280" s="2">
        <v>3.0</v>
      </c>
      <c r="C280" s="44">
        <f t="shared" si="37"/>
        <v>74242.42421</v>
      </c>
      <c r="D280" s="44">
        <f t="shared" si="38"/>
        <v>4818.334407</v>
      </c>
      <c r="E280" s="44">
        <v>0.0</v>
      </c>
      <c r="F280" s="44">
        <f t="shared" si="36"/>
        <v>69424.0898</v>
      </c>
      <c r="G280" s="26"/>
      <c r="H280" s="26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</row>
    <row r="281" ht="12.75" customHeight="1">
      <c r="A281" s="256"/>
      <c r="B281" s="2">
        <v>4.0</v>
      </c>
      <c r="C281" s="44">
        <f t="shared" si="37"/>
        <v>69424.0898</v>
      </c>
      <c r="D281" s="44">
        <f t="shared" si="38"/>
        <v>4818.334407</v>
      </c>
      <c r="E281" s="44">
        <v>0.0</v>
      </c>
      <c r="F281" s="44">
        <f t="shared" si="36"/>
        <v>64605.75539</v>
      </c>
      <c r="G281" s="26"/>
      <c r="H281" s="26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</row>
    <row r="282" ht="12.75" customHeight="1">
      <c r="A282" s="256"/>
      <c r="B282" s="2">
        <v>5.0</v>
      </c>
      <c r="C282" s="44">
        <f t="shared" si="37"/>
        <v>64605.75539</v>
      </c>
      <c r="D282" s="44">
        <f t="shared" si="38"/>
        <v>4818.334407</v>
      </c>
      <c r="E282" s="44">
        <v>0.0</v>
      </c>
      <c r="F282" s="44">
        <f t="shared" si="36"/>
        <v>59787.42099</v>
      </c>
      <c r="G282" s="26"/>
      <c r="H282" s="26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</row>
    <row r="283" ht="12.75" customHeight="1">
      <c r="A283" s="256"/>
      <c r="B283" s="2">
        <v>6.0</v>
      </c>
      <c r="C283" s="44">
        <f t="shared" si="37"/>
        <v>59787.42099</v>
      </c>
      <c r="D283" s="44">
        <f t="shared" si="38"/>
        <v>4818.334407</v>
      </c>
      <c r="E283" s="44">
        <v>0.0</v>
      </c>
      <c r="F283" s="44">
        <f t="shared" si="36"/>
        <v>54969.08658</v>
      </c>
      <c r="G283" s="26"/>
      <c r="H283" s="26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</row>
    <row r="284" ht="12.75" customHeight="1">
      <c r="A284" s="256"/>
      <c r="B284" s="2">
        <v>7.0</v>
      </c>
      <c r="C284" s="44">
        <f t="shared" si="37"/>
        <v>54969.08658</v>
      </c>
      <c r="D284" s="44">
        <f t="shared" si="38"/>
        <v>4818.334407</v>
      </c>
      <c r="E284" s="44">
        <v>0.0</v>
      </c>
      <c r="F284" s="44">
        <f t="shared" si="36"/>
        <v>50150.75217</v>
      </c>
      <c r="G284" s="26"/>
      <c r="H284" s="26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</row>
    <row r="285" ht="12.75" customHeight="1">
      <c r="A285" s="256"/>
      <c r="B285" s="2">
        <v>8.0</v>
      </c>
      <c r="C285" s="44">
        <f t="shared" si="37"/>
        <v>50150.75217</v>
      </c>
      <c r="D285" s="44">
        <f t="shared" si="38"/>
        <v>4818.334407</v>
      </c>
      <c r="E285" s="44">
        <v>0.0</v>
      </c>
      <c r="F285" s="44">
        <f t="shared" si="36"/>
        <v>45332.41777</v>
      </c>
      <c r="G285" s="26"/>
      <c r="H285" s="26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</row>
    <row r="286" ht="12.75" customHeight="1">
      <c r="A286" s="256"/>
      <c r="B286" s="2">
        <v>9.0</v>
      </c>
      <c r="C286" s="44">
        <f t="shared" si="37"/>
        <v>45332.41777</v>
      </c>
      <c r="D286" s="44">
        <f t="shared" si="38"/>
        <v>4818.334407</v>
      </c>
      <c r="E286" s="44">
        <v>0.0</v>
      </c>
      <c r="F286" s="44">
        <f t="shared" si="36"/>
        <v>40514.08336</v>
      </c>
      <c r="G286" s="26"/>
      <c r="H286" s="26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</row>
    <row r="287" ht="12.75" customHeight="1">
      <c r="A287" s="256"/>
      <c r="B287" s="2">
        <v>10.0</v>
      </c>
      <c r="C287" s="44">
        <f t="shared" si="37"/>
        <v>40514.08336</v>
      </c>
      <c r="D287" s="44">
        <f t="shared" si="38"/>
        <v>4818.334407</v>
      </c>
      <c r="E287" s="44">
        <v>0.0</v>
      </c>
      <c r="F287" s="44">
        <f t="shared" si="36"/>
        <v>35695.74895</v>
      </c>
      <c r="G287" s="26"/>
      <c r="H287" s="26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</row>
    <row r="288" ht="12.75" customHeight="1">
      <c r="A288" s="256"/>
      <c r="B288" s="2">
        <v>11.0</v>
      </c>
      <c r="C288" s="44">
        <f t="shared" si="37"/>
        <v>35695.74895</v>
      </c>
      <c r="D288" s="44">
        <f t="shared" si="38"/>
        <v>4818.334407</v>
      </c>
      <c r="E288" s="44">
        <v>0.0</v>
      </c>
      <c r="F288" s="44">
        <f t="shared" si="36"/>
        <v>30877.41455</v>
      </c>
      <c r="G288" s="26"/>
      <c r="H288" s="26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</row>
    <row r="289" ht="12.75" customHeight="1">
      <c r="A289" s="257"/>
      <c r="B289" s="71">
        <v>12.0</v>
      </c>
      <c r="C289" s="258">
        <f t="shared" si="37"/>
        <v>30877.41455</v>
      </c>
      <c r="D289" s="258">
        <f t="shared" si="38"/>
        <v>4818.334407</v>
      </c>
      <c r="E289" s="44">
        <v>0.0</v>
      </c>
      <c r="F289" s="44">
        <f t="shared" si="36"/>
        <v>26059.08014</v>
      </c>
      <c r="G289" s="72"/>
      <c r="H289" s="7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</row>
    <row r="290" ht="12.75" customHeight="1">
      <c r="A290" s="259">
        <v>2039.0</v>
      </c>
      <c r="B290" s="260">
        <v>1.0</v>
      </c>
      <c r="C290" s="261">
        <f t="shared" si="37"/>
        <v>26059.08014</v>
      </c>
      <c r="D290" s="258">
        <f t="shared" si="38"/>
        <v>4818.334407</v>
      </c>
      <c r="E290" s="261">
        <v>0.0</v>
      </c>
      <c r="F290" s="261">
        <f t="shared" si="36"/>
        <v>21240.74573</v>
      </c>
      <c r="G290" s="263">
        <f>SUM(C278:C290)/13</f>
        <v>54969.08658</v>
      </c>
      <c r="H290" s="263">
        <f>G290*$D$118</f>
        <v>824.5362987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</row>
    <row r="291" ht="12.75" customHeight="1">
      <c r="A291" s="256"/>
      <c r="B291" s="2">
        <v>2.0</v>
      </c>
      <c r="C291" s="44">
        <f t="shared" si="37"/>
        <v>21240.74573</v>
      </c>
      <c r="D291" s="44">
        <f t="shared" si="38"/>
        <v>4818.334407</v>
      </c>
      <c r="E291" s="44">
        <v>0.0</v>
      </c>
      <c r="F291" s="44">
        <f t="shared" si="36"/>
        <v>16422.41132</v>
      </c>
      <c r="G291" s="26"/>
      <c r="H291" s="26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</row>
    <row r="292" ht="12.75" customHeight="1">
      <c r="A292" s="256"/>
      <c r="B292" s="2">
        <v>3.0</v>
      </c>
      <c r="C292" s="44">
        <f t="shared" si="37"/>
        <v>16422.41132</v>
      </c>
      <c r="D292" s="44">
        <f t="shared" si="38"/>
        <v>4818.334407</v>
      </c>
      <c r="E292" s="44">
        <v>0.0</v>
      </c>
      <c r="F292" s="44">
        <f t="shared" si="36"/>
        <v>11604.07692</v>
      </c>
      <c r="G292" s="26"/>
      <c r="H292" s="26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</row>
    <row r="293" ht="12.75" customHeight="1">
      <c r="A293" s="256"/>
      <c r="B293" s="2">
        <v>4.0</v>
      </c>
      <c r="C293" s="44">
        <f t="shared" si="37"/>
        <v>11604.07692</v>
      </c>
      <c r="D293" s="44">
        <f t="shared" si="38"/>
        <v>4818.334407</v>
      </c>
      <c r="E293" s="44">
        <v>0.0</v>
      </c>
      <c r="F293" s="44">
        <f t="shared" si="36"/>
        <v>6785.742511</v>
      </c>
      <c r="G293" s="26"/>
      <c r="H293" s="26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</row>
    <row r="294" ht="12.75" customHeight="1">
      <c r="A294" s="256"/>
      <c r="B294" s="2">
        <v>5.0</v>
      </c>
      <c r="C294" s="44">
        <f t="shared" si="37"/>
        <v>6785.742511</v>
      </c>
      <c r="D294" s="44">
        <f t="shared" si="38"/>
        <v>4818.334407</v>
      </c>
      <c r="E294" s="44">
        <v>0.0</v>
      </c>
      <c r="F294" s="44">
        <f t="shared" si="36"/>
        <v>1967.408104</v>
      </c>
      <c r="G294" s="26"/>
      <c r="H294" s="26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</row>
    <row r="295" ht="12.75" customHeight="1">
      <c r="A295" s="256"/>
      <c r="B295" s="2">
        <v>6.0</v>
      </c>
      <c r="C295" s="44">
        <f t="shared" si="37"/>
        <v>1967.408104</v>
      </c>
      <c r="D295" s="44">
        <f t="shared" si="38"/>
        <v>4818.334407</v>
      </c>
      <c r="E295" s="44">
        <v>0.0</v>
      </c>
      <c r="F295" s="44"/>
      <c r="G295" s="26"/>
      <c r="H295" s="26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</row>
    <row r="296" ht="12.75" customHeight="1">
      <c r="A296" s="256"/>
      <c r="B296" s="2">
        <v>7.0</v>
      </c>
      <c r="C296" s="44"/>
      <c r="D296" s="44"/>
      <c r="E296" s="44"/>
      <c r="F296" s="44"/>
      <c r="G296" s="26"/>
      <c r="H296" s="26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</row>
    <row r="297" ht="12.75" customHeight="1">
      <c r="A297" s="256"/>
      <c r="B297" s="2">
        <v>8.0</v>
      </c>
      <c r="C297" s="44"/>
      <c r="D297" s="44"/>
      <c r="E297" s="44"/>
      <c r="F297" s="44"/>
      <c r="G297" s="26"/>
      <c r="H297" s="26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</row>
    <row r="298" ht="12.75" customHeight="1">
      <c r="A298" s="256"/>
      <c r="B298" s="2">
        <v>9.0</v>
      </c>
      <c r="C298" s="44"/>
      <c r="D298" s="44"/>
      <c r="E298" s="44"/>
      <c r="F298" s="44"/>
      <c r="G298" s="26"/>
      <c r="H298" s="26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</row>
    <row r="299" ht="12.75" customHeight="1">
      <c r="A299" s="256"/>
      <c r="B299" s="2">
        <v>10.0</v>
      </c>
      <c r="C299" s="44"/>
      <c r="D299" s="44"/>
      <c r="E299" s="44"/>
      <c r="F299" s="44"/>
      <c r="G299" s="26"/>
      <c r="H299" s="26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</row>
    <row r="300" ht="12.75" customHeight="1">
      <c r="A300" s="256"/>
      <c r="B300" s="2">
        <v>11.0</v>
      </c>
      <c r="C300" s="44"/>
      <c r="D300" s="44"/>
      <c r="E300" s="44"/>
      <c r="F300" s="44"/>
      <c r="G300" s="26"/>
      <c r="H300" s="26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</row>
    <row r="301" ht="12.75" customHeight="1">
      <c r="A301" s="257"/>
      <c r="B301" s="71">
        <v>12.0</v>
      </c>
      <c r="C301" s="258"/>
      <c r="D301" s="44"/>
      <c r="E301" s="44"/>
      <c r="F301" s="44"/>
      <c r="G301" s="72"/>
      <c r="H301" s="7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</row>
    <row r="302" ht="12.75" customHeight="1">
      <c r="A302" s="259">
        <v>2040.0</v>
      </c>
      <c r="B302" s="260">
        <v>1.0</v>
      </c>
      <c r="C302" s="261"/>
      <c r="D302" s="262"/>
      <c r="E302" s="261"/>
      <c r="F302" s="261"/>
      <c r="G302" s="263">
        <f>SUM(C290:C302)/13</f>
        <v>6467.651133</v>
      </c>
      <c r="H302" s="263">
        <f>G302*$D$118</f>
        <v>97.01476699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</row>
    <row r="303" ht="12.75" customHeight="1">
      <c r="A303" s="256"/>
      <c r="B303" s="2">
        <v>2.0</v>
      </c>
      <c r="C303" s="44"/>
      <c r="D303" s="44"/>
      <c r="E303" s="44"/>
      <c r="F303" s="44"/>
      <c r="G303" s="26"/>
      <c r="H303" s="26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</row>
    <row r="304" ht="12.75" customHeight="1">
      <c r="A304" s="256"/>
      <c r="B304" s="2">
        <v>3.0</v>
      </c>
      <c r="C304" s="44"/>
      <c r="D304" s="44"/>
      <c r="E304" s="44"/>
      <c r="F304" s="44"/>
      <c r="G304" s="26"/>
      <c r="H304" s="26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</row>
    <row r="305" ht="12.75" customHeight="1">
      <c r="A305" s="256"/>
      <c r="B305" s="2">
        <v>4.0</v>
      </c>
      <c r="C305" s="44"/>
      <c r="D305" s="44"/>
      <c r="E305" s="44"/>
      <c r="F305" s="44"/>
      <c r="G305" s="26"/>
      <c r="H305" s="26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</row>
    <row r="306" ht="12.75" customHeight="1">
      <c r="A306" s="256"/>
      <c r="B306" s="2">
        <v>5.0</v>
      </c>
      <c r="C306" s="44"/>
      <c r="D306" s="44"/>
      <c r="E306" s="44"/>
      <c r="F306" s="44"/>
      <c r="G306" s="26"/>
      <c r="H306" s="26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</row>
    <row r="307" ht="12.75" customHeight="1">
      <c r="A307" s="256"/>
      <c r="B307" s="2">
        <v>6.0</v>
      </c>
      <c r="C307" s="44"/>
      <c r="D307" s="44"/>
      <c r="E307" s="44"/>
      <c r="F307" s="44"/>
      <c r="G307" s="26"/>
      <c r="H307" s="26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</row>
    <row r="308" ht="12.75" customHeight="1">
      <c r="A308" s="256"/>
      <c r="B308" s="2">
        <v>7.0</v>
      </c>
      <c r="C308" s="44"/>
      <c r="D308" s="44"/>
      <c r="E308" s="44"/>
      <c r="F308" s="44"/>
      <c r="G308" s="26"/>
      <c r="H308" s="26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</row>
    <row r="309" ht="12.75" customHeight="1">
      <c r="A309" s="256"/>
      <c r="B309" s="2">
        <v>8.0</v>
      </c>
      <c r="C309" s="44"/>
      <c r="D309" s="44"/>
      <c r="E309" s="44"/>
      <c r="F309" s="44"/>
      <c r="G309" s="26"/>
      <c r="H309" s="26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</row>
    <row r="310" ht="12.75" customHeight="1">
      <c r="A310" s="256"/>
      <c r="B310" s="2">
        <v>9.0</v>
      </c>
      <c r="C310" s="44"/>
      <c r="D310" s="44"/>
      <c r="E310" s="44"/>
      <c r="F310" s="44"/>
      <c r="G310" s="26"/>
      <c r="H310" s="26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</row>
    <row r="311" ht="12.75" customHeight="1">
      <c r="A311" s="256"/>
      <c r="B311" s="2">
        <v>10.0</v>
      </c>
      <c r="C311" s="44"/>
      <c r="D311" s="44"/>
      <c r="E311" s="44"/>
      <c r="F311" s="44"/>
      <c r="G311" s="26"/>
      <c r="H311" s="26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</row>
    <row r="312" ht="12.75" customHeight="1">
      <c r="A312" s="256"/>
      <c r="B312" s="2">
        <v>11.0</v>
      </c>
      <c r="C312" s="44"/>
      <c r="D312" s="44"/>
      <c r="E312" s="44"/>
      <c r="F312" s="44"/>
      <c r="G312" s="26"/>
      <c r="H312" s="26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</row>
    <row r="313" ht="12.75" customHeight="1">
      <c r="A313" s="257"/>
      <c r="B313" s="71">
        <v>12.0</v>
      </c>
      <c r="C313" s="258"/>
      <c r="D313" s="258"/>
      <c r="E313" s="44"/>
      <c r="F313" s="44"/>
      <c r="G313" s="72"/>
      <c r="H313" s="7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</row>
    <row r="314" ht="12.75" customHeight="1">
      <c r="A314" s="259">
        <v>2041.0</v>
      </c>
      <c r="B314" s="260">
        <v>1.0</v>
      </c>
      <c r="C314" s="261"/>
      <c r="D314" s="258"/>
      <c r="E314" s="261"/>
      <c r="F314" s="261"/>
      <c r="G314" s="263">
        <f>SUM(C302:C314)/13</f>
        <v>0</v>
      </c>
      <c r="H314" s="263">
        <f>G314*$D$118</f>
        <v>0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</row>
    <row r="315" ht="12.75" customHeight="1">
      <c r="A315" s="256"/>
      <c r="B315" s="2">
        <v>2.0</v>
      </c>
      <c r="C315" s="44"/>
      <c r="D315" s="44"/>
      <c r="E315" s="44"/>
      <c r="F315" s="44"/>
      <c r="G315" s="26"/>
      <c r="H315" s="26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</row>
    <row r="316" ht="12.75" customHeight="1">
      <c r="A316" s="256"/>
      <c r="B316" s="2">
        <v>3.0</v>
      </c>
      <c r="C316" s="44"/>
      <c r="D316" s="44"/>
      <c r="E316" s="44"/>
      <c r="F316" s="44"/>
      <c r="G316" s="26"/>
      <c r="H316" s="26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</row>
    <row r="317" ht="12.75" customHeight="1">
      <c r="A317" s="256"/>
      <c r="B317" s="2">
        <v>4.0</v>
      </c>
      <c r="C317" s="44"/>
      <c r="D317" s="44"/>
      <c r="E317" s="44"/>
      <c r="F317" s="44"/>
      <c r="G317" s="26"/>
      <c r="H317" s="26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</row>
    <row r="318" ht="12.75" customHeight="1">
      <c r="A318" s="256"/>
      <c r="B318" s="2">
        <v>5.0</v>
      </c>
      <c r="C318" s="44"/>
      <c r="D318" s="44"/>
      <c r="E318" s="44"/>
      <c r="F318" s="44"/>
      <c r="G318" s="26"/>
      <c r="H318" s="26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</row>
    <row r="319" ht="12.75" customHeight="1">
      <c r="A319" s="256"/>
      <c r="B319" s="2">
        <v>6.0</v>
      </c>
      <c r="C319" s="44"/>
      <c r="D319" s="44"/>
      <c r="E319" s="44"/>
      <c r="F319" s="44"/>
      <c r="G319" s="26"/>
      <c r="H319" s="26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</row>
    <row r="320" ht="12.75" customHeight="1">
      <c r="A320" s="256"/>
      <c r="B320" s="2">
        <v>7.0</v>
      </c>
      <c r="C320" s="44"/>
      <c r="D320" s="44"/>
      <c r="E320" s="44"/>
      <c r="F320" s="44"/>
      <c r="G320" s="26"/>
      <c r="H320" s="26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</row>
    <row r="321" ht="12.75" customHeight="1">
      <c r="A321" s="256"/>
      <c r="B321" s="2">
        <v>8.0</v>
      </c>
      <c r="C321" s="44"/>
      <c r="D321" s="44"/>
      <c r="E321" s="44"/>
      <c r="F321" s="44"/>
      <c r="G321" s="26"/>
      <c r="H321" s="26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</row>
    <row r="322" ht="12.75" customHeight="1">
      <c r="A322" s="256"/>
      <c r="B322" s="2">
        <v>9.0</v>
      </c>
      <c r="C322" s="44"/>
      <c r="D322" s="44"/>
      <c r="E322" s="44"/>
      <c r="F322" s="44"/>
      <c r="G322" s="26"/>
      <c r="H322" s="26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</row>
    <row r="323" ht="12.75" customHeight="1">
      <c r="A323" s="256"/>
      <c r="B323" s="2">
        <v>10.0</v>
      </c>
      <c r="C323" s="44"/>
      <c r="D323" s="44"/>
      <c r="E323" s="44"/>
      <c r="F323" s="44"/>
      <c r="G323" s="26"/>
      <c r="H323" s="26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</row>
    <row r="324" ht="12.75" customHeight="1">
      <c r="A324" s="256"/>
      <c r="B324" s="2">
        <v>11.0</v>
      </c>
      <c r="C324" s="44"/>
      <c r="D324" s="44"/>
      <c r="E324" s="44"/>
      <c r="F324" s="44"/>
      <c r="G324" s="26"/>
      <c r="H324" s="26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</row>
    <row r="325" ht="12.75" customHeight="1">
      <c r="A325" s="257"/>
      <c r="B325" s="71">
        <v>12.0</v>
      </c>
      <c r="C325" s="258"/>
      <c r="D325" s="258"/>
      <c r="E325" s="44"/>
      <c r="F325" s="44"/>
      <c r="G325" s="72"/>
      <c r="H325" s="7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</row>
    <row r="326" ht="12.75" customHeight="1">
      <c r="A326" s="259">
        <v>2042.0</v>
      </c>
      <c r="B326" s="260">
        <v>1.0</v>
      </c>
      <c r="C326" s="261"/>
      <c r="D326" s="258"/>
      <c r="E326" s="261"/>
      <c r="F326" s="261"/>
      <c r="G326" s="263">
        <f>SUM(C314:C326)/13</f>
        <v>0</v>
      </c>
      <c r="H326" s="263">
        <f>G326*$D$118</f>
        <v>0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</row>
    <row r="327" ht="12.75" customHeight="1">
      <c r="A327" s="256"/>
      <c r="B327" s="1"/>
      <c r="C327" s="264"/>
      <c r="D327" s="44"/>
      <c r="E327" s="264"/>
      <c r="F327" s="264"/>
      <c r="G327" s="233"/>
      <c r="H327" s="23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</row>
    <row r="328" ht="12.75" customHeight="1">
      <c r="A328" s="256"/>
      <c r="B328" s="1"/>
      <c r="C328" s="264"/>
      <c r="D328" s="44"/>
      <c r="E328" s="264"/>
      <c r="F328" s="264"/>
      <c r="G328" s="233"/>
      <c r="H328" s="23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</row>
    <row r="329" ht="12.75" customHeight="1">
      <c r="A329" s="256"/>
      <c r="B329" s="1"/>
      <c r="C329" s="264"/>
      <c r="D329" s="44"/>
      <c r="E329" s="264"/>
      <c r="F329" s="264"/>
      <c r="G329" s="233"/>
      <c r="H329" s="23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</row>
    <row r="330" ht="12.75" customHeight="1">
      <c r="A330" s="256"/>
      <c r="B330" s="1"/>
      <c r="C330" s="264"/>
      <c r="D330" s="44"/>
      <c r="E330" s="264"/>
      <c r="F330" s="264"/>
      <c r="G330" s="233"/>
      <c r="H330" s="23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</row>
    <row r="331" ht="12.75" customHeight="1">
      <c r="A331" s="256"/>
      <c r="B331" s="1"/>
      <c r="C331" s="264"/>
      <c r="D331" s="44"/>
      <c r="E331" s="264"/>
      <c r="F331" s="264"/>
      <c r="G331" s="233"/>
      <c r="H331" s="23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</row>
    <row r="332" ht="12.75" customHeight="1">
      <c r="A332" s="256"/>
      <c r="B332" s="1"/>
      <c r="C332" s="264"/>
      <c r="D332" s="44"/>
      <c r="E332" s="264"/>
      <c r="F332" s="264"/>
      <c r="G332" s="233"/>
      <c r="H332" s="23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</row>
    <row r="333" ht="12.75" customHeight="1">
      <c r="A333" s="256"/>
      <c r="B333" s="1"/>
      <c r="C333" s="264"/>
      <c r="D333" s="44"/>
      <c r="E333" s="264"/>
      <c r="F333" s="264"/>
      <c r="G333" s="233"/>
      <c r="H333" s="23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</row>
    <row r="334" ht="12.75" customHeight="1">
      <c r="A334" s="256"/>
      <c r="B334" s="1"/>
      <c r="C334" s="264"/>
      <c r="D334" s="44"/>
      <c r="E334" s="264"/>
      <c r="F334" s="264"/>
      <c r="G334" s="233"/>
      <c r="H334" s="23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</row>
    <row r="335" ht="12.75" customHeight="1">
      <c r="A335" s="256"/>
      <c r="B335" s="1"/>
      <c r="C335" s="264"/>
      <c r="D335" s="44"/>
      <c r="E335" s="264"/>
      <c r="F335" s="264"/>
      <c r="G335" s="233"/>
      <c r="H335" s="23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</row>
    <row r="336" ht="12.75" customHeight="1">
      <c r="A336" s="256"/>
      <c r="B336" s="1"/>
      <c r="C336" s="264"/>
      <c r="D336" s="44"/>
      <c r="E336" s="264"/>
      <c r="F336" s="264"/>
      <c r="G336" s="233"/>
      <c r="H336" s="23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</row>
    <row r="337" ht="12.75" customHeight="1">
      <c r="A337" s="256"/>
      <c r="B337" s="1"/>
      <c r="C337" s="264"/>
      <c r="D337" s="44"/>
      <c r="E337" s="264"/>
      <c r="F337" s="264"/>
      <c r="G337" s="233"/>
      <c r="H337" s="23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</row>
    <row r="338" ht="12.75" customHeight="1">
      <c r="A338" s="256"/>
      <c r="B338" s="1"/>
      <c r="C338" s="264"/>
      <c r="D338" s="44"/>
      <c r="E338" s="264"/>
      <c r="F338" s="264"/>
      <c r="G338" s="233"/>
      <c r="H338" s="23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</row>
    <row r="339" ht="12.75" customHeight="1">
      <c r="A339" s="256"/>
      <c r="B339" s="1"/>
      <c r="C339" s="264"/>
      <c r="D339" s="44"/>
      <c r="E339" s="264"/>
      <c r="F339" s="264"/>
      <c r="G339" s="233"/>
      <c r="H339" s="23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</row>
    <row r="340" ht="12.75" customHeight="1">
      <c r="A340" s="256"/>
      <c r="B340" s="1"/>
      <c r="C340" s="264"/>
      <c r="D340" s="44"/>
      <c r="E340" s="264"/>
      <c r="F340" s="264"/>
      <c r="G340" s="233"/>
      <c r="H340" s="233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</row>
    <row r="341" ht="12.75" customHeight="1">
      <c r="A341" s="256"/>
      <c r="B341" s="1"/>
      <c r="C341" s="264"/>
      <c r="D341" s="44"/>
      <c r="E341" s="264"/>
      <c r="F341" s="264"/>
      <c r="G341" s="233"/>
      <c r="H341" s="23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</row>
    <row r="342" ht="12.75" customHeight="1">
      <c r="A342" s="256"/>
      <c r="B342" s="1"/>
      <c r="C342" s="264"/>
      <c r="D342" s="44"/>
      <c r="E342" s="264"/>
      <c r="F342" s="264"/>
      <c r="G342" s="233"/>
      <c r="H342" s="23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</row>
    <row r="343" ht="12.75" customHeight="1">
      <c r="A343" s="256"/>
      <c r="B343" s="1"/>
      <c r="C343" s="264"/>
      <c r="D343" s="44"/>
      <c r="E343" s="264"/>
      <c r="F343" s="264"/>
      <c r="G343" s="233"/>
      <c r="H343" s="233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</row>
    <row r="344" ht="12.75" customHeight="1">
      <c r="A344" s="256"/>
      <c r="B344" s="1"/>
      <c r="C344" s="264"/>
      <c r="D344" s="44"/>
      <c r="E344" s="264"/>
      <c r="F344" s="264"/>
      <c r="G344" s="233"/>
      <c r="H344" s="23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</row>
    <row r="345" ht="12.75" customHeight="1">
      <c r="A345" s="256"/>
      <c r="B345" s="1"/>
      <c r="C345" s="264"/>
      <c r="D345" s="44"/>
      <c r="E345" s="264"/>
      <c r="F345" s="264"/>
      <c r="G345" s="233"/>
      <c r="H345" s="23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</row>
    <row r="346" ht="12.75" customHeight="1">
      <c r="A346" s="256"/>
      <c r="B346" s="1"/>
      <c r="C346" s="264"/>
      <c r="D346" s="44"/>
      <c r="E346" s="264"/>
      <c r="F346" s="264"/>
      <c r="G346" s="233"/>
      <c r="H346" s="233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</row>
    <row r="347" ht="12.75" customHeight="1">
      <c r="A347" s="256"/>
      <c r="B347" s="1"/>
      <c r="C347" s="264"/>
      <c r="D347" s="44"/>
      <c r="E347" s="264"/>
      <c r="F347" s="264"/>
      <c r="G347" s="233"/>
      <c r="H347" s="23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</row>
    <row r="348" ht="12.75" customHeight="1">
      <c r="A348" s="256"/>
      <c r="B348" s="1"/>
      <c r="C348" s="264"/>
      <c r="D348" s="44"/>
      <c r="E348" s="264"/>
      <c r="F348" s="264"/>
      <c r="G348" s="233"/>
      <c r="H348" s="23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</row>
    <row r="349" ht="12.75" customHeight="1">
      <c r="A349" s="256"/>
      <c r="B349" s="1"/>
      <c r="C349" s="264"/>
      <c r="D349" s="44"/>
      <c r="E349" s="264"/>
      <c r="F349" s="264"/>
      <c r="G349" s="233"/>
      <c r="H349" s="233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</row>
    <row r="350" ht="12.75" customHeight="1">
      <c r="A350" s="256"/>
      <c r="B350" s="1"/>
      <c r="C350" s="264"/>
      <c r="D350" s="44"/>
      <c r="E350" s="264"/>
      <c r="F350" s="264"/>
      <c r="G350" s="233"/>
      <c r="H350" s="23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</row>
    <row r="351" ht="12.75" customHeight="1">
      <c r="A351" s="256"/>
      <c r="B351" s="1"/>
      <c r="C351" s="264"/>
      <c r="D351" s="44"/>
      <c r="E351" s="264"/>
      <c r="F351" s="264"/>
      <c r="G351" s="233"/>
      <c r="H351" s="23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</row>
    <row r="352" ht="12.75" customHeight="1">
      <c r="A352" s="256"/>
      <c r="B352" s="1"/>
      <c r="C352" s="264"/>
      <c r="D352" s="44"/>
      <c r="E352" s="264"/>
      <c r="F352" s="264"/>
      <c r="G352" s="233"/>
      <c r="H352" s="23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</row>
    <row r="353" ht="12.75" customHeight="1">
      <c r="A353" s="256"/>
      <c r="B353" s="1"/>
      <c r="C353" s="264"/>
      <c r="D353" s="44"/>
      <c r="E353" s="264"/>
      <c r="F353" s="264"/>
      <c r="G353" s="233"/>
      <c r="H353" s="23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</row>
    <row r="354" ht="12.75" customHeight="1">
      <c r="A354" s="256"/>
      <c r="B354" s="1"/>
      <c r="C354" s="264"/>
      <c r="D354" s="44"/>
      <c r="E354" s="264"/>
      <c r="F354" s="264"/>
      <c r="G354" s="233"/>
      <c r="H354" s="23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</row>
    <row r="355" ht="12.75" customHeight="1">
      <c r="A355" s="256"/>
      <c r="B355" s="1"/>
      <c r="C355" s="264"/>
      <c r="D355" s="44"/>
      <c r="E355" s="264"/>
      <c r="F355" s="264"/>
      <c r="G355" s="233"/>
      <c r="H355" s="23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</row>
    <row r="356" ht="12.75" customHeight="1">
      <c r="A356" s="256"/>
      <c r="B356" s="1"/>
      <c r="C356" s="264"/>
      <c r="D356" s="44"/>
      <c r="E356" s="264"/>
      <c r="F356" s="264"/>
      <c r="G356" s="233"/>
      <c r="H356" s="23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</row>
    <row r="357" ht="12.75" customHeight="1">
      <c r="A357" s="256"/>
      <c r="B357" s="1"/>
      <c r="C357" s="264"/>
      <c r="D357" s="44"/>
      <c r="E357" s="264"/>
      <c r="F357" s="264"/>
      <c r="G357" s="233"/>
      <c r="H357" s="23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</row>
    <row r="358" ht="12.75" customHeight="1">
      <c r="A358" s="256"/>
      <c r="B358" s="1"/>
      <c r="C358" s="264"/>
      <c r="D358" s="44"/>
      <c r="E358" s="264"/>
      <c r="F358" s="264"/>
      <c r="G358" s="233"/>
      <c r="H358" s="233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</row>
    <row r="359" ht="12.75" customHeight="1">
      <c r="A359" s="256"/>
      <c r="B359" s="1"/>
      <c r="C359" s="264"/>
      <c r="D359" s="44"/>
      <c r="E359" s="264"/>
      <c r="F359" s="264"/>
      <c r="G359" s="233"/>
      <c r="H359" s="23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</row>
    <row r="360" ht="12.75" customHeight="1">
      <c r="A360" s="256"/>
      <c r="B360" s="1"/>
      <c r="C360" s="264"/>
      <c r="D360" s="44"/>
      <c r="E360" s="264"/>
      <c r="F360" s="264"/>
      <c r="G360" s="233"/>
      <c r="H360" s="23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</row>
    <row r="361" ht="12.75" customHeight="1">
      <c r="A361" s="256"/>
      <c r="B361" s="1"/>
      <c r="C361" s="264"/>
      <c r="D361" s="44"/>
      <c r="E361" s="264"/>
      <c r="F361" s="264"/>
      <c r="G361" s="233"/>
      <c r="H361" s="23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</row>
    <row r="362" ht="12.75" customHeight="1">
      <c r="A362" s="256"/>
      <c r="B362" s="1"/>
      <c r="C362" s="264"/>
      <c r="D362" s="44"/>
      <c r="E362" s="264"/>
      <c r="F362" s="264"/>
      <c r="G362" s="233"/>
      <c r="H362" s="23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</row>
    <row r="363" ht="12.75" customHeight="1">
      <c r="A363" s="256"/>
      <c r="B363" s="1"/>
      <c r="C363" s="264"/>
      <c r="D363" s="44"/>
      <c r="E363" s="264"/>
      <c r="F363" s="264"/>
      <c r="G363" s="233"/>
      <c r="H363" s="23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</row>
    <row r="364" ht="12.75" customHeight="1">
      <c r="A364" s="256"/>
      <c r="B364" s="1"/>
      <c r="C364" s="264"/>
      <c r="D364" s="44"/>
      <c r="E364" s="264"/>
      <c r="F364" s="264"/>
      <c r="G364" s="233"/>
      <c r="H364" s="23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</row>
    <row r="365" ht="12.75" customHeight="1">
      <c r="A365" s="256"/>
      <c r="B365" s="1"/>
      <c r="C365" s="264"/>
      <c r="D365" s="44"/>
      <c r="E365" s="264"/>
      <c r="F365" s="264"/>
      <c r="G365" s="233"/>
      <c r="H365" s="23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</row>
    <row r="366" ht="12.75" customHeight="1">
      <c r="A366" s="256"/>
      <c r="B366" s="1"/>
      <c r="C366" s="264"/>
      <c r="D366" s="44"/>
      <c r="E366" s="264"/>
      <c r="F366" s="264"/>
      <c r="G366" s="233"/>
      <c r="H366" s="23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</row>
    <row r="367" ht="12.75" customHeight="1">
      <c r="A367" s="256"/>
      <c r="B367" s="1"/>
      <c r="C367" s="264"/>
      <c r="D367" s="44"/>
      <c r="E367" s="264"/>
      <c r="F367" s="264"/>
      <c r="G367" s="233"/>
      <c r="H367" s="23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</row>
    <row r="368" ht="12.75" customHeight="1">
      <c r="A368" s="256"/>
      <c r="B368" s="1"/>
      <c r="C368" s="264"/>
      <c r="D368" s="44"/>
      <c r="E368" s="264"/>
      <c r="F368" s="264"/>
      <c r="G368" s="233"/>
      <c r="H368" s="23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</row>
    <row r="369" ht="12.75" customHeight="1">
      <c r="A369" s="256"/>
      <c r="B369" s="1"/>
      <c r="C369" s="264"/>
      <c r="D369" s="44"/>
      <c r="E369" s="264"/>
      <c r="F369" s="264"/>
      <c r="G369" s="233"/>
      <c r="H369" s="23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</row>
    <row r="370" ht="12.75" customHeight="1">
      <c r="A370" s="256"/>
      <c r="B370" s="1"/>
      <c r="C370" s="264"/>
      <c r="D370" s="44"/>
      <c r="E370" s="264"/>
      <c r="F370" s="264"/>
      <c r="G370" s="233"/>
      <c r="H370" s="23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</row>
    <row r="371" ht="12.75" customHeight="1">
      <c r="A371" s="256"/>
      <c r="B371" s="1"/>
      <c r="C371" s="264"/>
      <c r="D371" s="44"/>
      <c r="E371" s="264"/>
      <c r="F371" s="264"/>
      <c r="G371" s="233"/>
      <c r="H371" s="233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</row>
    <row r="372" ht="12.75" customHeight="1">
      <c r="A372" s="256"/>
      <c r="B372" s="1"/>
      <c r="C372" s="264"/>
      <c r="D372" s="44"/>
      <c r="E372" s="264"/>
      <c r="F372" s="264"/>
      <c r="G372" s="233"/>
      <c r="H372" s="23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</row>
    <row r="373" ht="12.75" customHeight="1">
      <c r="A373" s="256"/>
      <c r="B373" s="1"/>
      <c r="C373" s="264"/>
      <c r="D373" s="44"/>
      <c r="E373" s="264"/>
      <c r="F373" s="264"/>
      <c r="G373" s="233"/>
      <c r="H373" s="23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</row>
    <row r="374" ht="12.75" customHeight="1">
      <c r="A374" s="256"/>
      <c r="B374" s="1"/>
      <c r="C374" s="264"/>
      <c r="D374" s="44"/>
      <c r="E374" s="264"/>
      <c r="F374" s="264"/>
      <c r="G374" s="233"/>
      <c r="H374" s="23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</row>
    <row r="375" ht="12.75" customHeight="1">
      <c r="A375" s="256"/>
      <c r="B375" s="1"/>
      <c r="C375" s="264"/>
      <c r="D375" s="44"/>
      <c r="E375" s="264"/>
      <c r="F375" s="264"/>
      <c r="G375" s="233"/>
      <c r="H375" s="23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</row>
    <row r="376" ht="12.75" customHeight="1">
      <c r="A376" s="256"/>
      <c r="B376" s="1"/>
      <c r="C376" s="264"/>
      <c r="D376" s="44"/>
      <c r="E376" s="264"/>
      <c r="F376" s="264"/>
      <c r="G376" s="233"/>
      <c r="H376" s="23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</row>
    <row r="377" ht="12.75" customHeight="1">
      <c r="A377" s="256"/>
      <c r="B377" s="1"/>
      <c r="C377" s="264"/>
      <c r="D377" s="44"/>
      <c r="E377" s="264"/>
      <c r="F377" s="264"/>
      <c r="G377" s="233"/>
      <c r="H377" s="23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</row>
    <row r="378" ht="12.75" customHeight="1">
      <c r="A378" s="256"/>
      <c r="B378" s="1"/>
      <c r="C378" s="264"/>
      <c r="D378" s="44"/>
      <c r="E378" s="264"/>
      <c r="F378" s="264"/>
      <c r="G378" s="233"/>
      <c r="H378" s="23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</row>
    <row r="379" ht="12.75" customHeight="1">
      <c r="A379" s="256"/>
      <c r="B379" s="1"/>
      <c r="C379" s="264"/>
      <c r="D379" s="44"/>
      <c r="E379" s="264"/>
      <c r="F379" s="264"/>
      <c r="G379" s="233"/>
      <c r="H379" s="23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</row>
    <row r="380" ht="12.75" customHeight="1">
      <c r="A380" s="256"/>
      <c r="B380" s="1"/>
      <c r="C380" s="264"/>
      <c r="D380" s="44"/>
      <c r="E380" s="264"/>
      <c r="F380" s="264"/>
      <c r="G380" s="233"/>
      <c r="H380" s="23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</row>
    <row r="381" ht="12.75" customHeight="1">
      <c r="A381" s="256"/>
      <c r="B381" s="1"/>
      <c r="C381" s="264"/>
      <c r="D381" s="44"/>
      <c r="E381" s="264"/>
      <c r="F381" s="264"/>
      <c r="G381" s="233"/>
      <c r="H381" s="23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</row>
    <row r="382" ht="12.75" customHeight="1">
      <c r="A382" s="256"/>
      <c r="B382" s="1"/>
      <c r="C382" s="264"/>
      <c r="D382" s="44"/>
      <c r="E382" s="264"/>
      <c r="F382" s="264"/>
      <c r="G382" s="233"/>
      <c r="H382" s="23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</row>
    <row r="383" ht="12.75" customHeight="1">
      <c r="A383" s="256"/>
      <c r="B383" s="1"/>
      <c r="C383" s="264"/>
      <c r="D383" s="44"/>
      <c r="E383" s="264"/>
      <c r="F383" s="264"/>
      <c r="G383" s="233"/>
      <c r="H383" s="23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</row>
    <row r="384" ht="12.75" customHeight="1">
      <c r="A384" s="256"/>
      <c r="B384" s="1"/>
      <c r="C384" s="264"/>
      <c r="D384" s="44"/>
      <c r="E384" s="264"/>
      <c r="F384" s="264"/>
      <c r="G384" s="233"/>
      <c r="H384" s="23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</row>
    <row r="385" ht="12.75" customHeight="1">
      <c r="A385" s="256"/>
      <c r="B385" s="1"/>
      <c r="C385" s="264"/>
      <c r="D385" s="44"/>
      <c r="E385" s="264"/>
      <c r="F385" s="264"/>
      <c r="G385" s="233"/>
      <c r="H385" s="23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</row>
    <row r="386" ht="12.75" customHeight="1">
      <c r="A386" s="256"/>
      <c r="B386" s="1"/>
      <c r="C386" s="264"/>
      <c r="D386" s="44"/>
      <c r="E386" s="264"/>
      <c r="F386" s="264"/>
      <c r="G386" s="233"/>
      <c r="H386" s="23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</row>
    <row r="387" ht="12.75" customHeight="1">
      <c r="A387" s="256"/>
      <c r="B387" s="1"/>
      <c r="C387" s="264"/>
      <c r="D387" s="44"/>
      <c r="E387" s="264"/>
      <c r="F387" s="264"/>
      <c r="G387" s="233"/>
      <c r="H387" s="23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</row>
    <row r="388" ht="12.75" customHeight="1">
      <c r="A388" s="256"/>
      <c r="B388" s="1"/>
      <c r="C388" s="264"/>
      <c r="D388" s="44"/>
      <c r="E388" s="264"/>
      <c r="F388" s="264"/>
      <c r="G388" s="233"/>
      <c r="H388" s="23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</row>
    <row r="389" ht="12.75" customHeight="1">
      <c r="A389" s="256"/>
      <c r="B389" s="1"/>
      <c r="C389" s="264"/>
      <c r="D389" s="44"/>
      <c r="E389" s="264"/>
      <c r="F389" s="264"/>
      <c r="G389" s="233"/>
      <c r="H389" s="23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</row>
    <row r="390" ht="12.75" customHeight="1">
      <c r="A390" s="256"/>
      <c r="B390" s="1"/>
      <c r="C390" s="264"/>
      <c r="D390" s="44"/>
      <c r="E390" s="264"/>
      <c r="F390" s="264"/>
      <c r="G390" s="233"/>
      <c r="H390" s="23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</row>
    <row r="391" ht="12.75" customHeight="1">
      <c r="A391" s="256"/>
      <c r="B391" s="1"/>
      <c r="C391" s="264"/>
      <c r="D391" s="44"/>
      <c r="E391" s="264"/>
      <c r="F391" s="264"/>
      <c r="G391" s="233"/>
      <c r="H391" s="23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</row>
    <row r="392" ht="12.75" customHeight="1">
      <c r="A392" s="256"/>
      <c r="B392" s="1"/>
      <c r="C392" s="264"/>
      <c r="D392" s="44"/>
      <c r="E392" s="264"/>
      <c r="F392" s="264"/>
      <c r="G392" s="233"/>
      <c r="H392" s="233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</row>
    <row r="393" ht="12.75" customHeight="1">
      <c r="A393" s="256"/>
      <c r="B393" s="1"/>
      <c r="C393" s="264"/>
      <c r="D393" s="44"/>
      <c r="E393" s="264"/>
      <c r="F393" s="264"/>
      <c r="G393" s="233"/>
      <c r="H393" s="23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</row>
    <row r="394" ht="12.75" customHeight="1">
      <c r="A394" s="256"/>
      <c r="B394" s="1"/>
      <c r="C394" s="264"/>
      <c r="D394" s="44"/>
      <c r="E394" s="264"/>
      <c r="F394" s="264"/>
      <c r="G394" s="233"/>
      <c r="H394" s="23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</row>
    <row r="395" ht="12.75" customHeight="1">
      <c r="A395" s="256"/>
      <c r="B395" s="1"/>
      <c r="C395" s="264"/>
      <c r="D395" s="44"/>
      <c r="E395" s="264"/>
      <c r="F395" s="264"/>
      <c r="G395" s="233"/>
      <c r="H395" s="23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</row>
    <row r="396" ht="12.75" customHeight="1">
      <c r="A396" s="256"/>
      <c r="B396" s="1"/>
      <c r="C396" s="264"/>
      <c r="D396" s="44"/>
      <c r="E396" s="264"/>
      <c r="F396" s="264"/>
      <c r="G396" s="233"/>
      <c r="H396" s="23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</row>
    <row r="397" ht="12.75" customHeight="1">
      <c r="A397" s="256"/>
      <c r="B397" s="1"/>
      <c r="C397" s="264"/>
      <c r="D397" s="44"/>
      <c r="E397" s="264"/>
      <c r="F397" s="264"/>
      <c r="G397" s="233"/>
      <c r="H397" s="23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</row>
    <row r="398" ht="12.75" customHeight="1">
      <c r="A398" s="256"/>
      <c r="B398" s="1"/>
      <c r="C398" s="264"/>
      <c r="D398" s="44"/>
      <c r="E398" s="264"/>
      <c r="F398" s="264"/>
      <c r="G398" s="233"/>
      <c r="H398" s="23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</row>
    <row r="399" ht="12.75" customHeight="1">
      <c r="A399" s="256"/>
      <c r="B399" s="1"/>
      <c r="C399" s="264"/>
      <c r="D399" s="44"/>
      <c r="E399" s="264"/>
      <c r="F399" s="264"/>
      <c r="G399" s="233"/>
      <c r="H399" s="23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</row>
    <row r="400" ht="12.75" customHeight="1">
      <c r="A400" s="256"/>
      <c r="B400" s="1"/>
      <c r="C400" s="264"/>
      <c r="D400" s="44"/>
      <c r="E400" s="264"/>
      <c r="F400" s="264"/>
      <c r="G400" s="233"/>
      <c r="H400" s="23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</row>
    <row r="401" ht="12.75" customHeight="1">
      <c r="A401" s="256"/>
      <c r="B401" s="1"/>
      <c r="C401" s="264"/>
      <c r="D401" s="44"/>
      <c r="E401" s="264"/>
      <c r="F401" s="264"/>
      <c r="G401" s="233"/>
      <c r="H401" s="23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</row>
    <row r="402" ht="12.75" customHeight="1">
      <c r="A402" s="256"/>
      <c r="B402" s="1"/>
      <c r="C402" s="264"/>
      <c r="D402" s="44"/>
      <c r="E402" s="264"/>
      <c r="F402" s="264"/>
      <c r="G402" s="233"/>
      <c r="H402" s="23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</row>
    <row r="403" ht="12.75" customHeight="1">
      <c r="A403" s="256"/>
      <c r="B403" s="1"/>
      <c r="C403" s="264"/>
      <c r="D403" s="44"/>
      <c r="E403" s="264"/>
      <c r="F403" s="264"/>
      <c r="G403" s="233"/>
      <c r="H403" s="23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</row>
    <row r="404" ht="12.75" customHeight="1">
      <c r="A404" s="256"/>
      <c r="B404" s="1"/>
      <c r="C404" s="264"/>
      <c r="D404" s="44"/>
      <c r="E404" s="264"/>
      <c r="F404" s="264"/>
      <c r="G404" s="233"/>
      <c r="H404" s="23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</row>
    <row r="405" ht="12.75" customHeight="1">
      <c r="A405" s="256"/>
      <c r="B405" s="1"/>
      <c r="C405" s="264"/>
      <c r="D405" s="44"/>
      <c r="E405" s="264"/>
      <c r="F405" s="264"/>
      <c r="G405" s="233"/>
      <c r="H405" s="23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</row>
    <row r="406" ht="12.75" customHeight="1">
      <c r="A406" s="256"/>
      <c r="B406" s="1"/>
      <c r="C406" s="264"/>
      <c r="D406" s="44"/>
      <c r="E406" s="264"/>
      <c r="F406" s="264"/>
      <c r="G406" s="233"/>
      <c r="H406" s="23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</row>
    <row r="407" ht="12.75" customHeight="1">
      <c r="A407" s="256"/>
      <c r="B407" s="1"/>
      <c r="C407" s="264"/>
      <c r="D407" s="44"/>
      <c r="E407" s="264"/>
      <c r="F407" s="264"/>
      <c r="G407" s="233"/>
      <c r="H407" s="23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</row>
    <row r="408" ht="12.75" customHeight="1">
      <c r="A408" s="256"/>
      <c r="B408" s="1"/>
      <c r="C408" s="264"/>
      <c r="D408" s="44"/>
      <c r="E408" s="264"/>
      <c r="F408" s="264"/>
      <c r="G408" s="233"/>
      <c r="H408" s="23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</row>
    <row r="409" ht="12.75" customHeight="1">
      <c r="A409" s="256"/>
      <c r="B409" s="1"/>
      <c r="C409" s="264"/>
      <c r="D409" s="44"/>
      <c r="E409" s="264"/>
      <c r="F409" s="264"/>
      <c r="G409" s="233"/>
      <c r="H409" s="23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</row>
    <row r="410" ht="12.75" customHeight="1">
      <c r="A410" s="256"/>
      <c r="B410" s="1"/>
      <c r="C410" s="264"/>
      <c r="D410" s="44"/>
      <c r="E410" s="264"/>
      <c r="F410" s="264"/>
      <c r="G410" s="233"/>
      <c r="H410" s="23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</row>
    <row r="411" ht="12.75" customHeight="1">
      <c r="A411" s="256"/>
      <c r="B411" s="1"/>
      <c r="C411" s="264"/>
      <c r="D411" s="44"/>
      <c r="E411" s="264"/>
      <c r="F411" s="264"/>
      <c r="G411" s="233"/>
      <c r="H411" s="23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</row>
    <row r="412" ht="12.75" customHeight="1">
      <c r="A412" s="256"/>
      <c r="B412" s="1"/>
      <c r="C412" s="264"/>
      <c r="D412" s="44"/>
      <c r="E412" s="264"/>
      <c r="F412" s="264"/>
      <c r="G412" s="233"/>
      <c r="H412" s="23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</row>
    <row r="413" ht="12.75" customHeight="1">
      <c r="A413" s="256"/>
      <c r="B413" s="1"/>
      <c r="C413" s="264"/>
      <c r="D413" s="44"/>
      <c r="E413" s="264"/>
      <c r="F413" s="264"/>
      <c r="G413" s="233"/>
      <c r="H413" s="23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</row>
    <row r="414" ht="12.75" customHeight="1">
      <c r="A414" s="256"/>
      <c r="B414" s="1"/>
      <c r="C414" s="264"/>
      <c r="D414" s="44"/>
      <c r="E414" s="264"/>
      <c r="F414" s="264"/>
      <c r="G414" s="233"/>
      <c r="H414" s="23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</row>
    <row r="415" ht="12.75" customHeight="1">
      <c r="A415" s="256"/>
      <c r="B415" s="1"/>
      <c r="C415" s="264"/>
      <c r="D415" s="44"/>
      <c r="E415" s="264"/>
      <c r="F415" s="264"/>
      <c r="G415" s="233"/>
      <c r="H415" s="23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</row>
    <row r="416" ht="12.75" customHeight="1">
      <c r="A416" s="256"/>
      <c r="B416" s="1"/>
      <c r="C416" s="264"/>
      <c r="D416" s="44"/>
      <c r="E416" s="264"/>
      <c r="F416" s="264"/>
      <c r="G416" s="233"/>
      <c r="H416" s="23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</row>
    <row r="417" ht="12.75" customHeight="1">
      <c r="A417" s="256"/>
      <c r="B417" s="1"/>
      <c r="C417" s="264"/>
      <c r="D417" s="44"/>
      <c r="E417" s="264"/>
      <c r="F417" s="264"/>
      <c r="G417" s="233"/>
      <c r="H417" s="23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</row>
    <row r="418" ht="12.75" customHeight="1">
      <c r="A418" s="256"/>
      <c r="B418" s="1"/>
      <c r="C418" s="264"/>
      <c r="D418" s="44"/>
      <c r="E418" s="264"/>
      <c r="F418" s="264"/>
      <c r="G418" s="233"/>
      <c r="H418" s="23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</row>
    <row r="419" ht="12.75" customHeight="1">
      <c r="A419" s="256"/>
      <c r="B419" s="1"/>
      <c r="C419" s="264"/>
      <c r="D419" s="44"/>
      <c r="E419" s="264"/>
      <c r="F419" s="264"/>
      <c r="G419" s="233"/>
      <c r="H419" s="23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</row>
    <row r="420" ht="12.75" customHeight="1">
      <c r="A420" s="256"/>
      <c r="B420" s="1"/>
      <c r="C420" s="264"/>
      <c r="D420" s="44"/>
      <c r="E420" s="264"/>
      <c r="F420" s="264"/>
      <c r="G420" s="233"/>
      <c r="H420" s="23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</row>
    <row r="421" ht="12.75" customHeight="1">
      <c r="A421" s="256"/>
      <c r="B421" s="1"/>
      <c r="C421" s="264"/>
      <c r="D421" s="44"/>
      <c r="E421" s="264"/>
      <c r="F421" s="264"/>
      <c r="G421" s="233"/>
      <c r="H421" s="23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</row>
    <row r="422" ht="12.75" customHeight="1">
      <c r="A422" s="256"/>
      <c r="B422" s="1"/>
      <c r="C422" s="264"/>
      <c r="D422" s="44"/>
      <c r="E422" s="264"/>
      <c r="F422" s="264"/>
      <c r="G422" s="233"/>
      <c r="H422" s="23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</row>
    <row r="423" ht="12.75" customHeight="1">
      <c r="A423" s="256"/>
      <c r="B423" s="1"/>
      <c r="C423" s="264"/>
      <c r="D423" s="44"/>
      <c r="E423" s="264"/>
      <c r="F423" s="264"/>
      <c r="G423" s="233"/>
      <c r="H423" s="23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</row>
    <row r="424" ht="12.75" customHeight="1">
      <c r="A424" s="256"/>
      <c r="B424" s="1"/>
      <c r="C424" s="264"/>
      <c r="D424" s="44"/>
      <c r="E424" s="264"/>
      <c r="F424" s="264"/>
      <c r="G424" s="233"/>
      <c r="H424" s="23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</row>
    <row r="425" ht="12.75" customHeight="1">
      <c r="A425" s="256"/>
      <c r="B425" s="1"/>
      <c r="C425" s="264"/>
      <c r="D425" s="44"/>
      <c r="E425" s="264"/>
      <c r="F425" s="264"/>
      <c r="G425" s="233"/>
      <c r="H425" s="23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</row>
    <row r="426" ht="12.75" customHeight="1">
      <c r="A426" s="256"/>
      <c r="B426" s="1"/>
      <c r="C426" s="264"/>
      <c r="D426" s="44"/>
      <c r="E426" s="264"/>
      <c r="F426" s="264"/>
      <c r="G426" s="233"/>
      <c r="H426" s="23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</row>
    <row r="427" ht="12.75" customHeight="1">
      <c r="A427" s="256"/>
      <c r="B427" s="1"/>
      <c r="C427" s="264"/>
      <c r="D427" s="44"/>
      <c r="E427" s="264"/>
      <c r="F427" s="264"/>
      <c r="G427" s="233"/>
      <c r="H427" s="23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</row>
    <row r="428" ht="12.75" customHeight="1">
      <c r="A428" s="256"/>
      <c r="B428" s="1"/>
      <c r="C428" s="264"/>
      <c r="D428" s="44"/>
      <c r="E428" s="264"/>
      <c r="F428" s="264"/>
      <c r="G428" s="233"/>
      <c r="H428" s="23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</row>
    <row r="429" ht="12.75" customHeight="1">
      <c r="A429" s="256"/>
      <c r="B429" s="1"/>
      <c r="C429" s="264"/>
      <c r="D429" s="44"/>
      <c r="E429" s="264"/>
      <c r="F429" s="264"/>
      <c r="G429" s="233"/>
      <c r="H429" s="23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</row>
    <row r="430" ht="12.75" customHeight="1">
      <c r="A430" s="256"/>
      <c r="B430" s="1"/>
      <c r="C430" s="264"/>
      <c r="D430" s="44"/>
      <c r="E430" s="264"/>
      <c r="F430" s="264"/>
      <c r="G430" s="233"/>
      <c r="H430" s="23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</row>
    <row r="431" ht="12.75" customHeight="1">
      <c r="A431" s="256"/>
      <c r="B431" s="1"/>
      <c r="C431" s="264"/>
      <c r="D431" s="44"/>
      <c r="E431" s="264"/>
      <c r="F431" s="264"/>
      <c r="G431" s="233"/>
      <c r="H431" s="23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</row>
    <row r="432" ht="12.75" customHeight="1">
      <c r="A432" s="256"/>
      <c r="B432" s="1"/>
      <c r="C432" s="264"/>
      <c r="D432" s="44"/>
      <c r="E432" s="264"/>
      <c r="F432" s="264"/>
      <c r="G432" s="233"/>
      <c r="H432" s="23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</row>
    <row r="433" ht="12.75" customHeight="1">
      <c r="A433" s="256"/>
      <c r="B433" s="1"/>
      <c r="C433" s="264"/>
      <c r="D433" s="44"/>
      <c r="E433" s="264"/>
      <c r="F433" s="264"/>
      <c r="G433" s="233"/>
      <c r="H433" s="23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</row>
    <row r="434" ht="12.75" customHeight="1">
      <c r="A434" s="256"/>
      <c r="B434" s="1"/>
      <c r="C434" s="264"/>
      <c r="D434" s="44"/>
      <c r="E434" s="264"/>
      <c r="F434" s="264"/>
      <c r="G434" s="233"/>
      <c r="H434" s="23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</row>
    <row r="435" ht="12.75" customHeight="1">
      <c r="A435" s="256"/>
      <c r="B435" s="1"/>
      <c r="C435" s="264"/>
      <c r="D435" s="44"/>
      <c r="E435" s="264"/>
      <c r="F435" s="264"/>
      <c r="G435" s="233"/>
      <c r="H435" s="23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</row>
    <row r="436" ht="12.75" customHeight="1">
      <c r="A436" s="256"/>
      <c r="B436" s="1"/>
      <c r="C436" s="264"/>
      <c r="D436" s="44"/>
      <c r="E436" s="264"/>
      <c r="F436" s="264"/>
      <c r="G436" s="233"/>
      <c r="H436" s="23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</row>
    <row r="437" ht="12.75" customHeight="1">
      <c r="A437" s="256"/>
      <c r="B437" s="1"/>
      <c r="C437" s="264"/>
      <c r="D437" s="44"/>
      <c r="E437" s="264"/>
      <c r="F437" s="264"/>
      <c r="G437" s="233"/>
      <c r="H437" s="23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</row>
    <row r="438" ht="12.75" customHeight="1">
      <c r="A438" s="256"/>
      <c r="B438" s="1"/>
      <c r="C438" s="264"/>
      <c r="D438" s="44"/>
      <c r="E438" s="264"/>
      <c r="F438" s="264"/>
      <c r="G438" s="233"/>
      <c r="H438" s="23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</row>
    <row r="439" ht="12.75" customHeight="1">
      <c r="A439" s="256"/>
      <c r="B439" s="1"/>
      <c r="C439" s="264"/>
      <c r="D439" s="44"/>
      <c r="E439" s="264"/>
      <c r="F439" s="264"/>
      <c r="G439" s="233"/>
      <c r="H439" s="23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</row>
    <row r="440" ht="12.75" customHeight="1">
      <c r="A440" s="256"/>
      <c r="B440" s="1"/>
      <c r="C440" s="264"/>
      <c r="D440" s="44"/>
      <c r="E440" s="264"/>
      <c r="F440" s="264"/>
      <c r="G440" s="233"/>
      <c r="H440" s="23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</row>
    <row r="441" ht="12.75" customHeight="1">
      <c r="A441" s="256"/>
      <c r="B441" s="1"/>
      <c r="C441" s="264"/>
      <c r="D441" s="44"/>
      <c r="E441" s="264"/>
      <c r="F441" s="264"/>
      <c r="G441" s="233"/>
      <c r="H441" s="23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</row>
    <row r="442" ht="12.75" customHeight="1">
      <c r="A442" s="256"/>
      <c r="B442" s="1"/>
      <c r="C442" s="264"/>
      <c r="D442" s="44"/>
      <c r="E442" s="264"/>
      <c r="F442" s="264"/>
      <c r="G442" s="233"/>
      <c r="H442" s="23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</row>
    <row r="443" ht="12.75" customHeight="1">
      <c r="A443" s="256"/>
      <c r="B443" s="1"/>
      <c r="C443" s="264"/>
      <c r="D443" s="44"/>
      <c r="E443" s="264"/>
      <c r="F443" s="264"/>
      <c r="G443" s="233"/>
      <c r="H443" s="23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</row>
    <row r="444" ht="12.75" customHeight="1">
      <c r="A444" s="256"/>
      <c r="B444" s="1"/>
      <c r="C444" s="264"/>
      <c r="D444" s="44"/>
      <c r="E444" s="264"/>
      <c r="F444" s="264"/>
      <c r="G444" s="233"/>
      <c r="H444" s="23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</row>
    <row r="445" ht="12.75" customHeight="1">
      <c r="A445" s="256"/>
      <c r="B445" s="1"/>
      <c r="C445" s="264"/>
      <c r="D445" s="44"/>
      <c r="E445" s="264"/>
      <c r="F445" s="264"/>
      <c r="G445" s="233"/>
      <c r="H445" s="23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</row>
    <row r="446" ht="12.75" customHeight="1">
      <c r="A446" s="256"/>
      <c r="B446" s="1"/>
      <c r="C446" s="264"/>
      <c r="D446" s="44"/>
      <c r="E446" s="264"/>
      <c r="F446" s="264"/>
      <c r="G446" s="233"/>
      <c r="H446" s="23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</row>
    <row r="447" ht="12.75" customHeight="1">
      <c r="A447" s="256"/>
      <c r="B447" s="1"/>
      <c r="C447" s="264"/>
      <c r="D447" s="44"/>
      <c r="E447" s="264"/>
      <c r="F447" s="264"/>
      <c r="G447" s="233"/>
      <c r="H447" s="233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</row>
    <row r="448" ht="12.75" customHeight="1">
      <c r="A448" s="256"/>
      <c r="B448" s="1"/>
      <c r="C448" s="264"/>
      <c r="D448" s="44"/>
      <c r="E448" s="264"/>
      <c r="F448" s="264"/>
      <c r="G448" s="233"/>
      <c r="H448" s="233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</row>
    <row r="449" ht="12.75" customHeight="1">
      <c r="A449" s="256"/>
      <c r="B449" s="1"/>
      <c r="C449" s="264"/>
      <c r="D449" s="44"/>
      <c r="E449" s="264"/>
      <c r="F449" s="264"/>
      <c r="G449" s="233"/>
      <c r="H449" s="233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</row>
    <row r="450" ht="12.75" customHeight="1">
      <c r="A450" s="256"/>
      <c r="B450" s="1"/>
      <c r="C450" s="264"/>
      <c r="D450" s="44"/>
      <c r="E450" s="264"/>
      <c r="F450" s="264"/>
      <c r="G450" s="233"/>
      <c r="H450" s="233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</row>
    <row r="451" ht="12.75" customHeight="1">
      <c r="A451" s="256"/>
      <c r="B451" s="1"/>
      <c r="C451" s="264"/>
      <c r="D451" s="44"/>
      <c r="E451" s="264"/>
      <c r="F451" s="264"/>
      <c r="G451" s="233"/>
      <c r="H451" s="233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</row>
    <row r="452" ht="12.75" customHeight="1">
      <c r="A452" s="256"/>
      <c r="B452" s="1"/>
      <c r="C452" s="264"/>
      <c r="D452" s="44"/>
      <c r="E452" s="264"/>
      <c r="F452" s="264"/>
      <c r="G452" s="233"/>
      <c r="H452" s="233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</row>
    <row r="453" ht="12.75" customHeight="1">
      <c r="A453" s="256"/>
      <c r="B453" s="1"/>
      <c r="C453" s="264"/>
      <c r="D453" s="44"/>
      <c r="E453" s="264"/>
      <c r="F453" s="264"/>
      <c r="G453" s="233"/>
      <c r="H453" s="233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</row>
    <row r="454" ht="12.75" customHeight="1">
      <c r="A454" s="256"/>
      <c r="B454" s="1"/>
      <c r="C454" s="264"/>
      <c r="D454" s="44"/>
      <c r="E454" s="264"/>
      <c r="F454" s="264"/>
      <c r="G454" s="233"/>
      <c r="H454" s="233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</row>
    <row r="455" ht="12.75" customHeight="1">
      <c r="A455" s="256"/>
      <c r="B455" s="1"/>
      <c r="C455" s="264"/>
      <c r="D455" s="44"/>
      <c r="E455" s="264"/>
      <c r="F455" s="264"/>
      <c r="G455" s="233"/>
      <c r="H455" s="233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</row>
    <row r="456" ht="12.75" customHeight="1">
      <c r="A456" s="256"/>
      <c r="B456" s="1"/>
      <c r="C456" s="264"/>
      <c r="D456" s="44"/>
      <c r="E456" s="264"/>
      <c r="F456" s="264"/>
      <c r="G456" s="233"/>
      <c r="H456" s="233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</row>
    <row r="457" ht="12.75" customHeight="1">
      <c r="A457" s="256"/>
      <c r="B457" s="1"/>
      <c r="C457" s="264"/>
      <c r="D457" s="44"/>
      <c r="E457" s="264"/>
      <c r="F457" s="264"/>
      <c r="G457" s="233"/>
      <c r="H457" s="233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</row>
    <row r="458" ht="12.75" customHeight="1">
      <c r="A458" s="256"/>
      <c r="B458" s="1"/>
      <c r="C458" s="264"/>
      <c r="D458" s="44"/>
      <c r="E458" s="264"/>
      <c r="F458" s="264"/>
      <c r="G458" s="233"/>
      <c r="H458" s="233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</row>
    <row r="459" ht="12.75" customHeight="1">
      <c r="A459" s="256"/>
      <c r="B459" s="1"/>
      <c r="C459" s="264"/>
      <c r="D459" s="44"/>
      <c r="E459" s="264"/>
      <c r="F459" s="264"/>
      <c r="G459" s="233"/>
      <c r="H459" s="233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</row>
    <row r="460" ht="12.75" customHeight="1">
      <c r="A460" s="256"/>
      <c r="B460" s="1"/>
      <c r="C460" s="264"/>
      <c r="D460" s="44"/>
      <c r="E460" s="264"/>
      <c r="F460" s="264"/>
      <c r="G460" s="233"/>
      <c r="H460" s="233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</row>
    <row r="461" ht="12.75" customHeight="1">
      <c r="A461" s="256"/>
      <c r="B461" s="1"/>
      <c r="C461" s="264"/>
      <c r="D461" s="44"/>
      <c r="E461" s="264"/>
      <c r="F461" s="264"/>
      <c r="G461" s="233"/>
      <c r="H461" s="233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</row>
    <row r="462" ht="12.75" customHeight="1">
      <c r="A462" s="256"/>
      <c r="B462" s="1"/>
      <c r="C462" s="264"/>
      <c r="D462" s="44"/>
      <c r="E462" s="264"/>
      <c r="F462" s="264"/>
      <c r="G462" s="233"/>
      <c r="H462" s="233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</row>
    <row r="463" ht="12.75" customHeight="1">
      <c r="A463" s="256"/>
      <c r="B463" s="1"/>
      <c r="C463" s="264"/>
      <c r="D463" s="44"/>
      <c r="E463" s="264"/>
      <c r="F463" s="264"/>
      <c r="G463" s="233"/>
      <c r="H463" s="233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</row>
    <row r="464" ht="12.75" customHeight="1">
      <c r="A464" s="256"/>
      <c r="B464" s="1"/>
      <c r="C464" s="264"/>
      <c r="D464" s="44"/>
      <c r="E464" s="264"/>
      <c r="F464" s="264"/>
      <c r="G464" s="233"/>
      <c r="H464" s="233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</row>
    <row r="465" ht="12.75" customHeight="1">
      <c r="A465" s="256"/>
      <c r="B465" s="1"/>
      <c r="C465" s="264"/>
      <c r="D465" s="44"/>
      <c r="E465" s="264"/>
      <c r="F465" s="264"/>
      <c r="G465" s="233"/>
      <c r="H465" s="233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</row>
    <row r="466" ht="12.75" customHeight="1">
      <c r="A466" s="256"/>
      <c r="B466" s="1"/>
      <c r="C466" s="264"/>
      <c r="D466" s="44"/>
      <c r="E466" s="264"/>
      <c r="F466" s="264"/>
      <c r="G466" s="233"/>
      <c r="H466" s="233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</row>
    <row r="467" ht="12.75" customHeight="1">
      <c r="A467" s="256"/>
      <c r="B467" s="1"/>
      <c r="C467" s="264"/>
      <c r="D467" s="44"/>
      <c r="E467" s="264"/>
      <c r="F467" s="264"/>
      <c r="G467" s="233"/>
      <c r="H467" s="233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</row>
    <row r="468" ht="12.75" customHeight="1">
      <c r="A468" s="256"/>
      <c r="B468" s="1"/>
      <c r="C468" s="264"/>
      <c r="D468" s="44"/>
      <c r="E468" s="264"/>
      <c r="F468" s="264"/>
      <c r="G468" s="233"/>
      <c r="H468" s="233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</row>
    <row r="469" ht="12.75" customHeight="1">
      <c r="A469" s="256"/>
      <c r="B469" s="1"/>
      <c r="C469" s="264"/>
      <c r="D469" s="44"/>
      <c r="E469" s="264"/>
      <c r="F469" s="264"/>
      <c r="G469" s="233"/>
      <c r="H469" s="233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</row>
    <row r="470" ht="12.75" customHeight="1">
      <c r="A470" s="256"/>
      <c r="B470" s="1"/>
      <c r="C470" s="264"/>
      <c r="D470" s="44"/>
      <c r="E470" s="264"/>
      <c r="F470" s="264"/>
      <c r="G470" s="233"/>
      <c r="H470" s="233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</row>
    <row r="471" ht="12.75" customHeight="1">
      <c r="A471" s="256"/>
      <c r="B471" s="1"/>
      <c r="C471" s="264"/>
      <c r="D471" s="44"/>
      <c r="E471" s="264"/>
      <c r="F471" s="264"/>
      <c r="G471" s="233"/>
      <c r="H471" s="233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</row>
    <row r="472" ht="12.75" customHeight="1">
      <c r="A472" s="256"/>
      <c r="B472" s="1"/>
      <c r="C472" s="264"/>
      <c r="D472" s="44"/>
      <c r="E472" s="264"/>
      <c r="F472" s="264"/>
      <c r="G472" s="233"/>
      <c r="H472" s="233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</row>
    <row r="473" ht="12.75" customHeight="1">
      <c r="A473" s="256"/>
      <c r="B473" s="1"/>
      <c r="C473" s="264"/>
      <c r="D473" s="44"/>
      <c r="E473" s="264"/>
      <c r="F473" s="264"/>
      <c r="G473" s="233"/>
      <c r="H473" s="233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</row>
    <row r="474" ht="12.75" customHeight="1">
      <c r="A474" s="256"/>
      <c r="B474" s="1"/>
      <c r="C474" s="264"/>
      <c r="D474" s="44"/>
      <c r="E474" s="264"/>
      <c r="F474" s="264"/>
      <c r="G474" s="233"/>
      <c r="H474" s="233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</row>
    <row r="475" ht="12.75" customHeight="1">
      <c r="A475" s="256"/>
      <c r="B475" s="1"/>
      <c r="C475" s="264"/>
      <c r="D475" s="44"/>
      <c r="E475" s="264"/>
      <c r="F475" s="264"/>
      <c r="G475" s="233"/>
      <c r="H475" s="233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</row>
    <row r="476" ht="12.75" customHeight="1">
      <c r="A476" s="256"/>
      <c r="B476" s="1"/>
      <c r="C476" s="264"/>
      <c r="D476" s="44"/>
      <c r="E476" s="264"/>
      <c r="F476" s="264"/>
      <c r="G476" s="233"/>
      <c r="H476" s="233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</row>
    <row r="477" ht="12.75" customHeight="1">
      <c r="A477" s="256"/>
      <c r="B477" s="1"/>
      <c r="C477" s="264"/>
      <c r="D477" s="44"/>
      <c r="E477" s="264"/>
      <c r="F477" s="264"/>
      <c r="G477" s="233"/>
      <c r="H477" s="233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</row>
    <row r="478" ht="12.75" customHeight="1">
      <c r="A478" s="256"/>
      <c r="B478" s="1"/>
      <c r="C478" s="264"/>
      <c r="D478" s="44"/>
      <c r="E478" s="264"/>
      <c r="F478" s="264"/>
      <c r="G478" s="233"/>
      <c r="H478" s="233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</row>
    <row r="479" ht="12.75" customHeight="1">
      <c r="A479" s="256"/>
      <c r="B479" s="1"/>
      <c r="C479" s="264"/>
      <c r="D479" s="44"/>
      <c r="E479" s="264"/>
      <c r="F479" s="264"/>
      <c r="G479" s="233"/>
      <c r="H479" s="233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</row>
    <row r="480" ht="12.75" customHeight="1">
      <c r="A480" s="256"/>
      <c r="B480" s="1"/>
      <c r="C480" s="264"/>
      <c r="D480" s="44"/>
      <c r="E480" s="264"/>
      <c r="F480" s="264"/>
      <c r="G480" s="233"/>
      <c r="H480" s="233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</row>
    <row r="481" ht="12.75" customHeight="1">
      <c r="A481" s="256"/>
      <c r="B481" s="1"/>
      <c r="C481" s="264"/>
      <c r="D481" s="44"/>
      <c r="E481" s="264"/>
      <c r="F481" s="264"/>
      <c r="G481" s="233"/>
      <c r="H481" s="233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</row>
    <row r="482" ht="12.75" customHeight="1">
      <c r="A482" s="256"/>
      <c r="B482" s="1"/>
      <c r="C482" s="264"/>
      <c r="D482" s="44"/>
      <c r="E482" s="264"/>
      <c r="F482" s="264"/>
      <c r="G482" s="233"/>
      <c r="H482" s="233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</row>
    <row r="483" ht="12.75" customHeight="1">
      <c r="A483" s="256"/>
      <c r="B483" s="1"/>
      <c r="C483" s="264"/>
      <c r="D483" s="44"/>
      <c r="E483" s="264"/>
      <c r="F483" s="264"/>
      <c r="G483" s="233"/>
      <c r="H483" s="233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</row>
    <row r="484" ht="12.75" customHeight="1">
      <c r="A484" s="256"/>
      <c r="B484" s="1"/>
      <c r="C484" s="264"/>
      <c r="D484" s="44"/>
      <c r="E484" s="264"/>
      <c r="F484" s="264"/>
      <c r="G484" s="233"/>
      <c r="H484" s="233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</row>
    <row r="485" ht="12.75" customHeight="1">
      <c r="A485" s="256"/>
      <c r="B485" s="1"/>
      <c r="C485" s="264"/>
      <c r="D485" s="44"/>
      <c r="E485" s="264"/>
      <c r="F485" s="264"/>
      <c r="G485" s="233"/>
      <c r="H485" s="233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</row>
    <row r="486" ht="12.75" customHeight="1">
      <c r="A486" s="256"/>
      <c r="B486" s="1"/>
      <c r="C486" s="264"/>
      <c r="D486" s="44"/>
      <c r="E486" s="264"/>
      <c r="F486" s="264"/>
      <c r="G486" s="233"/>
      <c r="H486" s="233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</row>
    <row r="487" ht="12.75" customHeight="1">
      <c r="A487" s="256"/>
      <c r="B487" s="1"/>
      <c r="C487" s="264"/>
      <c r="D487" s="44"/>
      <c r="E487" s="264"/>
      <c r="F487" s="264"/>
      <c r="G487" s="233"/>
      <c r="H487" s="233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</row>
    <row r="488" ht="12.75" customHeight="1">
      <c r="A488" s="256"/>
      <c r="B488" s="1"/>
      <c r="C488" s="264"/>
      <c r="D488" s="44"/>
      <c r="E488" s="264"/>
      <c r="F488" s="264"/>
      <c r="G488" s="233"/>
      <c r="H488" s="233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</row>
    <row r="489" ht="12.75" customHeight="1">
      <c r="A489" s="256"/>
      <c r="B489" s="1"/>
      <c r="C489" s="264"/>
      <c r="D489" s="44"/>
      <c r="E489" s="264"/>
      <c r="F489" s="264"/>
      <c r="G489" s="233"/>
      <c r="H489" s="233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</row>
    <row r="490" ht="12.75" customHeight="1">
      <c r="A490" s="256"/>
      <c r="B490" s="1"/>
      <c r="C490" s="264"/>
      <c r="D490" s="44"/>
      <c r="E490" s="264"/>
      <c r="F490" s="264"/>
      <c r="G490" s="233"/>
      <c r="H490" s="233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</row>
    <row r="491" ht="12.75" customHeight="1">
      <c r="A491" s="256"/>
      <c r="B491" s="1"/>
      <c r="C491" s="264"/>
      <c r="D491" s="44"/>
      <c r="E491" s="264"/>
      <c r="F491" s="264"/>
      <c r="G491" s="233"/>
      <c r="H491" s="233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</row>
    <row r="492" ht="12.75" customHeight="1">
      <c r="A492" s="256"/>
      <c r="B492" s="1"/>
      <c r="C492" s="264"/>
      <c r="D492" s="44"/>
      <c r="E492" s="264"/>
      <c r="F492" s="264"/>
      <c r="G492" s="233"/>
      <c r="H492" s="233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</row>
    <row r="493" ht="12.75" customHeight="1">
      <c r="A493" s="256"/>
      <c r="B493" s="1"/>
      <c r="C493" s="264"/>
      <c r="D493" s="44"/>
      <c r="E493" s="264"/>
      <c r="F493" s="264"/>
      <c r="G493" s="233"/>
      <c r="H493" s="233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</row>
    <row r="494" ht="12.75" customHeight="1">
      <c r="A494" s="256"/>
      <c r="B494" s="1"/>
      <c r="C494" s="264"/>
      <c r="D494" s="44"/>
      <c r="E494" s="264"/>
      <c r="F494" s="264"/>
      <c r="G494" s="233"/>
      <c r="H494" s="233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</row>
    <row r="495" ht="12.75" customHeight="1">
      <c r="A495" s="256"/>
      <c r="B495" s="1"/>
      <c r="C495" s="264"/>
      <c r="D495" s="44"/>
      <c r="E495" s="264"/>
      <c r="F495" s="264"/>
      <c r="G495" s="233"/>
      <c r="H495" s="233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</row>
    <row r="496" ht="12.75" customHeight="1">
      <c r="A496" s="256"/>
      <c r="B496" s="1"/>
      <c r="C496" s="264"/>
      <c r="D496" s="44"/>
      <c r="E496" s="264"/>
      <c r="F496" s="264"/>
      <c r="G496" s="233"/>
      <c r="H496" s="233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</row>
    <row r="497" ht="12.75" customHeight="1">
      <c r="A497" s="256"/>
      <c r="B497" s="1"/>
      <c r="C497" s="264"/>
      <c r="D497" s="44"/>
      <c r="E497" s="264"/>
      <c r="F497" s="264"/>
      <c r="G497" s="233"/>
      <c r="H497" s="233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</row>
    <row r="498" ht="12.75" customHeight="1">
      <c r="A498" s="256"/>
      <c r="B498" s="1"/>
      <c r="C498" s="264"/>
      <c r="D498" s="44"/>
      <c r="E498" s="264"/>
      <c r="F498" s="264"/>
      <c r="G498" s="233"/>
      <c r="H498" s="233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</row>
    <row r="499" ht="12.75" customHeight="1">
      <c r="A499" s="256"/>
      <c r="B499" s="1"/>
      <c r="C499" s="264"/>
      <c r="D499" s="44"/>
      <c r="E499" s="264"/>
      <c r="F499" s="264"/>
      <c r="G499" s="233"/>
      <c r="H499" s="233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</row>
    <row r="500" ht="12.75" customHeight="1">
      <c r="A500" s="256"/>
      <c r="B500" s="1"/>
      <c r="C500" s="264"/>
      <c r="D500" s="44"/>
      <c r="E500" s="264"/>
      <c r="F500" s="264"/>
      <c r="G500" s="233"/>
      <c r="H500" s="23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</row>
    <row r="501" ht="12.75" customHeight="1">
      <c r="A501" s="256"/>
      <c r="B501" s="1"/>
      <c r="C501" s="264"/>
      <c r="D501" s="44"/>
      <c r="E501" s="264"/>
      <c r="F501" s="264"/>
      <c r="G501" s="233"/>
      <c r="H501" s="233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</row>
    <row r="502" ht="12.75" customHeight="1">
      <c r="A502" s="256"/>
      <c r="B502" s="1"/>
      <c r="C502" s="264"/>
      <c r="D502" s="44"/>
      <c r="E502" s="264"/>
      <c r="F502" s="264"/>
      <c r="G502" s="233"/>
      <c r="H502" s="233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</row>
    <row r="503" ht="12.75" customHeight="1">
      <c r="A503" s="256"/>
      <c r="B503" s="1"/>
      <c r="C503" s="264"/>
      <c r="D503" s="44"/>
      <c r="E503" s="264"/>
      <c r="F503" s="264"/>
      <c r="G503" s="233"/>
      <c r="H503" s="233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</row>
    <row r="504" ht="12.75" customHeight="1">
      <c r="A504" s="256"/>
      <c r="B504" s="1"/>
      <c r="C504" s="264"/>
      <c r="D504" s="44"/>
      <c r="E504" s="264"/>
      <c r="F504" s="264"/>
      <c r="G504" s="233"/>
      <c r="H504" s="233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</row>
    <row r="505" ht="12.75" customHeight="1">
      <c r="A505" s="256"/>
      <c r="B505" s="1"/>
      <c r="C505" s="264"/>
      <c r="D505" s="44"/>
      <c r="E505" s="264"/>
      <c r="F505" s="264"/>
      <c r="G505" s="233"/>
      <c r="H505" s="233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</row>
    <row r="506" ht="12.75" customHeight="1">
      <c r="A506" s="256"/>
      <c r="B506" s="1"/>
      <c r="C506" s="264"/>
      <c r="D506" s="44"/>
      <c r="E506" s="264"/>
      <c r="F506" s="264"/>
      <c r="G506" s="233"/>
      <c r="H506" s="233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</row>
    <row r="507" ht="12.75" customHeight="1">
      <c r="A507" s="256"/>
      <c r="B507" s="1"/>
      <c r="C507" s="264"/>
      <c r="D507" s="44"/>
      <c r="E507" s="264"/>
      <c r="F507" s="264"/>
      <c r="G507" s="233"/>
      <c r="H507" s="233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</row>
    <row r="508" ht="12.75" customHeight="1">
      <c r="A508" s="256"/>
      <c r="B508" s="1"/>
      <c r="C508" s="264"/>
      <c r="D508" s="44"/>
      <c r="E508" s="264"/>
      <c r="F508" s="264"/>
      <c r="G508" s="233"/>
      <c r="H508" s="233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</row>
    <row r="509" ht="12.75" customHeight="1">
      <c r="A509" s="256"/>
      <c r="B509" s="1"/>
      <c r="C509" s="264"/>
      <c r="D509" s="44"/>
      <c r="E509" s="264"/>
      <c r="F509" s="264"/>
      <c r="G509" s="233"/>
      <c r="H509" s="233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</row>
    <row r="510" ht="12.75" customHeight="1">
      <c r="A510" s="256"/>
      <c r="B510" s="1"/>
      <c r="C510" s="264"/>
      <c r="D510" s="44"/>
      <c r="E510" s="264"/>
      <c r="F510" s="264"/>
      <c r="G510" s="233"/>
      <c r="H510" s="233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</row>
    <row r="511" ht="12.75" customHeight="1">
      <c r="A511" s="256"/>
      <c r="B511" s="1"/>
      <c r="C511" s="264"/>
      <c r="D511" s="44"/>
      <c r="E511" s="264"/>
      <c r="F511" s="264"/>
      <c r="G511" s="233"/>
      <c r="H511" s="233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</row>
    <row r="512" ht="12.75" customHeight="1">
      <c r="A512" s="256"/>
      <c r="B512" s="1"/>
      <c r="C512" s="264"/>
      <c r="D512" s="44"/>
      <c r="E512" s="264"/>
      <c r="F512" s="264"/>
      <c r="G512" s="233"/>
      <c r="H512" s="233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</row>
    <row r="513" ht="12.75" customHeight="1">
      <c r="A513" s="256"/>
      <c r="B513" s="1"/>
      <c r="C513" s="264"/>
      <c r="D513" s="44"/>
      <c r="E513" s="264"/>
      <c r="F513" s="264"/>
      <c r="G513" s="233"/>
      <c r="H513" s="233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</row>
    <row r="514" ht="12.75" customHeight="1">
      <c r="A514" s="256"/>
      <c r="B514" s="1"/>
      <c r="C514" s="264"/>
      <c r="D514" s="44"/>
      <c r="E514" s="264"/>
      <c r="F514" s="264"/>
      <c r="G514" s="233"/>
      <c r="H514" s="233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</row>
    <row r="515" ht="12.75" customHeight="1">
      <c r="A515" s="256"/>
      <c r="B515" s="1"/>
      <c r="C515" s="264"/>
      <c r="D515" s="44"/>
      <c r="E515" s="264"/>
      <c r="F515" s="264"/>
      <c r="G515" s="233"/>
      <c r="H515" s="233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</row>
    <row r="516" ht="12.75" customHeight="1">
      <c r="A516" s="256"/>
      <c r="B516" s="1"/>
      <c r="C516" s="264"/>
      <c r="D516" s="44"/>
      <c r="E516" s="264"/>
      <c r="F516" s="264"/>
      <c r="G516" s="233"/>
      <c r="H516" s="233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</row>
    <row r="517" ht="12.75" customHeight="1">
      <c r="A517" s="256"/>
      <c r="B517" s="1"/>
      <c r="C517" s="264"/>
      <c r="D517" s="44"/>
      <c r="E517" s="264"/>
      <c r="F517" s="264"/>
      <c r="G517" s="233"/>
      <c r="H517" s="233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</row>
    <row r="518" ht="12.75" customHeight="1">
      <c r="A518" s="256"/>
      <c r="B518" s="1"/>
      <c r="C518" s="264"/>
      <c r="D518" s="44"/>
      <c r="E518" s="264"/>
      <c r="F518" s="264"/>
      <c r="G518" s="233"/>
      <c r="H518" s="23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</row>
    <row r="519" ht="12.75" customHeight="1">
      <c r="A519" s="256"/>
      <c r="B519" s="1"/>
      <c r="C519" s="264"/>
      <c r="D519" s="44"/>
      <c r="E519" s="264"/>
      <c r="F519" s="264"/>
      <c r="G519" s="233"/>
      <c r="H519" s="233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</row>
    <row r="520" ht="12.75" customHeight="1">
      <c r="A520" s="256"/>
      <c r="B520" s="1"/>
      <c r="C520" s="264"/>
      <c r="D520" s="44"/>
      <c r="E520" s="264"/>
      <c r="F520" s="264"/>
      <c r="G520" s="233"/>
      <c r="H520" s="233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</row>
    <row r="521" ht="12.75" customHeight="1">
      <c r="A521" s="256"/>
      <c r="B521" s="1"/>
      <c r="C521" s="264"/>
      <c r="D521" s="44"/>
      <c r="E521" s="264"/>
      <c r="F521" s="264"/>
      <c r="G521" s="233"/>
      <c r="H521" s="233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</row>
    <row r="522" ht="12.75" customHeight="1">
      <c r="A522" s="256"/>
      <c r="B522" s="1"/>
      <c r="C522" s="264"/>
      <c r="D522" s="44"/>
      <c r="E522" s="264"/>
      <c r="F522" s="264"/>
      <c r="G522" s="233"/>
      <c r="H522" s="233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</row>
    <row r="523" ht="12.75" customHeight="1">
      <c r="A523" s="256"/>
      <c r="B523" s="1"/>
      <c r="C523" s="264"/>
      <c r="D523" s="44"/>
      <c r="E523" s="264"/>
      <c r="F523" s="264"/>
      <c r="G523" s="233"/>
      <c r="H523" s="233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</row>
    <row r="524" ht="12.75" customHeight="1">
      <c r="A524" s="256"/>
      <c r="B524" s="1"/>
      <c r="C524" s="264"/>
      <c r="D524" s="44"/>
      <c r="E524" s="264"/>
      <c r="F524" s="264"/>
      <c r="G524" s="233"/>
      <c r="H524" s="233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</row>
    <row r="525" ht="12.75" customHeight="1">
      <c r="A525" s="256"/>
      <c r="B525" s="1"/>
      <c r="C525" s="264"/>
      <c r="D525" s="44"/>
      <c r="E525" s="264"/>
      <c r="F525" s="264"/>
      <c r="G525" s="233"/>
      <c r="H525" s="233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</row>
    <row r="526" ht="12.75" customHeight="1">
      <c r="A526" s="256"/>
      <c r="B526" s="1"/>
      <c r="C526" s="264"/>
      <c r="D526" s="44"/>
      <c r="E526" s="264"/>
      <c r="F526" s="264"/>
      <c r="G526" s="233"/>
      <c r="H526" s="233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</row>
    <row r="527" ht="12.75" customHeight="1">
      <c r="A527" s="256"/>
      <c r="B527" s="1"/>
      <c r="C527" s="264"/>
      <c r="D527" s="44"/>
      <c r="E527" s="264"/>
      <c r="F527" s="264"/>
      <c r="G527" s="233"/>
      <c r="H527" s="233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</row>
    <row r="528" ht="12.75" customHeight="1">
      <c r="A528" s="256"/>
      <c r="B528" s="1"/>
      <c r="C528" s="264"/>
      <c r="D528" s="44"/>
      <c r="E528" s="264"/>
      <c r="F528" s="264"/>
      <c r="G528" s="233"/>
      <c r="H528" s="233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</row>
    <row r="529" ht="12.75" customHeight="1">
      <c r="A529" s="256"/>
      <c r="B529" s="1"/>
      <c r="C529" s="264"/>
      <c r="D529" s="44"/>
      <c r="E529" s="264"/>
      <c r="F529" s="264"/>
      <c r="G529" s="233"/>
      <c r="H529" s="233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</row>
    <row r="530" ht="12.75" customHeight="1">
      <c r="A530" s="256"/>
      <c r="B530" s="1"/>
      <c r="C530" s="264"/>
      <c r="D530" s="44"/>
      <c r="E530" s="264"/>
      <c r="F530" s="264"/>
      <c r="G530" s="233"/>
      <c r="H530" s="233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</row>
    <row r="531" ht="12.75" customHeight="1">
      <c r="A531" s="256"/>
      <c r="B531" s="1"/>
      <c r="C531" s="264"/>
      <c r="D531" s="44"/>
      <c r="E531" s="264"/>
      <c r="F531" s="264"/>
      <c r="G531" s="233"/>
      <c r="H531" s="233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</row>
    <row r="532" ht="12.75" customHeight="1">
      <c r="A532" s="256"/>
      <c r="B532" s="1"/>
      <c r="C532" s="264"/>
      <c r="D532" s="44"/>
      <c r="E532" s="264"/>
      <c r="F532" s="264"/>
      <c r="G532" s="233"/>
      <c r="H532" s="233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</row>
    <row r="533" ht="12.75" customHeight="1">
      <c r="A533" s="256"/>
      <c r="B533" s="1"/>
      <c r="C533" s="264"/>
      <c r="D533" s="44"/>
      <c r="E533" s="264"/>
      <c r="F533" s="264"/>
      <c r="G533" s="233"/>
      <c r="H533" s="233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</row>
    <row r="534" ht="12.75" customHeight="1">
      <c r="A534" s="256"/>
      <c r="B534" s="1"/>
      <c r="C534" s="264"/>
      <c r="D534" s="44"/>
      <c r="E534" s="264"/>
      <c r="F534" s="264"/>
      <c r="G534" s="233"/>
      <c r="H534" s="233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</row>
    <row r="535" ht="12.75" customHeight="1">
      <c r="A535" s="256"/>
      <c r="B535" s="1"/>
      <c r="C535" s="264"/>
      <c r="D535" s="44"/>
      <c r="E535" s="264"/>
      <c r="F535" s="264"/>
      <c r="G535" s="233"/>
      <c r="H535" s="233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</row>
    <row r="536" ht="12.75" customHeight="1">
      <c r="A536" s="256"/>
      <c r="B536" s="1"/>
      <c r="C536" s="264"/>
      <c r="D536" s="44"/>
      <c r="E536" s="264"/>
      <c r="F536" s="264"/>
      <c r="G536" s="233"/>
      <c r="H536" s="233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</row>
    <row r="537" ht="12.75" customHeight="1">
      <c r="A537" s="256"/>
      <c r="B537" s="1"/>
      <c r="C537" s="264"/>
      <c r="D537" s="44"/>
      <c r="E537" s="264"/>
      <c r="F537" s="264"/>
      <c r="G537" s="233"/>
      <c r="H537" s="233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</row>
    <row r="538" ht="12.75" customHeight="1">
      <c r="A538" s="256"/>
      <c r="B538" s="1"/>
      <c r="C538" s="264"/>
      <c r="D538" s="44"/>
      <c r="E538" s="264"/>
      <c r="F538" s="264"/>
      <c r="G538" s="233"/>
      <c r="H538" s="233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</row>
    <row r="539" ht="12.75" customHeight="1">
      <c r="A539" s="256"/>
      <c r="B539" s="1"/>
      <c r="C539" s="264"/>
      <c r="D539" s="44"/>
      <c r="E539" s="264"/>
      <c r="F539" s="264"/>
      <c r="G539" s="233"/>
      <c r="H539" s="233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</row>
    <row r="540" ht="12.75" customHeight="1">
      <c r="A540" s="256"/>
      <c r="B540" s="1"/>
      <c r="C540" s="264"/>
      <c r="D540" s="44"/>
      <c r="E540" s="264"/>
      <c r="F540" s="264"/>
      <c r="G540" s="233"/>
      <c r="H540" s="233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</row>
    <row r="541" ht="12.75" customHeight="1">
      <c r="A541" s="256"/>
      <c r="B541" s="1"/>
      <c r="C541" s="264"/>
      <c r="D541" s="44"/>
      <c r="E541" s="264"/>
      <c r="F541" s="264"/>
      <c r="G541" s="233"/>
      <c r="H541" s="233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</row>
    <row r="542" ht="12.75" customHeight="1">
      <c r="A542" s="256"/>
      <c r="B542" s="1"/>
      <c r="C542" s="264"/>
      <c r="D542" s="44"/>
      <c r="E542" s="264"/>
      <c r="F542" s="264"/>
      <c r="G542" s="233"/>
      <c r="H542" s="233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</row>
    <row r="543" ht="12.75" customHeight="1">
      <c r="A543" s="256"/>
      <c r="B543" s="1"/>
      <c r="C543" s="264"/>
      <c r="D543" s="44"/>
      <c r="E543" s="264"/>
      <c r="F543" s="264"/>
      <c r="G543" s="233"/>
      <c r="H543" s="233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</row>
    <row r="544" ht="12.75" customHeight="1">
      <c r="A544" s="256"/>
      <c r="B544" s="1"/>
      <c r="C544" s="264"/>
      <c r="D544" s="44"/>
      <c r="E544" s="264"/>
      <c r="F544" s="264"/>
      <c r="G544" s="233"/>
      <c r="H544" s="233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</row>
    <row r="545" ht="12.75" customHeight="1">
      <c r="A545" s="256"/>
      <c r="B545" s="1"/>
      <c r="C545" s="264"/>
      <c r="D545" s="44"/>
      <c r="E545" s="264"/>
      <c r="F545" s="264"/>
      <c r="G545" s="233"/>
      <c r="H545" s="233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</row>
    <row r="546" ht="12.75" customHeight="1">
      <c r="A546" s="256"/>
      <c r="B546" s="1"/>
      <c r="C546" s="264"/>
      <c r="D546" s="44"/>
      <c r="E546" s="264"/>
      <c r="F546" s="264"/>
      <c r="G546" s="233"/>
      <c r="H546" s="233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</row>
    <row r="547" ht="12.75" customHeight="1">
      <c r="A547" s="256"/>
      <c r="B547" s="1"/>
      <c r="C547" s="264"/>
      <c r="D547" s="44"/>
      <c r="E547" s="264"/>
      <c r="F547" s="264"/>
      <c r="G547" s="233"/>
      <c r="H547" s="233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</row>
    <row r="548" ht="12.75" customHeight="1">
      <c r="A548" s="256"/>
      <c r="B548" s="1"/>
      <c r="C548" s="264"/>
      <c r="D548" s="44"/>
      <c r="E548" s="264"/>
      <c r="F548" s="264"/>
      <c r="G548" s="233"/>
      <c r="H548" s="233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</row>
    <row r="549" ht="12.75" customHeight="1">
      <c r="A549" s="256"/>
      <c r="B549" s="1"/>
      <c r="C549" s="264"/>
      <c r="D549" s="44"/>
      <c r="E549" s="264"/>
      <c r="F549" s="264"/>
      <c r="G549" s="233"/>
      <c r="H549" s="233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</row>
    <row r="550" ht="12.75" customHeight="1">
      <c r="A550" s="256"/>
      <c r="B550" s="1"/>
      <c r="C550" s="264"/>
      <c r="D550" s="44"/>
      <c r="E550" s="264"/>
      <c r="F550" s="264"/>
      <c r="G550" s="233"/>
      <c r="H550" s="233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</row>
    <row r="551" ht="12.75" customHeight="1">
      <c r="A551" s="256"/>
      <c r="B551" s="1"/>
      <c r="C551" s="264"/>
      <c r="D551" s="44"/>
      <c r="E551" s="264"/>
      <c r="F551" s="264"/>
      <c r="G551" s="233"/>
      <c r="H551" s="233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</row>
    <row r="552" ht="12.75" customHeight="1">
      <c r="A552" s="256"/>
      <c r="B552" s="1"/>
      <c r="C552" s="264"/>
      <c r="D552" s="44"/>
      <c r="E552" s="264"/>
      <c r="F552" s="264"/>
      <c r="G552" s="233"/>
      <c r="H552" s="233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</row>
    <row r="553" ht="12.75" customHeight="1">
      <c r="A553" s="256"/>
      <c r="B553" s="1"/>
      <c r="C553" s="264"/>
      <c r="D553" s="44"/>
      <c r="E553" s="264"/>
      <c r="F553" s="264"/>
      <c r="G553" s="233"/>
      <c r="H553" s="233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</row>
    <row r="554" ht="12.75" customHeight="1">
      <c r="A554" s="256"/>
      <c r="B554" s="1"/>
      <c r="C554" s="264"/>
      <c r="D554" s="44"/>
      <c r="E554" s="264"/>
      <c r="F554" s="264"/>
      <c r="G554" s="233"/>
      <c r="H554" s="233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</row>
    <row r="555" ht="12.75" customHeight="1">
      <c r="A555" s="256"/>
      <c r="B555" s="1"/>
      <c r="C555" s="264"/>
      <c r="D555" s="44"/>
      <c r="E555" s="264"/>
      <c r="F555" s="264"/>
      <c r="G555" s="233"/>
      <c r="H555" s="233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</row>
    <row r="556" ht="12.75" customHeight="1">
      <c r="A556" s="256"/>
      <c r="B556" s="1"/>
      <c r="C556" s="264"/>
      <c r="D556" s="44"/>
      <c r="E556" s="264"/>
      <c r="F556" s="264"/>
      <c r="G556" s="233"/>
      <c r="H556" s="233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</row>
    <row r="557" ht="12.75" customHeight="1">
      <c r="A557" s="256"/>
      <c r="B557" s="1"/>
      <c r="C557" s="264"/>
      <c r="D557" s="44"/>
      <c r="E557" s="264"/>
      <c r="F557" s="264"/>
      <c r="G557" s="233"/>
      <c r="H557" s="233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</row>
    <row r="558" ht="12.75" customHeight="1">
      <c r="A558" s="256"/>
      <c r="B558" s="1"/>
      <c r="C558" s="264"/>
      <c r="D558" s="44"/>
      <c r="E558" s="264"/>
      <c r="F558" s="264"/>
      <c r="G558" s="233"/>
      <c r="H558" s="233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</row>
    <row r="559" ht="12.75" customHeight="1">
      <c r="A559" s="256"/>
      <c r="B559" s="1"/>
      <c r="C559" s="264"/>
      <c r="D559" s="44"/>
      <c r="E559" s="264"/>
      <c r="F559" s="264"/>
      <c r="G559" s="233"/>
      <c r="H559" s="233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</row>
    <row r="560" ht="12.75" customHeight="1">
      <c r="A560" s="256"/>
      <c r="B560" s="1"/>
      <c r="C560" s="264"/>
      <c r="D560" s="44"/>
      <c r="E560" s="264"/>
      <c r="F560" s="264"/>
      <c r="G560" s="233"/>
      <c r="H560" s="233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</row>
    <row r="561" ht="12.75" customHeight="1">
      <c r="A561" s="256"/>
      <c r="B561" s="1"/>
      <c r="C561" s="264"/>
      <c r="D561" s="44"/>
      <c r="E561" s="264"/>
      <c r="F561" s="264"/>
      <c r="G561" s="233"/>
      <c r="H561" s="233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</row>
    <row r="562" ht="12.75" customHeight="1">
      <c r="A562" s="256"/>
      <c r="B562" s="1"/>
      <c r="C562" s="264"/>
      <c r="D562" s="44"/>
      <c r="E562" s="264"/>
      <c r="F562" s="264"/>
      <c r="G562" s="233"/>
      <c r="H562" s="233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</row>
    <row r="563" ht="12.75" customHeight="1">
      <c r="A563" s="256"/>
      <c r="B563" s="1"/>
      <c r="C563" s="264"/>
      <c r="D563" s="44"/>
      <c r="E563" s="264"/>
      <c r="F563" s="264"/>
      <c r="G563" s="233"/>
      <c r="H563" s="233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</row>
    <row r="564" ht="12.75" customHeight="1">
      <c r="A564" s="256"/>
      <c r="B564" s="1"/>
      <c r="C564" s="264"/>
      <c r="D564" s="44"/>
      <c r="E564" s="264"/>
      <c r="F564" s="264"/>
      <c r="G564" s="233"/>
      <c r="H564" s="233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</row>
    <row r="565" ht="12.75" customHeight="1">
      <c r="A565" s="256"/>
      <c r="B565" s="1"/>
      <c r="C565" s="264"/>
      <c r="D565" s="44"/>
      <c r="E565" s="264"/>
      <c r="F565" s="264"/>
      <c r="G565" s="233"/>
      <c r="H565" s="233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</row>
    <row r="566" ht="12.75" customHeight="1">
      <c r="A566" s="256"/>
      <c r="B566" s="1"/>
      <c r="C566" s="264"/>
      <c r="D566" s="44"/>
      <c r="E566" s="264"/>
      <c r="F566" s="264"/>
      <c r="G566" s="233"/>
      <c r="H566" s="233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</row>
    <row r="567" ht="12.75" customHeight="1">
      <c r="A567" s="256"/>
      <c r="B567" s="1"/>
      <c r="C567" s="264"/>
      <c r="D567" s="44"/>
      <c r="E567" s="264"/>
      <c r="F567" s="264"/>
      <c r="G567" s="233"/>
      <c r="H567" s="233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</row>
    <row r="568" ht="12.75" customHeight="1">
      <c r="A568" s="256"/>
      <c r="B568" s="1"/>
      <c r="C568" s="264"/>
      <c r="D568" s="44"/>
      <c r="E568" s="264"/>
      <c r="F568" s="264"/>
      <c r="G568" s="233"/>
      <c r="H568" s="233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</row>
    <row r="569" ht="12.75" customHeight="1">
      <c r="A569" s="256"/>
      <c r="B569" s="1"/>
      <c r="C569" s="264"/>
      <c r="D569" s="44"/>
      <c r="E569" s="264"/>
      <c r="F569" s="264"/>
      <c r="G569" s="233"/>
      <c r="H569" s="233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</row>
    <row r="570" ht="12.75" customHeight="1">
      <c r="A570" s="256"/>
      <c r="B570" s="1"/>
      <c r="C570" s="264"/>
      <c r="D570" s="44"/>
      <c r="E570" s="264"/>
      <c r="F570" s="264"/>
      <c r="G570" s="233"/>
      <c r="H570" s="233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</row>
    <row r="571" ht="12.75" customHeight="1">
      <c r="A571" s="256"/>
      <c r="B571" s="1"/>
      <c r="C571" s="264"/>
      <c r="D571" s="44"/>
      <c r="E571" s="264"/>
      <c r="F571" s="264"/>
      <c r="G571" s="233"/>
      <c r="H571" s="233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</row>
    <row r="572" ht="12.75" customHeight="1">
      <c r="A572" s="256"/>
      <c r="B572" s="1"/>
      <c r="C572" s="264"/>
      <c r="D572" s="44"/>
      <c r="E572" s="264"/>
      <c r="F572" s="264"/>
      <c r="G572" s="233"/>
      <c r="H572" s="233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</row>
    <row r="573" ht="12.75" customHeight="1">
      <c r="A573" s="256"/>
      <c r="B573" s="1"/>
      <c r="C573" s="264"/>
      <c r="D573" s="44"/>
      <c r="E573" s="264"/>
      <c r="F573" s="264"/>
      <c r="G573" s="233"/>
      <c r="H573" s="233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</row>
    <row r="574" ht="12.75" customHeight="1">
      <c r="A574" s="256"/>
      <c r="B574" s="1"/>
      <c r="C574" s="264"/>
      <c r="D574" s="44"/>
      <c r="E574" s="264"/>
      <c r="F574" s="264"/>
      <c r="G574" s="233"/>
      <c r="H574" s="233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</row>
    <row r="575" ht="12.75" customHeight="1">
      <c r="A575" s="256"/>
      <c r="B575" s="1"/>
      <c r="C575" s="264"/>
      <c r="D575" s="44"/>
      <c r="E575" s="264"/>
      <c r="F575" s="264"/>
      <c r="G575" s="233"/>
      <c r="H575" s="233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</row>
    <row r="576" ht="12.75" customHeight="1">
      <c r="A576" s="256"/>
      <c r="B576" s="1"/>
      <c r="C576" s="264"/>
      <c r="D576" s="44"/>
      <c r="E576" s="264"/>
      <c r="F576" s="264"/>
      <c r="G576" s="233"/>
      <c r="H576" s="233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</row>
    <row r="577" ht="12.75" customHeight="1">
      <c r="A577" s="256"/>
      <c r="B577" s="1"/>
      <c r="C577" s="264"/>
      <c r="D577" s="44"/>
      <c r="E577" s="264"/>
      <c r="F577" s="264"/>
      <c r="G577" s="233"/>
      <c r="H577" s="233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</row>
    <row r="578" ht="12.75" customHeight="1">
      <c r="A578" s="256"/>
      <c r="B578" s="1"/>
      <c r="C578" s="264"/>
      <c r="D578" s="44"/>
      <c r="E578" s="264"/>
      <c r="F578" s="264"/>
      <c r="G578" s="233"/>
      <c r="H578" s="233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</row>
    <row r="579" ht="12.75" customHeight="1">
      <c r="A579" s="256"/>
      <c r="B579" s="1"/>
      <c r="C579" s="264"/>
      <c r="D579" s="44"/>
      <c r="E579" s="264"/>
      <c r="F579" s="264"/>
      <c r="G579" s="233"/>
      <c r="H579" s="233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</row>
    <row r="580" ht="12.75" customHeight="1">
      <c r="A580" s="256"/>
      <c r="B580" s="1"/>
      <c r="C580" s="264"/>
      <c r="D580" s="44"/>
      <c r="E580" s="264"/>
      <c r="F580" s="264"/>
      <c r="G580" s="233"/>
      <c r="H580" s="233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</row>
    <row r="581" ht="12.75" customHeight="1">
      <c r="A581" s="256"/>
      <c r="B581" s="1"/>
      <c r="C581" s="264"/>
      <c r="D581" s="44"/>
      <c r="E581" s="264"/>
      <c r="F581" s="264"/>
      <c r="G581" s="233"/>
      <c r="H581" s="233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</row>
    <row r="582" ht="12.75" customHeight="1">
      <c r="A582" s="256"/>
      <c r="B582" s="1"/>
      <c r="C582" s="264"/>
      <c r="D582" s="44"/>
      <c r="E582" s="264"/>
      <c r="F582" s="264"/>
      <c r="G582" s="233"/>
      <c r="H582" s="233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</row>
    <row r="583" ht="12.75" customHeight="1">
      <c r="A583" s="256"/>
      <c r="B583" s="1"/>
      <c r="C583" s="264"/>
      <c r="D583" s="44"/>
      <c r="E583" s="264"/>
      <c r="F583" s="264"/>
      <c r="G583" s="233"/>
      <c r="H583" s="233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</row>
    <row r="584" ht="12.75" customHeight="1">
      <c r="A584" s="256"/>
      <c r="B584" s="1"/>
      <c r="C584" s="264"/>
      <c r="D584" s="44"/>
      <c r="E584" s="264"/>
      <c r="F584" s="264"/>
      <c r="G584" s="233"/>
      <c r="H584" s="233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</row>
    <row r="585" ht="12.75" customHeight="1">
      <c r="A585" s="256"/>
      <c r="B585" s="1"/>
      <c r="C585" s="264"/>
      <c r="D585" s="44"/>
      <c r="E585" s="264"/>
      <c r="F585" s="264"/>
      <c r="G585" s="233"/>
      <c r="H585" s="233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</row>
    <row r="586" ht="12.75" customHeight="1">
      <c r="A586" s="256"/>
      <c r="B586" s="1"/>
      <c r="C586" s="264"/>
      <c r="D586" s="44"/>
      <c r="E586" s="264"/>
      <c r="F586" s="264"/>
      <c r="G586" s="233"/>
      <c r="H586" s="233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</row>
    <row r="587" ht="12.75" customHeight="1">
      <c r="A587" s="256"/>
      <c r="B587" s="1"/>
      <c r="C587" s="264"/>
      <c r="D587" s="44"/>
      <c r="E587" s="264"/>
      <c r="F587" s="264"/>
      <c r="G587" s="233"/>
      <c r="H587" s="233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</row>
    <row r="588" ht="12.75" customHeight="1">
      <c r="A588" s="256"/>
      <c r="B588" s="1"/>
      <c r="C588" s="264"/>
      <c r="D588" s="44"/>
      <c r="E588" s="264"/>
      <c r="F588" s="264"/>
      <c r="G588" s="233"/>
      <c r="H588" s="233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</row>
    <row r="589" ht="12.75" customHeight="1">
      <c r="A589" s="256"/>
      <c r="B589" s="1"/>
      <c r="C589" s="264"/>
      <c r="D589" s="44"/>
      <c r="E589" s="264"/>
      <c r="F589" s="264"/>
      <c r="G589" s="233"/>
      <c r="H589" s="233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</row>
    <row r="590" ht="12.75" customHeight="1">
      <c r="A590" s="256"/>
      <c r="B590" s="1"/>
      <c r="C590" s="264"/>
      <c r="D590" s="44"/>
      <c r="E590" s="264"/>
      <c r="F590" s="264"/>
      <c r="G590" s="233"/>
      <c r="H590" s="233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</row>
    <row r="591" ht="12.75" customHeight="1">
      <c r="A591" s="256"/>
      <c r="B591" s="1"/>
      <c r="C591" s="264"/>
      <c r="D591" s="44"/>
      <c r="E591" s="264"/>
      <c r="F591" s="264"/>
      <c r="G591" s="233"/>
      <c r="H591" s="233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</row>
    <row r="592" ht="12.75" customHeight="1">
      <c r="A592" s="256"/>
      <c r="B592" s="1"/>
      <c r="C592" s="264"/>
      <c r="D592" s="44"/>
      <c r="E592" s="264"/>
      <c r="F592" s="264"/>
      <c r="G592" s="233"/>
      <c r="H592" s="233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</row>
    <row r="593" ht="12.75" customHeight="1">
      <c r="A593" s="256"/>
      <c r="B593" s="1"/>
      <c r="C593" s="264"/>
      <c r="D593" s="44"/>
      <c r="E593" s="264"/>
      <c r="F593" s="264"/>
      <c r="G593" s="233"/>
      <c r="H593" s="233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</row>
    <row r="594" ht="12.75" customHeight="1">
      <c r="A594" s="256"/>
      <c r="B594" s="1"/>
      <c r="C594" s="264"/>
      <c r="D594" s="44"/>
      <c r="E594" s="264"/>
      <c r="F594" s="264"/>
      <c r="G594" s="233"/>
      <c r="H594" s="233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</row>
    <row r="595" ht="12.75" customHeight="1">
      <c r="A595" s="256"/>
      <c r="B595" s="1"/>
      <c r="C595" s="264"/>
      <c r="D595" s="44"/>
      <c r="E595" s="264"/>
      <c r="F595" s="264"/>
      <c r="G595" s="233"/>
      <c r="H595" s="233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</row>
    <row r="596" ht="12.75" customHeight="1">
      <c r="A596" s="256"/>
      <c r="B596" s="1"/>
      <c r="C596" s="264"/>
      <c r="D596" s="44"/>
      <c r="E596" s="264"/>
      <c r="F596" s="264"/>
      <c r="G596" s="233"/>
      <c r="H596" s="233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</row>
    <row r="597" ht="12.75" customHeight="1">
      <c r="A597" s="256"/>
      <c r="B597" s="1"/>
      <c r="C597" s="264"/>
      <c r="D597" s="44"/>
      <c r="E597" s="264"/>
      <c r="F597" s="264"/>
      <c r="G597" s="233"/>
      <c r="H597" s="233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</row>
    <row r="598" ht="12.75" customHeight="1">
      <c r="A598" s="256"/>
      <c r="B598" s="1"/>
      <c r="C598" s="264"/>
      <c r="D598" s="44"/>
      <c r="E598" s="264"/>
      <c r="F598" s="264"/>
      <c r="G598" s="233"/>
      <c r="H598" s="233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</row>
    <row r="599" ht="12.75" customHeight="1">
      <c r="A599" s="256"/>
      <c r="B599" s="1"/>
      <c r="C599" s="264"/>
      <c r="D599" s="44"/>
      <c r="E599" s="264"/>
      <c r="F599" s="264"/>
      <c r="G599" s="233"/>
      <c r="H599" s="233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</row>
    <row r="600" ht="12.75" customHeight="1">
      <c r="A600" s="256"/>
      <c r="B600" s="1"/>
      <c r="C600" s="264"/>
      <c r="D600" s="44"/>
      <c r="E600" s="264"/>
      <c r="F600" s="264"/>
      <c r="G600" s="233"/>
      <c r="H600" s="233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</row>
    <row r="601" ht="12.75" customHeight="1">
      <c r="A601" s="256"/>
      <c r="B601" s="1"/>
      <c r="C601" s="264"/>
      <c r="D601" s="44"/>
      <c r="E601" s="264"/>
      <c r="F601" s="264"/>
      <c r="G601" s="233"/>
      <c r="H601" s="233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</row>
    <row r="602" ht="12.75" customHeight="1">
      <c r="A602" s="256"/>
      <c r="B602" s="1"/>
      <c r="C602" s="264"/>
      <c r="D602" s="44"/>
      <c r="E602" s="264"/>
      <c r="F602" s="264"/>
      <c r="G602" s="233"/>
      <c r="H602" s="233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</row>
    <row r="603" ht="12.75" customHeight="1">
      <c r="A603" s="256"/>
      <c r="B603" s="1"/>
      <c r="C603" s="264"/>
      <c r="D603" s="44"/>
      <c r="E603" s="264"/>
      <c r="F603" s="264"/>
      <c r="G603" s="233"/>
      <c r="H603" s="233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</row>
    <row r="604" ht="12.75" customHeight="1">
      <c r="A604" s="256"/>
      <c r="B604" s="1"/>
      <c r="C604" s="264"/>
      <c r="D604" s="44"/>
      <c r="E604" s="264"/>
      <c r="F604" s="264"/>
      <c r="G604" s="233"/>
      <c r="H604" s="233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</row>
    <row r="605" ht="12.75" customHeight="1">
      <c r="A605" s="256"/>
      <c r="B605" s="1"/>
      <c r="C605" s="264"/>
      <c r="D605" s="44"/>
      <c r="E605" s="264"/>
      <c r="F605" s="264"/>
      <c r="G605" s="233"/>
      <c r="H605" s="233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</row>
    <row r="606" ht="12.75" customHeight="1">
      <c r="A606" s="256"/>
      <c r="B606" s="1"/>
      <c r="C606" s="264"/>
      <c r="D606" s="44"/>
      <c r="E606" s="264"/>
      <c r="F606" s="264"/>
      <c r="G606" s="233"/>
      <c r="H606" s="233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</row>
    <row r="607" ht="12.75" customHeight="1">
      <c r="A607" s="256"/>
      <c r="B607" s="1"/>
      <c r="C607" s="264"/>
      <c r="D607" s="44"/>
      <c r="E607" s="264"/>
      <c r="F607" s="264"/>
      <c r="G607" s="233"/>
      <c r="H607" s="233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</row>
    <row r="608" ht="12.75" customHeight="1">
      <c r="A608" s="256"/>
      <c r="B608" s="1"/>
      <c r="C608" s="264"/>
      <c r="D608" s="44"/>
      <c r="E608" s="264"/>
      <c r="F608" s="264"/>
      <c r="G608" s="233"/>
      <c r="H608" s="233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</row>
    <row r="609" ht="12.75" customHeight="1">
      <c r="A609" s="256"/>
      <c r="B609" s="1"/>
      <c r="C609" s="264"/>
      <c r="D609" s="44"/>
      <c r="E609" s="264"/>
      <c r="F609" s="264"/>
      <c r="G609" s="233"/>
      <c r="H609" s="233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</row>
    <row r="610" ht="12.75" customHeight="1">
      <c r="A610" s="256"/>
      <c r="B610" s="1"/>
      <c r="C610" s="264"/>
      <c r="D610" s="44"/>
      <c r="E610" s="264"/>
      <c r="F610" s="264"/>
      <c r="G610" s="233"/>
      <c r="H610" s="233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</row>
    <row r="611" ht="12.75" customHeight="1">
      <c r="A611" s="256"/>
      <c r="B611" s="1"/>
      <c r="C611" s="264"/>
      <c r="D611" s="44"/>
      <c r="E611" s="264"/>
      <c r="F611" s="264"/>
      <c r="G611" s="233"/>
      <c r="H611" s="233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</row>
    <row r="612" ht="12.75" customHeight="1">
      <c r="A612" s="256"/>
      <c r="B612" s="1"/>
      <c r="C612" s="264"/>
      <c r="D612" s="44"/>
      <c r="E612" s="264"/>
      <c r="F612" s="264"/>
      <c r="G612" s="233"/>
      <c r="H612" s="233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</row>
    <row r="613" ht="12.75" customHeight="1">
      <c r="A613" s="256"/>
      <c r="B613" s="1"/>
      <c r="C613" s="264"/>
      <c r="D613" s="44"/>
      <c r="E613" s="264"/>
      <c r="F613" s="264"/>
      <c r="G613" s="233"/>
      <c r="H613" s="233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</row>
    <row r="614" ht="12.75" customHeight="1">
      <c r="A614" s="256"/>
      <c r="B614" s="1"/>
      <c r="C614" s="264"/>
      <c r="D614" s="44"/>
      <c r="E614" s="264"/>
      <c r="F614" s="264"/>
      <c r="G614" s="233"/>
      <c r="H614" s="233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</row>
    <row r="615" ht="12.75" customHeight="1">
      <c r="A615" s="256"/>
      <c r="B615" s="1"/>
      <c r="C615" s="264"/>
      <c r="D615" s="44"/>
      <c r="E615" s="264"/>
      <c r="F615" s="264"/>
      <c r="G615" s="233"/>
      <c r="H615" s="233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</row>
    <row r="616" ht="12.75" customHeight="1">
      <c r="A616" s="256"/>
      <c r="B616" s="1"/>
      <c r="C616" s="264"/>
      <c r="D616" s="44"/>
      <c r="E616" s="264"/>
      <c r="F616" s="264"/>
      <c r="G616" s="233"/>
      <c r="H616" s="233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</row>
    <row r="617" ht="12.75" customHeight="1">
      <c r="A617" s="256"/>
      <c r="B617" s="1"/>
      <c r="C617" s="264"/>
      <c r="D617" s="44"/>
      <c r="E617" s="264"/>
      <c r="F617" s="264"/>
      <c r="G617" s="233"/>
      <c r="H617" s="233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</row>
    <row r="618" ht="12.75" customHeight="1">
      <c r="A618" s="256"/>
      <c r="B618" s="1"/>
      <c r="C618" s="264"/>
      <c r="D618" s="44"/>
      <c r="E618" s="264"/>
      <c r="F618" s="264"/>
      <c r="G618" s="233"/>
      <c r="H618" s="233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</row>
    <row r="619" ht="12.75" customHeight="1">
      <c r="A619" s="256"/>
      <c r="B619" s="1"/>
      <c r="C619" s="264"/>
      <c r="D619" s="44"/>
      <c r="E619" s="264"/>
      <c r="F619" s="264"/>
      <c r="G619" s="233"/>
      <c r="H619" s="233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</row>
    <row r="620" ht="12.75" customHeight="1">
      <c r="A620" s="256"/>
      <c r="B620" s="1"/>
      <c r="C620" s="264"/>
      <c r="D620" s="44"/>
      <c r="E620" s="264"/>
      <c r="F620" s="264"/>
      <c r="G620" s="233"/>
      <c r="H620" s="233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</row>
    <row r="621" ht="12.75" customHeight="1">
      <c r="A621" s="256"/>
      <c r="B621" s="1"/>
      <c r="C621" s="264"/>
      <c r="D621" s="44"/>
      <c r="E621" s="264"/>
      <c r="F621" s="264"/>
      <c r="G621" s="233"/>
      <c r="H621" s="233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</row>
    <row r="622" ht="12.75" customHeight="1">
      <c r="A622" s="256"/>
      <c r="B622" s="1"/>
      <c r="C622" s="264"/>
      <c r="D622" s="44"/>
      <c r="E622" s="264"/>
      <c r="F622" s="264"/>
      <c r="G622" s="233"/>
      <c r="H622" s="233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</row>
    <row r="623" ht="12.75" customHeight="1">
      <c r="A623" s="256"/>
      <c r="B623" s="1"/>
      <c r="C623" s="264"/>
      <c r="D623" s="44"/>
      <c r="E623" s="264"/>
      <c r="F623" s="264"/>
      <c r="G623" s="233"/>
      <c r="H623" s="233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</row>
    <row r="624" ht="12.75" customHeight="1">
      <c r="A624" s="256"/>
      <c r="B624" s="1"/>
      <c r="C624" s="264"/>
      <c r="D624" s="44"/>
      <c r="E624" s="264"/>
      <c r="F624" s="264"/>
      <c r="G624" s="233"/>
      <c r="H624" s="233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</row>
    <row r="625" ht="12.75" customHeight="1">
      <c r="A625" s="256"/>
      <c r="B625" s="1"/>
      <c r="C625" s="264"/>
      <c r="D625" s="44"/>
      <c r="E625" s="264"/>
      <c r="F625" s="264"/>
      <c r="G625" s="233"/>
      <c r="H625" s="233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</row>
    <row r="626" ht="12.75" customHeight="1">
      <c r="A626" s="256"/>
      <c r="B626" s="1"/>
      <c r="C626" s="264"/>
      <c r="D626" s="44"/>
      <c r="E626" s="264"/>
      <c r="F626" s="264"/>
      <c r="G626" s="233"/>
      <c r="H626" s="233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</row>
    <row r="627" ht="12.75" customHeight="1">
      <c r="A627" s="256"/>
      <c r="B627" s="1"/>
      <c r="C627" s="264"/>
      <c r="D627" s="44"/>
      <c r="E627" s="264"/>
      <c r="F627" s="264"/>
      <c r="G627" s="233"/>
      <c r="H627" s="233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</row>
    <row r="628" ht="12.75" customHeight="1">
      <c r="A628" s="256"/>
      <c r="B628" s="1"/>
      <c r="C628" s="264"/>
      <c r="D628" s="44"/>
      <c r="E628" s="264"/>
      <c r="F628" s="264"/>
      <c r="G628" s="233"/>
      <c r="H628" s="233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</row>
    <row r="629" ht="12.75" customHeight="1">
      <c r="A629" s="256"/>
      <c r="B629" s="1"/>
      <c r="C629" s="264"/>
      <c r="D629" s="44"/>
      <c r="E629" s="264"/>
      <c r="F629" s="264"/>
      <c r="G629" s="233"/>
      <c r="H629" s="233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</row>
    <row r="630" ht="12.75" customHeight="1">
      <c r="A630" s="256"/>
      <c r="B630" s="1"/>
      <c r="C630" s="264"/>
      <c r="D630" s="44"/>
      <c r="E630" s="264"/>
      <c r="F630" s="264"/>
      <c r="G630" s="233"/>
      <c r="H630" s="233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</row>
    <row r="631" ht="12.75" customHeight="1">
      <c r="A631" s="256"/>
      <c r="B631" s="1"/>
      <c r="C631" s="264"/>
      <c r="D631" s="44"/>
      <c r="E631" s="264"/>
      <c r="F631" s="264"/>
      <c r="G631" s="233"/>
      <c r="H631" s="233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</row>
    <row r="632" ht="12.75" customHeight="1">
      <c r="A632" s="256"/>
      <c r="B632" s="1"/>
      <c r="C632" s="264"/>
      <c r="D632" s="44"/>
      <c r="E632" s="264"/>
      <c r="F632" s="264"/>
      <c r="G632" s="233"/>
      <c r="H632" s="233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</row>
    <row r="633" ht="12.75" customHeight="1">
      <c r="A633" s="256"/>
      <c r="B633" s="1"/>
      <c r="C633" s="264"/>
      <c r="D633" s="44"/>
      <c r="E633" s="264"/>
      <c r="F633" s="264"/>
      <c r="G633" s="233"/>
      <c r="H633" s="23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</row>
    <row r="634" ht="12.75" customHeight="1">
      <c r="A634" s="256"/>
      <c r="B634" s="1"/>
      <c r="C634" s="264"/>
      <c r="D634" s="44"/>
      <c r="E634" s="264"/>
      <c r="F634" s="264"/>
      <c r="G634" s="233"/>
      <c r="H634" s="233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</row>
    <row r="635" ht="12.75" customHeight="1">
      <c r="A635" s="256"/>
      <c r="B635" s="1"/>
      <c r="C635" s="264"/>
      <c r="D635" s="44"/>
      <c r="E635" s="264"/>
      <c r="F635" s="264"/>
      <c r="G635" s="233"/>
      <c r="H635" s="233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</row>
    <row r="636" ht="12.75" customHeight="1">
      <c r="A636" s="256"/>
      <c r="B636" s="1"/>
      <c r="C636" s="264"/>
      <c r="D636" s="44"/>
      <c r="E636" s="264"/>
      <c r="F636" s="264"/>
      <c r="G636" s="233"/>
      <c r="H636" s="233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</row>
    <row r="637" ht="12.75" customHeight="1">
      <c r="A637" s="256"/>
      <c r="B637" s="1"/>
      <c r="C637" s="264"/>
      <c r="D637" s="44"/>
      <c r="E637" s="264"/>
      <c r="F637" s="264"/>
      <c r="G637" s="233"/>
      <c r="H637" s="233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</row>
    <row r="638" ht="12.75" customHeight="1">
      <c r="A638" s="256"/>
      <c r="B638" s="1"/>
      <c r="C638" s="264"/>
      <c r="D638" s="44"/>
      <c r="E638" s="264"/>
      <c r="F638" s="264"/>
      <c r="G638" s="233"/>
      <c r="H638" s="233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</row>
    <row r="639" ht="12.75" customHeight="1">
      <c r="A639" s="256"/>
      <c r="B639" s="1"/>
      <c r="C639" s="264"/>
      <c r="D639" s="44"/>
      <c r="E639" s="264"/>
      <c r="F639" s="264"/>
      <c r="G639" s="233"/>
      <c r="H639" s="233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</row>
    <row r="640" ht="12.75" customHeight="1">
      <c r="A640" s="256"/>
      <c r="B640" s="1"/>
      <c r="C640" s="264"/>
      <c r="D640" s="44"/>
      <c r="E640" s="264"/>
      <c r="F640" s="264"/>
      <c r="G640" s="233"/>
      <c r="H640" s="233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</row>
    <row r="641" ht="12.75" customHeight="1">
      <c r="A641" s="256"/>
      <c r="B641" s="1"/>
      <c r="C641" s="264"/>
      <c r="D641" s="44"/>
      <c r="E641" s="264"/>
      <c r="F641" s="264"/>
      <c r="G641" s="233"/>
      <c r="H641" s="233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</row>
    <row r="642" ht="12.75" customHeight="1">
      <c r="A642" s="256"/>
      <c r="B642" s="1"/>
      <c r="C642" s="264"/>
      <c r="D642" s="44"/>
      <c r="E642" s="264"/>
      <c r="F642" s="264"/>
      <c r="G642" s="233"/>
      <c r="H642" s="233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</row>
    <row r="643" ht="12.75" customHeight="1">
      <c r="A643" s="256"/>
      <c r="B643" s="1"/>
      <c r="C643" s="264"/>
      <c r="D643" s="44"/>
      <c r="E643" s="264"/>
      <c r="F643" s="264"/>
      <c r="G643" s="233"/>
      <c r="H643" s="233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</row>
    <row r="644" ht="12.75" customHeight="1">
      <c r="A644" s="256"/>
      <c r="B644" s="1"/>
      <c r="C644" s="264"/>
      <c r="D644" s="44"/>
      <c r="E644" s="264"/>
      <c r="F644" s="264"/>
      <c r="G644" s="233"/>
      <c r="H644" s="233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</row>
    <row r="645" ht="12.75" customHeight="1">
      <c r="A645" s="256"/>
      <c r="B645" s="1"/>
      <c r="C645" s="264"/>
      <c r="D645" s="44"/>
      <c r="E645" s="264"/>
      <c r="F645" s="264"/>
      <c r="G645" s="233"/>
      <c r="H645" s="233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</row>
    <row r="646" ht="12.75" customHeight="1">
      <c r="A646" s="256"/>
      <c r="B646" s="1"/>
      <c r="C646" s="264"/>
      <c r="D646" s="44"/>
      <c r="E646" s="264"/>
      <c r="F646" s="264"/>
      <c r="G646" s="233"/>
      <c r="H646" s="233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</row>
    <row r="647" ht="12.75" customHeight="1">
      <c r="A647" s="256"/>
      <c r="B647" s="1"/>
      <c r="C647" s="264"/>
      <c r="D647" s="44"/>
      <c r="E647" s="264"/>
      <c r="F647" s="264"/>
      <c r="G647" s="233"/>
      <c r="H647" s="233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</row>
    <row r="648" ht="12.75" customHeight="1">
      <c r="A648" s="256"/>
      <c r="B648" s="1"/>
      <c r="C648" s="264"/>
      <c r="D648" s="44"/>
      <c r="E648" s="264"/>
      <c r="F648" s="264"/>
      <c r="G648" s="233"/>
      <c r="H648" s="233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</row>
    <row r="649" ht="12.75" customHeight="1">
      <c r="A649" s="256"/>
      <c r="B649" s="1"/>
      <c r="C649" s="264"/>
      <c r="D649" s="44"/>
      <c r="E649" s="264"/>
      <c r="F649" s="264"/>
      <c r="G649" s="233"/>
      <c r="H649" s="233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</row>
    <row r="650" ht="12.75" customHeight="1">
      <c r="A650" s="256"/>
      <c r="B650" s="1"/>
      <c r="C650" s="264"/>
      <c r="D650" s="44"/>
      <c r="E650" s="264"/>
      <c r="F650" s="264"/>
      <c r="G650" s="233"/>
      <c r="H650" s="233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</row>
    <row r="651" ht="12.75" customHeight="1">
      <c r="A651" s="256"/>
      <c r="B651" s="1"/>
      <c r="C651" s="264"/>
      <c r="D651" s="44"/>
      <c r="E651" s="264"/>
      <c r="F651" s="264"/>
      <c r="G651" s="233"/>
      <c r="H651" s="233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</row>
    <row r="652" ht="12.75" customHeight="1">
      <c r="A652" s="256"/>
      <c r="B652" s="1"/>
      <c r="C652" s="264"/>
      <c r="D652" s="44"/>
      <c r="E652" s="264"/>
      <c r="F652" s="264"/>
      <c r="G652" s="233"/>
      <c r="H652" s="233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</row>
    <row r="653" ht="12.75" customHeight="1">
      <c r="A653" s="256"/>
      <c r="B653" s="1"/>
      <c r="C653" s="264"/>
      <c r="D653" s="44"/>
      <c r="E653" s="264"/>
      <c r="F653" s="264"/>
      <c r="G653" s="233"/>
      <c r="H653" s="233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</row>
    <row r="654" ht="12.75" customHeight="1">
      <c r="A654" s="256"/>
      <c r="B654" s="1"/>
      <c r="C654" s="264"/>
      <c r="D654" s="44"/>
      <c r="E654" s="264"/>
      <c r="F654" s="264"/>
      <c r="G654" s="233"/>
      <c r="H654" s="233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</row>
    <row r="655" ht="12.75" customHeight="1">
      <c r="A655" s="256"/>
      <c r="B655" s="1"/>
      <c r="C655" s="264"/>
      <c r="D655" s="44"/>
      <c r="E655" s="264"/>
      <c r="F655" s="264"/>
      <c r="G655" s="233"/>
      <c r="H655" s="233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</row>
    <row r="656" ht="12.75" customHeight="1">
      <c r="A656" s="256"/>
      <c r="B656" s="1"/>
      <c r="C656" s="264"/>
      <c r="D656" s="44"/>
      <c r="E656" s="264"/>
      <c r="F656" s="264"/>
      <c r="G656" s="233"/>
      <c r="H656" s="233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</row>
    <row r="657" ht="12.75" customHeight="1">
      <c r="A657" s="256"/>
      <c r="B657" s="1"/>
      <c r="C657" s="264"/>
      <c r="D657" s="44"/>
      <c r="E657" s="264"/>
      <c r="F657" s="264"/>
      <c r="G657" s="233"/>
      <c r="H657" s="233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</row>
    <row r="658" ht="12.75" customHeight="1">
      <c r="A658" s="256"/>
      <c r="B658" s="1"/>
      <c r="C658" s="264"/>
      <c r="D658" s="44"/>
      <c r="E658" s="264"/>
      <c r="F658" s="264"/>
      <c r="G658" s="233"/>
      <c r="H658" s="233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</row>
    <row r="659" ht="12.75" customHeight="1">
      <c r="A659" s="256"/>
      <c r="B659" s="1"/>
      <c r="C659" s="264"/>
      <c r="D659" s="44"/>
      <c r="E659" s="264"/>
      <c r="F659" s="264"/>
      <c r="G659" s="233"/>
      <c r="H659" s="233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</row>
    <row r="660" ht="12.75" customHeight="1">
      <c r="A660" s="256"/>
      <c r="B660" s="1"/>
      <c r="C660" s="264"/>
      <c r="D660" s="44"/>
      <c r="E660" s="264"/>
      <c r="F660" s="264"/>
      <c r="G660" s="233"/>
      <c r="H660" s="233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</row>
    <row r="661" ht="12.75" customHeight="1">
      <c r="A661" s="256"/>
      <c r="B661" s="1"/>
      <c r="C661" s="264"/>
      <c r="D661" s="44"/>
      <c r="E661" s="264"/>
      <c r="F661" s="264"/>
      <c r="G661" s="233"/>
      <c r="H661" s="233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</row>
    <row r="662" ht="12.75" customHeight="1">
      <c r="A662" s="256"/>
      <c r="B662" s="1"/>
      <c r="C662" s="264"/>
      <c r="D662" s="44"/>
      <c r="E662" s="264"/>
      <c r="F662" s="264"/>
      <c r="G662" s="233"/>
      <c r="H662" s="233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</row>
    <row r="663" ht="12.75" customHeight="1">
      <c r="A663" s="256"/>
      <c r="B663" s="1"/>
      <c r="C663" s="264"/>
      <c r="D663" s="44"/>
      <c r="E663" s="264"/>
      <c r="F663" s="264"/>
      <c r="G663" s="233"/>
      <c r="H663" s="233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</row>
    <row r="664" ht="12.75" customHeight="1">
      <c r="A664" s="256"/>
      <c r="B664" s="1"/>
      <c r="C664" s="264"/>
      <c r="D664" s="44"/>
      <c r="E664" s="264"/>
      <c r="F664" s="264"/>
      <c r="G664" s="233"/>
      <c r="H664" s="233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</row>
    <row r="665" ht="12.75" customHeight="1">
      <c r="A665" s="256"/>
      <c r="B665" s="1"/>
      <c r="C665" s="264"/>
      <c r="D665" s="44"/>
      <c r="E665" s="264"/>
      <c r="F665" s="264"/>
      <c r="G665" s="233"/>
      <c r="H665" s="233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</row>
    <row r="666" ht="12.75" customHeight="1">
      <c r="A666" s="256"/>
      <c r="B666" s="1"/>
      <c r="C666" s="264"/>
      <c r="D666" s="44"/>
      <c r="E666" s="264"/>
      <c r="F666" s="264"/>
      <c r="G666" s="233"/>
      <c r="H666" s="233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</row>
    <row r="667" ht="12.75" customHeight="1">
      <c r="A667" s="256"/>
      <c r="B667" s="1"/>
      <c r="C667" s="264"/>
      <c r="D667" s="44"/>
      <c r="E667" s="264"/>
      <c r="F667" s="264"/>
      <c r="G667" s="233"/>
      <c r="H667" s="233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</row>
    <row r="668" ht="12.75" customHeight="1">
      <c r="A668" s="256"/>
      <c r="B668" s="1"/>
      <c r="C668" s="264"/>
      <c r="D668" s="44"/>
      <c r="E668" s="264"/>
      <c r="F668" s="264"/>
      <c r="G668" s="233"/>
      <c r="H668" s="233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</row>
    <row r="669" ht="12.75" customHeight="1">
      <c r="A669" s="256"/>
      <c r="B669" s="1"/>
      <c r="C669" s="264"/>
      <c r="D669" s="44"/>
      <c r="E669" s="264"/>
      <c r="F669" s="264"/>
      <c r="G669" s="233"/>
      <c r="H669" s="233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</row>
    <row r="670" ht="12.75" customHeight="1">
      <c r="A670" s="256"/>
      <c r="B670" s="1"/>
      <c r="C670" s="264"/>
      <c r="D670" s="44"/>
      <c r="E670" s="264"/>
      <c r="F670" s="264"/>
      <c r="G670" s="233"/>
      <c r="H670" s="233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</row>
    <row r="671" ht="12.75" customHeight="1">
      <c r="A671" s="256"/>
      <c r="B671" s="1"/>
      <c r="C671" s="264"/>
      <c r="D671" s="44"/>
      <c r="E671" s="264"/>
      <c r="F671" s="264"/>
      <c r="G671" s="233"/>
      <c r="H671" s="233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</row>
    <row r="672" ht="12.75" customHeight="1">
      <c r="A672" s="256"/>
      <c r="B672" s="1"/>
      <c r="C672" s="264"/>
      <c r="D672" s="44"/>
      <c r="E672" s="264"/>
      <c r="F672" s="264"/>
      <c r="G672" s="233"/>
      <c r="H672" s="233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</row>
    <row r="673" ht="12.75" customHeight="1">
      <c r="A673" s="256"/>
      <c r="B673" s="1"/>
      <c r="C673" s="264"/>
      <c r="D673" s="44"/>
      <c r="E673" s="264"/>
      <c r="F673" s="264"/>
      <c r="G673" s="233"/>
      <c r="H673" s="233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</row>
    <row r="674" ht="12.75" customHeight="1">
      <c r="A674" s="256"/>
      <c r="B674" s="1"/>
      <c r="C674" s="264"/>
      <c r="D674" s="44"/>
      <c r="E674" s="264"/>
      <c r="F674" s="264"/>
      <c r="G674" s="233"/>
      <c r="H674" s="233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</row>
    <row r="675" ht="12.75" customHeight="1">
      <c r="A675" s="256"/>
      <c r="B675" s="1"/>
      <c r="C675" s="264"/>
      <c r="D675" s="44"/>
      <c r="E675" s="264"/>
      <c r="F675" s="264"/>
      <c r="G675" s="233"/>
      <c r="H675" s="233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</row>
    <row r="676" ht="12.75" customHeight="1">
      <c r="A676" s="256"/>
      <c r="B676" s="1"/>
      <c r="C676" s="264"/>
      <c r="D676" s="44"/>
      <c r="E676" s="264"/>
      <c r="F676" s="264"/>
      <c r="G676" s="233"/>
      <c r="H676" s="233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</row>
    <row r="677" ht="12.75" customHeight="1">
      <c r="A677" s="256"/>
      <c r="B677" s="1"/>
      <c r="C677" s="264"/>
      <c r="D677" s="44"/>
      <c r="E677" s="264"/>
      <c r="F677" s="264"/>
      <c r="G677" s="233"/>
      <c r="H677" s="233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</row>
    <row r="678" ht="12.75" customHeight="1">
      <c r="A678" s="256"/>
      <c r="B678" s="1"/>
      <c r="C678" s="264"/>
      <c r="D678" s="44"/>
      <c r="E678" s="264"/>
      <c r="F678" s="264"/>
      <c r="G678" s="233"/>
      <c r="H678" s="233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</row>
    <row r="679" ht="12.75" customHeight="1">
      <c r="A679" s="256"/>
      <c r="B679" s="1"/>
      <c r="C679" s="264"/>
      <c r="D679" s="44"/>
      <c r="E679" s="264"/>
      <c r="F679" s="264"/>
      <c r="G679" s="233"/>
      <c r="H679" s="233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</row>
    <row r="680" ht="12.75" customHeight="1">
      <c r="A680" s="256"/>
      <c r="B680" s="1"/>
      <c r="C680" s="264"/>
      <c r="D680" s="44"/>
      <c r="E680" s="264"/>
      <c r="F680" s="264"/>
      <c r="G680" s="233"/>
      <c r="H680" s="233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</row>
    <row r="681" ht="12.75" customHeight="1">
      <c r="A681" s="256"/>
      <c r="B681" s="1"/>
      <c r="C681" s="264"/>
      <c r="D681" s="44"/>
      <c r="E681" s="264"/>
      <c r="F681" s="264"/>
      <c r="G681" s="233"/>
      <c r="H681" s="233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</row>
    <row r="682" ht="12.75" customHeight="1">
      <c r="A682" s="256"/>
      <c r="B682" s="1"/>
      <c r="C682" s="264"/>
      <c r="D682" s="44"/>
      <c r="E682" s="264"/>
      <c r="F682" s="264"/>
      <c r="G682" s="233"/>
      <c r="H682" s="233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</row>
    <row r="683" ht="12.75" customHeight="1">
      <c r="A683" s="256"/>
      <c r="B683" s="1"/>
      <c r="C683" s="264"/>
      <c r="D683" s="44"/>
      <c r="E683" s="264"/>
      <c r="F683" s="264"/>
      <c r="G683" s="233"/>
      <c r="H683" s="233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</row>
    <row r="684" ht="12.75" customHeight="1">
      <c r="A684" s="256"/>
      <c r="B684" s="1"/>
      <c r="C684" s="264"/>
      <c r="D684" s="44"/>
      <c r="E684" s="264"/>
      <c r="F684" s="264"/>
      <c r="G684" s="233"/>
      <c r="H684" s="233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</row>
    <row r="685" ht="12.75" customHeight="1">
      <c r="A685" s="256"/>
      <c r="B685" s="1"/>
      <c r="C685" s="264"/>
      <c r="D685" s="44"/>
      <c r="E685" s="264"/>
      <c r="F685" s="264"/>
      <c r="G685" s="233"/>
      <c r="H685" s="233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</row>
    <row r="686" ht="12.75" customHeight="1">
      <c r="A686" s="256"/>
      <c r="B686" s="1"/>
      <c r="C686" s="264"/>
      <c r="D686" s="44"/>
      <c r="E686" s="264"/>
      <c r="F686" s="264"/>
      <c r="G686" s="233"/>
      <c r="H686" s="233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</row>
    <row r="687" ht="12.75" customHeight="1">
      <c r="A687" s="256"/>
      <c r="B687" s="1"/>
      <c r="C687" s="264"/>
      <c r="D687" s="44"/>
      <c r="E687" s="264"/>
      <c r="F687" s="264"/>
      <c r="G687" s="233"/>
      <c r="H687" s="233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</row>
    <row r="688" ht="12.75" customHeight="1">
      <c r="A688" s="256"/>
      <c r="B688" s="1"/>
      <c r="C688" s="264"/>
      <c r="D688" s="44"/>
      <c r="E688" s="264"/>
      <c r="F688" s="264"/>
      <c r="G688" s="233"/>
      <c r="H688" s="233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</row>
    <row r="689" ht="12.75" customHeight="1">
      <c r="A689" s="256"/>
      <c r="B689" s="1"/>
      <c r="C689" s="264"/>
      <c r="D689" s="44"/>
      <c r="E689" s="264"/>
      <c r="F689" s="264"/>
      <c r="G689" s="233"/>
      <c r="H689" s="233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</row>
    <row r="690" ht="12.75" customHeight="1">
      <c r="A690" s="256"/>
      <c r="B690" s="1"/>
      <c r="C690" s="264"/>
      <c r="D690" s="44"/>
      <c r="E690" s="264"/>
      <c r="F690" s="264"/>
      <c r="G690" s="233"/>
      <c r="H690" s="233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</row>
    <row r="691" ht="12.75" customHeight="1">
      <c r="A691" s="256"/>
      <c r="B691" s="1"/>
      <c r="C691" s="264"/>
      <c r="D691" s="44"/>
      <c r="E691" s="264"/>
      <c r="F691" s="264"/>
      <c r="G691" s="233"/>
      <c r="H691" s="233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</row>
    <row r="692" ht="12.75" customHeight="1">
      <c r="A692" s="256"/>
      <c r="B692" s="1"/>
      <c r="C692" s="264"/>
      <c r="D692" s="44"/>
      <c r="E692" s="264"/>
      <c r="F692" s="264"/>
      <c r="G692" s="233"/>
      <c r="H692" s="233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</row>
    <row r="693" ht="12.75" customHeight="1">
      <c r="A693" s="256"/>
      <c r="B693" s="1"/>
      <c r="C693" s="264"/>
      <c r="D693" s="44"/>
      <c r="E693" s="264"/>
      <c r="F693" s="264"/>
      <c r="G693" s="233"/>
      <c r="H693" s="233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</row>
    <row r="694" ht="12.75" customHeight="1">
      <c r="A694" s="256"/>
      <c r="B694" s="1"/>
      <c r="C694" s="264"/>
      <c r="D694" s="44"/>
      <c r="E694" s="264"/>
      <c r="F694" s="264"/>
      <c r="G694" s="233"/>
      <c r="H694" s="233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</row>
    <row r="695" ht="12.75" customHeight="1">
      <c r="A695" s="256"/>
      <c r="B695" s="1"/>
      <c r="C695" s="264"/>
      <c r="D695" s="44"/>
      <c r="E695" s="264"/>
      <c r="F695" s="264"/>
      <c r="G695" s="233"/>
      <c r="H695" s="233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</row>
    <row r="696" ht="12.75" customHeight="1">
      <c r="A696" s="256"/>
      <c r="B696" s="1"/>
      <c r="C696" s="264"/>
      <c r="D696" s="44"/>
      <c r="E696" s="264"/>
      <c r="F696" s="264"/>
      <c r="G696" s="233"/>
      <c r="H696" s="233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</row>
    <row r="697" ht="12.75" customHeight="1">
      <c r="A697" s="256"/>
      <c r="B697" s="1"/>
      <c r="C697" s="264"/>
      <c r="D697" s="44"/>
      <c r="E697" s="264"/>
      <c r="F697" s="264"/>
      <c r="G697" s="233"/>
      <c r="H697" s="233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</row>
    <row r="698" ht="12.75" customHeight="1">
      <c r="A698" s="256"/>
      <c r="B698" s="1"/>
      <c r="C698" s="264"/>
      <c r="D698" s="44"/>
      <c r="E698" s="264"/>
      <c r="F698" s="264"/>
      <c r="G698" s="233"/>
      <c r="H698" s="233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</row>
    <row r="699" ht="12.75" customHeight="1">
      <c r="A699" s="256"/>
      <c r="B699" s="1"/>
      <c r="C699" s="264"/>
      <c r="D699" s="44"/>
      <c r="E699" s="264"/>
      <c r="F699" s="264"/>
      <c r="G699" s="233"/>
      <c r="H699" s="233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</row>
    <row r="700" ht="12.75" customHeight="1">
      <c r="A700" s="256"/>
      <c r="B700" s="1"/>
      <c r="C700" s="264"/>
      <c r="D700" s="44"/>
      <c r="E700" s="264"/>
      <c r="F700" s="264"/>
      <c r="G700" s="233"/>
      <c r="H700" s="233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</row>
    <row r="701" ht="12.75" customHeight="1">
      <c r="A701" s="256"/>
      <c r="B701" s="1"/>
      <c r="C701" s="264"/>
      <c r="D701" s="44"/>
      <c r="E701" s="264"/>
      <c r="F701" s="264"/>
      <c r="G701" s="233"/>
      <c r="H701" s="233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</row>
    <row r="702" ht="12.75" customHeight="1">
      <c r="A702" s="256"/>
      <c r="B702" s="1"/>
      <c r="C702" s="264"/>
      <c r="D702" s="44"/>
      <c r="E702" s="264"/>
      <c r="F702" s="264"/>
      <c r="G702" s="233"/>
      <c r="H702" s="233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</row>
    <row r="703" ht="12.75" customHeight="1">
      <c r="A703" s="256"/>
      <c r="B703" s="1"/>
      <c r="C703" s="264"/>
      <c r="D703" s="44"/>
      <c r="E703" s="264"/>
      <c r="F703" s="264"/>
      <c r="G703" s="233"/>
      <c r="H703" s="233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</row>
    <row r="704" ht="12.75" customHeight="1">
      <c r="A704" s="256"/>
      <c r="B704" s="1"/>
      <c r="C704" s="264"/>
      <c r="D704" s="44"/>
      <c r="E704" s="264"/>
      <c r="F704" s="264"/>
      <c r="G704" s="233"/>
      <c r="H704" s="233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</row>
    <row r="705" ht="12.75" customHeight="1">
      <c r="A705" s="256"/>
      <c r="B705" s="1"/>
      <c r="C705" s="264"/>
      <c r="D705" s="44"/>
      <c r="E705" s="264"/>
      <c r="F705" s="264"/>
      <c r="G705" s="233"/>
      <c r="H705" s="233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</row>
    <row r="706" ht="12.75" customHeight="1">
      <c r="A706" s="256"/>
      <c r="B706" s="1"/>
      <c r="C706" s="264"/>
      <c r="D706" s="44"/>
      <c r="E706" s="264"/>
      <c r="F706" s="264"/>
      <c r="G706" s="233"/>
      <c r="H706" s="233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</row>
    <row r="707" ht="12.75" customHeight="1">
      <c r="A707" s="256"/>
      <c r="B707" s="1"/>
      <c r="C707" s="264"/>
      <c r="D707" s="44"/>
      <c r="E707" s="264"/>
      <c r="F707" s="264"/>
      <c r="G707" s="233"/>
      <c r="H707" s="233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</row>
    <row r="708" ht="12.75" customHeight="1">
      <c r="A708" s="256"/>
      <c r="B708" s="1"/>
      <c r="C708" s="264"/>
      <c r="D708" s="44"/>
      <c r="E708" s="264"/>
      <c r="F708" s="264"/>
      <c r="G708" s="233"/>
      <c r="H708" s="233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</row>
    <row r="709" ht="12.75" customHeight="1">
      <c r="A709" s="256"/>
      <c r="B709" s="1"/>
      <c r="C709" s="264"/>
      <c r="D709" s="44"/>
      <c r="E709" s="264"/>
      <c r="F709" s="264"/>
      <c r="G709" s="233"/>
      <c r="H709" s="233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</row>
    <row r="710" ht="12.75" customHeight="1">
      <c r="A710" s="256"/>
      <c r="B710" s="1"/>
      <c r="C710" s="264"/>
      <c r="D710" s="44"/>
      <c r="E710" s="264"/>
      <c r="F710" s="264"/>
      <c r="G710" s="233"/>
      <c r="H710" s="233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</row>
    <row r="711" ht="12.75" customHeight="1">
      <c r="A711" s="256"/>
      <c r="B711" s="1"/>
      <c r="C711" s="264"/>
      <c r="D711" s="44"/>
      <c r="E711" s="264"/>
      <c r="F711" s="264"/>
      <c r="G711" s="233"/>
      <c r="H711" s="233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</row>
    <row r="712" ht="12.75" customHeight="1">
      <c r="A712" s="256"/>
      <c r="B712" s="1"/>
      <c r="C712" s="264"/>
      <c r="D712" s="44"/>
      <c r="E712" s="264"/>
      <c r="F712" s="264"/>
      <c r="G712" s="233"/>
      <c r="H712" s="233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</row>
    <row r="713" ht="12.75" customHeight="1">
      <c r="A713" s="256"/>
      <c r="B713" s="1"/>
      <c r="C713" s="264"/>
      <c r="D713" s="44"/>
      <c r="E713" s="264"/>
      <c r="F713" s="264"/>
      <c r="G713" s="233"/>
      <c r="H713" s="233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</row>
    <row r="714" ht="12.75" customHeight="1">
      <c r="A714" s="256"/>
      <c r="B714" s="1"/>
      <c r="C714" s="264"/>
      <c r="D714" s="44"/>
      <c r="E714" s="264"/>
      <c r="F714" s="264"/>
      <c r="G714" s="233"/>
      <c r="H714" s="233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</row>
    <row r="715" ht="12.75" customHeight="1">
      <c r="A715" s="256"/>
      <c r="B715" s="1"/>
      <c r="C715" s="264"/>
      <c r="D715" s="44"/>
      <c r="E715" s="264"/>
      <c r="F715" s="264"/>
      <c r="G715" s="233"/>
      <c r="H715" s="233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</row>
    <row r="716" ht="12.75" customHeight="1">
      <c r="A716" s="256"/>
      <c r="B716" s="1"/>
      <c r="C716" s="264"/>
      <c r="D716" s="44"/>
      <c r="E716" s="264"/>
      <c r="F716" s="264"/>
      <c r="G716" s="233"/>
      <c r="H716" s="233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</row>
    <row r="717" ht="12.75" customHeight="1">
      <c r="A717" s="256"/>
      <c r="B717" s="1"/>
      <c r="C717" s="264"/>
      <c r="D717" s="44"/>
      <c r="E717" s="264"/>
      <c r="F717" s="264"/>
      <c r="G717" s="233"/>
      <c r="H717" s="233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</row>
    <row r="718" ht="12.75" customHeight="1">
      <c r="A718" s="256"/>
      <c r="B718" s="1"/>
      <c r="C718" s="264"/>
      <c r="D718" s="44"/>
      <c r="E718" s="264"/>
      <c r="F718" s="264"/>
      <c r="G718" s="233"/>
      <c r="H718" s="233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</row>
    <row r="719" ht="12.75" customHeight="1">
      <c r="A719" s="256"/>
      <c r="B719" s="1"/>
      <c r="C719" s="264"/>
      <c r="D719" s="44"/>
      <c r="E719" s="264"/>
      <c r="F719" s="264"/>
      <c r="G719" s="233"/>
      <c r="H719" s="233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</row>
    <row r="720" ht="12.75" customHeight="1">
      <c r="A720" s="256"/>
      <c r="B720" s="1"/>
      <c r="C720" s="264"/>
      <c r="D720" s="44"/>
      <c r="E720" s="264"/>
      <c r="F720" s="264"/>
      <c r="G720" s="233"/>
      <c r="H720" s="233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</row>
    <row r="721" ht="12.75" customHeight="1">
      <c r="A721" s="256"/>
      <c r="B721" s="1"/>
      <c r="C721" s="264"/>
      <c r="D721" s="44"/>
      <c r="E721" s="264"/>
      <c r="F721" s="264"/>
      <c r="G721" s="233"/>
      <c r="H721" s="233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</row>
    <row r="722" ht="12.75" customHeight="1">
      <c r="A722" s="256"/>
      <c r="B722" s="1"/>
      <c r="C722" s="264"/>
      <c r="D722" s="44"/>
      <c r="E722" s="264"/>
      <c r="F722" s="264"/>
      <c r="G722" s="233"/>
      <c r="H722" s="233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</row>
    <row r="723" ht="12.75" customHeight="1">
      <c r="A723" s="256"/>
      <c r="B723" s="1"/>
      <c r="C723" s="264"/>
      <c r="D723" s="44"/>
      <c r="E723" s="264"/>
      <c r="F723" s="264"/>
      <c r="G723" s="233"/>
      <c r="H723" s="233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</row>
    <row r="724" ht="12.75" customHeight="1">
      <c r="A724" s="256"/>
      <c r="B724" s="1"/>
      <c r="C724" s="264"/>
      <c r="D724" s="44"/>
      <c r="E724" s="264"/>
      <c r="F724" s="264"/>
      <c r="G724" s="233"/>
      <c r="H724" s="233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</row>
    <row r="725" ht="12.75" customHeight="1">
      <c r="A725" s="256"/>
      <c r="B725" s="1"/>
      <c r="C725" s="264"/>
      <c r="D725" s="44"/>
      <c r="E725" s="264"/>
      <c r="F725" s="264"/>
      <c r="G725" s="233"/>
      <c r="H725" s="233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</row>
    <row r="726" ht="12.75" customHeight="1">
      <c r="A726" s="256"/>
      <c r="B726" s="1"/>
      <c r="C726" s="264"/>
      <c r="D726" s="44"/>
      <c r="E726" s="264"/>
      <c r="F726" s="264"/>
      <c r="G726" s="233"/>
      <c r="H726" s="233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</row>
    <row r="727" ht="12.75" customHeight="1">
      <c r="A727" s="256"/>
      <c r="B727" s="1"/>
      <c r="C727" s="264"/>
      <c r="D727" s="44"/>
      <c r="E727" s="264"/>
      <c r="F727" s="264"/>
      <c r="G727" s="233"/>
      <c r="H727" s="233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</row>
    <row r="728" ht="12.75" customHeight="1">
      <c r="A728" s="256"/>
      <c r="B728" s="1"/>
      <c r="C728" s="264"/>
      <c r="D728" s="44"/>
      <c r="E728" s="264"/>
      <c r="F728" s="264"/>
      <c r="G728" s="233"/>
      <c r="H728" s="233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</row>
    <row r="729" ht="12.75" customHeight="1">
      <c r="A729" s="256"/>
      <c r="B729" s="1"/>
      <c r="C729" s="264"/>
      <c r="D729" s="44"/>
      <c r="E729" s="264"/>
      <c r="F729" s="264"/>
      <c r="G729" s="233"/>
      <c r="H729" s="233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</row>
    <row r="730" ht="12.75" customHeight="1">
      <c r="A730" s="256"/>
      <c r="B730" s="1"/>
      <c r="C730" s="264"/>
      <c r="D730" s="44"/>
      <c r="E730" s="264"/>
      <c r="F730" s="264"/>
      <c r="G730" s="233"/>
      <c r="H730" s="233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</row>
    <row r="731" ht="12.75" customHeight="1">
      <c r="A731" s="256"/>
      <c r="B731" s="1"/>
      <c r="C731" s="264"/>
      <c r="D731" s="44"/>
      <c r="E731" s="264"/>
      <c r="F731" s="264"/>
      <c r="G731" s="233"/>
      <c r="H731" s="233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</row>
    <row r="732" ht="12.75" customHeight="1">
      <c r="A732" s="256"/>
      <c r="B732" s="1"/>
      <c r="C732" s="264"/>
      <c r="D732" s="44"/>
      <c r="E732" s="264"/>
      <c r="F732" s="264"/>
      <c r="G732" s="233"/>
      <c r="H732" s="233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</row>
    <row r="733" ht="12.75" customHeight="1">
      <c r="A733" s="256"/>
      <c r="B733" s="1"/>
      <c r="C733" s="264"/>
      <c r="D733" s="44"/>
      <c r="E733" s="264"/>
      <c r="F733" s="264"/>
      <c r="G733" s="233"/>
      <c r="H733" s="233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</row>
    <row r="734" ht="12.75" customHeight="1">
      <c r="A734" s="256"/>
      <c r="B734" s="1"/>
      <c r="C734" s="264"/>
      <c r="D734" s="44"/>
      <c r="E734" s="264"/>
      <c r="F734" s="264"/>
      <c r="G734" s="233"/>
      <c r="H734" s="233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</row>
    <row r="735" ht="12.75" customHeight="1">
      <c r="A735" s="256"/>
      <c r="B735" s="1"/>
      <c r="C735" s="264"/>
      <c r="D735" s="44"/>
      <c r="E735" s="264"/>
      <c r="F735" s="264"/>
      <c r="G735" s="233"/>
      <c r="H735" s="233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</row>
    <row r="736" ht="12.75" customHeight="1">
      <c r="A736" s="256"/>
      <c r="B736" s="1"/>
      <c r="C736" s="264"/>
      <c r="D736" s="44"/>
      <c r="E736" s="264"/>
      <c r="F736" s="264"/>
      <c r="G736" s="233"/>
      <c r="H736" s="233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</row>
    <row r="737" ht="12.75" customHeight="1">
      <c r="A737" s="256"/>
      <c r="B737" s="1"/>
      <c r="C737" s="264"/>
      <c r="D737" s="44"/>
      <c r="E737" s="264"/>
      <c r="F737" s="264"/>
      <c r="G737" s="233"/>
      <c r="H737" s="233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</row>
    <row r="738" ht="12.75" customHeight="1">
      <c r="A738" s="256"/>
      <c r="B738" s="1"/>
      <c r="C738" s="264"/>
      <c r="D738" s="44"/>
      <c r="E738" s="264"/>
      <c r="F738" s="264"/>
      <c r="G738" s="233"/>
      <c r="H738" s="233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</row>
    <row r="739" ht="12.75" customHeight="1">
      <c r="A739" s="256"/>
      <c r="B739" s="1"/>
      <c r="C739" s="264"/>
      <c r="D739" s="44"/>
      <c r="E739" s="264"/>
      <c r="F739" s="264"/>
      <c r="G739" s="233"/>
      <c r="H739" s="233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</row>
    <row r="740" ht="12.75" customHeight="1">
      <c r="A740" s="256"/>
      <c r="B740" s="1"/>
      <c r="C740" s="264"/>
      <c r="D740" s="44"/>
      <c r="E740" s="264"/>
      <c r="F740" s="264"/>
      <c r="G740" s="233"/>
      <c r="H740" s="233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</row>
    <row r="741" ht="12.75" customHeight="1">
      <c r="A741" s="256"/>
      <c r="B741" s="1"/>
      <c r="C741" s="264"/>
      <c r="D741" s="44"/>
      <c r="E741" s="264"/>
      <c r="F741" s="264"/>
      <c r="G741" s="233"/>
      <c r="H741" s="233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</row>
    <row r="742" ht="12.75" customHeight="1">
      <c r="A742" s="256"/>
      <c r="B742" s="1"/>
      <c r="C742" s="264"/>
      <c r="D742" s="44"/>
      <c r="E742" s="264"/>
      <c r="F742" s="264"/>
      <c r="G742" s="233"/>
      <c r="H742" s="233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</row>
    <row r="743" ht="12.75" customHeight="1">
      <c r="A743" s="256"/>
      <c r="B743" s="1"/>
      <c r="C743" s="264"/>
      <c r="D743" s="44"/>
      <c r="E743" s="264"/>
      <c r="F743" s="264"/>
      <c r="G743" s="233"/>
      <c r="H743" s="233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</row>
    <row r="744" ht="12.75" customHeight="1">
      <c r="A744" s="256"/>
      <c r="B744" s="1"/>
      <c r="C744" s="264"/>
      <c r="D744" s="44"/>
      <c r="E744" s="264"/>
      <c r="F744" s="264"/>
      <c r="G744" s="233"/>
      <c r="H744" s="233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</row>
    <row r="745" ht="12.75" customHeight="1">
      <c r="A745" s="256"/>
      <c r="B745" s="1"/>
      <c r="C745" s="264"/>
      <c r="D745" s="44"/>
      <c r="E745" s="264"/>
      <c r="F745" s="264"/>
      <c r="G745" s="233"/>
      <c r="H745" s="233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</row>
    <row r="746" ht="12.75" customHeight="1">
      <c r="A746" s="256"/>
      <c r="B746" s="1"/>
      <c r="C746" s="264"/>
      <c r="D746" s="44"/>
      <c r="E746" s="264"/>
      <c r="F746" s="264"/>
      <c r="G746" s="233"/>
      <c r="H746" s="233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</row>
    <row r="747" ht="12.75" customHeight="1">
      <c r="A747" s="256"/>
      <c r="B747" s="1"/>
      <c r="C747" s="264"/>
      <c r="D747" s="44"/>
      <c r="E747" s="264"/>
      <c r="F747" s="264"/>
      <c r="G747" s="233"/>
      <c r="H747" s="233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</row>
    <row r="748" ht="12.75" customHeight="1">
      <c r="A748" s="256"/>
      <c r="B748" s="1"/>
      <c r="C748" s="264"/>
      <c r="D748" s="44"/>
      <c r="E748" s="264"/>
      <c r="F748" s="264"/>
      <c r="G748" s="233"/>
      <c r="H748" s="233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</row>
    <row r="749" ht="12.75" customHeight="1">
      <c r="A749" s="256"/>
      <c r="B749" s="1"/>
      <c r="C749" s="264"/>
      <c r="D749" s="44"/>
      <c r="E749" s="264"/>
      <c r="F749" s="264"/>
      <c r="G749" s="233"/>
      <c r="H749" s="233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</row>
    <row r="750" ht="12.75" customHeight="1">
      <c r="A750" s="256"/>
      <c r="B750" s="1"/>
      <c r="C750" s="264"/>
      <c r="D750" s="44"/>
      <c r="E750" s="264"/>
      <c r="F750" s="264"/>
      <c r="G750" s="233"/>
      <c r="H750" s="233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</row>
    <row r="751" ht="12.75" customHeight="1">
      <c r="A751" s="256"/>
      <c r="B751" s="1"/>
      <c r="C751" s="264"/>
      <c r="D751" s="44"/>
      <c r="E751" s="264"/>
      <c r="F751" s="264"/>
      <c r="G751" s="233"/>
      <c r="H751" s="233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</row>
    <row r="752" ht="12.75" customHeight="1">
      <c r="A752" s="256"/>
      <c r="B752" s="1"/>
      <c r="C752" s="264"/>
      <c r="D752" s="44"/>
      <c r="E752" s="264"/>
      <c r="F752" s="264"/>
      <c r="G752" s="233"/>
      <c r="H752" s="233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</row>
    <row r="753" ht="12.75" customHeight="1">
      <c r="A753" s="256"/>
      <c r="B753" s="1"/>
      <c r="C753" s="264"/>
      <c r="D753" s="44"/>
      <c r="E753" s="264"/>
      <c r="F753" s="264"/>
      <c r="G753" s="233"/>
      <c r="H753" s="233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</row>
    <row r="754" ht="12.75" customHeight="1">
      <c r="A754" s="256"/>
      <c r="B754" s="1"/>
      <c r="C754" s="264"/>
      <c r="D754" s="44"/>
      <c r="E754" s="264"/>
      <c r="F754" s="264"/>
      <c r="G754" s="233"/>
      <c r="H754" s="233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</row>
    <row r="755" ht="12.75" customHeight="1">
      <c r="A755" s="256"/>
      <c r="B755" s="1"/>
      <c r="C755" s="264"/>
      <c r="D755" s="44"/>
      <c r="E755" s="264"/>
      <c r="F755" s="264"/>
      <c r="G755" s="233"/>
      <c r="H755" s="233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</row>
    <row r="756" ht="12.75" customHeight="1">
      <c r="A756" s="256"/>
      <c r="B756" s="1"/>
      <c r="C756" s="264"/>
      <c r="D756" s="44"/>
      <c r="E756" s="264"/>
      <c r="F756" s="264"/>
      <c r="G756" s="233"/>
      <c r="H756" s="233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</row>
    <row r="757" ht="12.75" customHeight="1">
      <c r="A757" s="256"/>
      <c r="B757" s="1"/>
      <c r="C757" s="264"/>
      <c r="D757" s="44"/>
      <c r="E757" s="264"/>
      <c r="F757" s="264"/>
      <c r="G757" s="233"/>
      <c r="H757" s="233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</row>
    <row r="758" ht="12.75" customHeight="1">
      <c r="A758" s="256"/>
      <c r="B758" s="1"/>
      <c r="C758" s="264"/>
      <c r="D758" s="44"/>
      <c r="E758" s="264"/>
      <c r="F758" s="264"/>
      <c r="G758" s="233"/>
      <c r="H758" s="233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</row>
    <row r="759" ht="12.75" customHeight="1">
      <c r="A759" s="256"/>
      <c r="B759" s="1"/>
      <c r="C759" s="264"/>
      <c r="D759" s="44"/>
      <c r="E759" s="264"/>
      <c r="F759" s="264"/>
      <c r="G759" s="233"/>
      <c r="H759" s="233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</row>
    <row r="760" ht="12.75" customHeight="1">
      <c r="A760" s="256"/>
      <c r="B760" s="1"/>
      <c r="C760" s="264"/>
      <c r="D760" s="44"/>
      <c r="E760" s="264"/>
      <c r="F760" s="264"/>
      <c r="G760" s="233"/>
      <c r="H760" s="233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</row>
    <row r="761" ht="12.75" customHeight="1">
      <c r="A761" s="256"/>
      <c r="B761" s="1"/>
      <c r="C761" s="264"/>
      <c r="D761" s="44"/>
      <c r="E761" s="264"/>
      <c r="F761" s="264"/>
      <c r="G761" s="233"/>
      <c r="H761" s="233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</row>
    <row r="762" ht="12.75" customHeight="1">
      <c r="A762" s="256"/>
      <c r="B762" s="1"/>
      <c r="C762" s="264"/>
      <c r="D762" s="44"/>
      <c r="E762" s="264"/>
      <c r="F762" s="264"/>
      <c r="G762" s="233"/>
      <c r="H762" s="233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</row>
    <row r="763" ht="12.75" customHeight="1">
      <c r="A763" s="256"/>
      <c r="B763" s="1"/>
      <c r="C763" s="264"/>
      <c r="D763" s="44"/>
      <c r="E763" s="264"/>
      <c r="F763" s="264"/>
      <c r="G763" s="233"/>
      <c r="H763" s="233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</row>
    <row r="764" ht="12.75" customHeight="1">
      <c r="A764" s="256"/>
      <c r="B764" s="1"/>
      <c r="C764" s="264"/>
      <c r="D764" s="44"/>
      <c r="E764" s="264"/>
      <c r="F764" s="264"/>
      <c r="G764" s="233"/>
      <c r="H764" s="233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</row>
    <row r="765" ht="12.75" customHeight="1">
      <c r="A765" s="256"/>
      <c r="B765" s="1"/>
      <c r="C765" s="264"/>
      <c r="D765" s="44"/>
      <c r="E765" s="264"/>
      <c r="F765" s="264"/>
      <c r="G765" s="233"/>
      <c r="H765" s="233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</row>
    <row r="766" ht="12.75" customHeight="1">
      <c r="A766" s="256"/>
      <c r="B766" s="1"/>
      <c r="C766" s="264"/>
      <c r="D766" s="44"/>
      <c r="E766" s="264"/>
      <c r="F766" s="264"/>
      <c r="G766" s="233"/>
      <c r="H766" s="233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</row>
    <row r="767" ht="12.75" customHeight="1">
      <c r="A767" s="256"/>
      <c r="B767" s="1"/>
      <c r="C767" s="264"/>
      <c r="D767" s="44"/>
      <c r="E767" s="264"/>
      <c r="F767" s="264"/>
      <c r="G767" s="233"/>
      <c r="H767" s="233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</row>
    <row r="768" ht="12.75" customHeight="1">
      <c r="A768" s="256"/>
      <c r="B768" s="1"/>
      <c r="C768" s="264"/>
      <c r="D768" s="44"/>
      <c r="E768" s="264"/>
      <c r="F768" s="264"/>
      <c r="G768" s="233"/>
      <c r="H768" s="233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</row>
    <row r="769" ht="12.75" customHeight="1">
      <c r="A769" s="256"/>
      <c r="B769" s="1"/>
      <c r="C769" s="264"/>
      <c r="D769" s="44"/>
      <c r="E769" s="264"/>
      <c r="F769" s="264"/>
      <c r="G769" s="233"/>
      <c r="H769" s="233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</row>
    <row r="770" ht="12.75" customHeight="1">
      <c r="A770" s="256"/>
      <c r="B770" s="1"/>
      <c r="C770" s="264"/>
      <c r="D770" s="44"/>
      <c r="E770" s="264"/>
      <c r="F770" s="264"/>
      <c r="G770" s="233"/>
      <c r="H770" s="233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</row>
    <row r="771" ht="12.75" customHeight="1">
      <c r="A771" s="256"/>
      <c r="B771" s="1"/>
      <c r="C771" s="264"/>
      <c r="D771" s="44"/>
      <c r="E771" s="264"/>
      <c r="F771" s="264"/>
      <c r="G771" s="233"/>
      <c r="H771" s="233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</row>
    <row r="772" ht="12.75" customHeight="1">
      <c r="A772" s="256"/>
      <c r="B772" s="1"/>
      <c r="C772" s="264"/>
      <c r="D772" s="44"/>
      <c r="E772" s="264"/>
      <c r="F772" s="264"/>
      <c r="G772" s="233"/>
      <c r="H772" s="233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</row>
    <row r="773" ht="12.75" customHeight="1">
      <c r="A773" s="256"/>
      <c r="B773" s="1"/>
      <c r="C773" s="264"/>
      <c r="D773" s="44"/>
      <c r="E773" s="264"/>
      <c r="F773" s="264"/>
      <c r="G773" s="233"/>
      <c r="H773" s="233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</row>
    <row r="774" ht="12.75" customHeight="1">
      <c r="A774" s="256"/>
      <c r="B774" s="1"/>
      <c r="C774" s="264"/>
      <c r="D774" s="44"/>
      <c r="E774" s="264"/>
      <c r="F774" s="264"/>
      <c r="G774" s="233"/>
      <c r="H774" s="233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</row>
    <row r="775" ht="12.75" customHeight="1">
      <c r="A775" s="256"/>
      <c r="B775" s="1"/>
      <c r="C775" s="264"/>
      <c r="D775" s="44"/>
      <c r="E775" s="264"/>
      <c r="F775" s="264"/>
      <c r="G775" s="233"/>
      <c r="H775" s="233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</row>
    <row r="776" ht="12.75" customHeight="1">
      <c r="A776" s="256"/>
      <c r="B776" s="1"/>
      <c r="C776" s="264"/>
      <c r="D776" s="44"/>
      <c r="E776" s="264"/>
      <c r="F776" s="264"/>
      <c r="G776" s="233"/>
      <c r="H776" s="233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</row>
    <row r="777" ht="12.75" customHeight="1">
      <c r="A777" s="256"/>
      <c r="B777" s="1"/>
      <c r="C777" s="264"/>
      <c r="D777" s="44"/>
      <c r="E777" s="264"/>
      <c r="F777" s="264"/>
      <c r="G777" s="233"/>
      <c r="H777" s="233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</row>
    <row r="778" ht="12.75" customHeight="1">
      <c r="A778" s="256"/>
      <c r="B778" s="1"/>
      <c r="C778" s="264"/>
      <c r="D778" s="44"/>
      <c r="E778" s="264"/>
      <c r="F778" s="264"/>
      <c r="G778" s="233"/>
      <c r="H778" s="233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</row>
    <row r="779" ht="12.75" customHeight="1">
      <c r="A779" s="256"/>
      <c r="B779" s="1"/>
      <c r="C779" s="264"/>
      <c r="D779" s="44"/>
      <c r="E779" s="264"/>
      <c r="F779" s="264"/>
      <c r="G779" s="233"/>
      <c r="H779" s="233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</row>
    <row r="780" ht="12.75" customHeight="1">
      <c r="A780" s="256"/>
      <c r="B780" s="1"/>
      <c r="C780" s="264"/>
      <c r="D780" s="44"/>
      <c r="E780" s="264"/>
      <c r="F780" s="264"/>
      <c r="G780" s="233"/>
      <c r="H780" s="233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</row>
    <row r="781" ht="12.75" customHeight="1">
      <c r="A781" s="256"/>
      <c r="B781" s="1"/>
      <c r="C781" s="264"/>
      <c r="D781" s="44"/>
      <c r="E781" s="264"/>
      <c r="F781" s="264"/>
      <c r="G781" s="233"/>
      <c r="H781" s="233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</row>
    <row r="782" ht="12.75" customHeight="1">
      <c r="A782" s="256"/>
      <c r="B782" s="1"/>
      <c r="C782" s="264"/>
      <c r="D782" s="44"/>
      <c r="E782" s="264"/>
      <c r="F782" s="264"/>
      <c r="G782" s="233"/>
      <c r="H782" s="233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</row>
    <row r="783" ht="12.75" customHeight="1">
      <c r="A783" s="256"/>
      <c r="B783" s="1"/>
      <c r="C783" s="264"/>
      <c r="D783" s="44"/>
      <c r="E783" s="264"/>
      <c r="F783" s="264"/>
      <c r="G783" s="233"/>
      <c r="H783" s="233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</row>
    <row r="784" ht="12.75" customHeight="1">
      <c r="A784" s="256"/>
      <c r="B784" s="1"/>
      <c r="C784" s="264"/>
      <c r="D784" s="44"/>
      <c r="E784" s="264"/>
      <c r="F784" s="264"/>
      <c r="G784" s="233"/>
      <c r="H784" s="233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</row>
    <row r="785" ht="12.75" customHeight="1">
      <c r="A785" s="256"/>
      <c r="B785" s="1"/>
      <c r="C785" s="264"/>
      <c r="D785" s="44"/>
      <c r="E785" s="264"/>
      <c r="F785" s="264"/>
      <c r="G785" s="233"/>
      <c r="H785" s="233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</row>
    <row r="786" ht="12.75" customHeight="1">
      <c r="A786" s="256"/>
      <c r="B786" s="1"/>
      <c r="C786" s="264"/>
      <c r="D786" s="44"/>
      <c r="E786" s="264"/>
      <c r="F786" s="264"/>
      <c r="G786" s="233"/>
      <c r="H786" s="233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</row>
    <row r="787" ht="12.75" customHeight="1">
      <c r="A787" s="256"/>
      <c r="B787" s="1"/>
      <c r="C787" s="264"/>
      <c r="D787" s="44"/>
      <c r="E787" s="264"/>
      <c r="F787" s="264"/>
      <c r="G787" s="233"/>
      <c r="H787" s="233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</row>
    <row r="788" ht="12.75" customHeight="1">
      <c r="A788" s="256"/>
      <c r="B788" s="1"/>
      <c r="C788" s="264"/>
      <c r="D788" s="44"/>
      <c r="E788" s="264"/>
      <c r="F788" s="264"/>
      <c r="G788" s="233"/>
      <c r="H788" s="233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</row>
    <row r="789" ht="12.75" customHeight="1">
      <c r="A789" s="256"/>
      <c r="B789" s="1"/>
      <c r="C789" s="264"/>
      <c r="D789" s="44"/>
      <c r="E789" s="264"/>
      <c r="F789" s="264"/>
      <c r="G789" s="233"/>
      <c r="H789" s="233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</row>
    <row r="790" ht="12.75" customHeight="1">
      <c r="A790" s="256"/>
      <c r="B790" s="1"/>
      <c r="C790" s="264"/>
      <c r="D790" s="44"/>
      <c r="E790" s="264"/>
      <c r="F790" s="264"/>
      <c r="G790" s="233"/>
      <c r="H790" s="233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</row>
    <row r="791" ht="12.75" customHeight="1">
      <c r="A791" s="256"/>
      <c r="B791" s="1"/>
      <c r="C791" s="264"/>
      <c r="D791" s="44"/>
      <c r="E791" s="264"/>
      <c r="F791" s="264"/>
      <c r="G791" s="233"/>
      <c r="H791" s="233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</row>
    <row r="792" ht="12.75" customHeight="1">
      <c r="A792" s="256"/>
      <c r="B792" s="1"/>
      <c r="C792" s="264"/>
      <c r="D792" s="44"/>
      <c r="E792" s="264"/>
      <c r="F792" s="264"/>
      <c r="G792" s="233"/>
      <c r="H792" s="233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</row>
    <row r="793" ht="12.75" customHeight="1">
      <c r="A793" s="256"/>
      <c r="B793" s="1"/>
      <c r="C793" s="264"/>
      <c r="D793" s="44"/>
      <c r="E793" s="264"/>
      <c r="F793" s="264"/>
      <c r="G793" s="233"/>
      <c r="H793" s="233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</row>
    <row r="794" ht="12.75" customHeight="1">
      <c r="A794" s="256"/>
      <c r="B794" s="1"/>
      <c r="C794" s="264"/>
      <c r="D794" s="44"/>
      <c r="E794" s="264"/>
      <c r="F794" s="264"/>
      <c r="G794" s="233"/>
      <c r="H794" s="233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</row>
    <row r="795" ht="12.75" customHeight="1">
      <c r="A795" s="256"/>
      <c r="B795" s="1"/>
      <c r="C795" s="264"/>
      <c r="D795" s="44"/>
      <c r="E795" s="264"/>
      <c r="F795" s="264"/>
      <c r="G795" s="233"/>
      <c r="H795" s="233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</row>
    <row r="796" ht="12.75" customHeight="1">
      <c r="A796" s="256"/>
      <c r="B796" s="1"/>
      <c r="C796" s="264"/>
      <c r="D796" s="44"/>
      <c r="E796" s="264"/>
      <c r="F796" s="264"/>
      <c r="G796" s="233"/>
      <c r="H796" s="233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</row>
    <row r="797" ht="12.75" customHeight="1">
      <c r="A797" s="256"/>
      <c r="B797" s="1"/>
      <c r="C797" s="264"/>
      <c r="D797" s="44"/>
      <c r="E797" s="264"/>
      <c r="F797" s="264"/>
      <c r="G797" s="233"/>
      <c r="H797" s="233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</row>
    <row r="798" ht="12.75" customHeight="1">
      <c r="A798" s="256"/>
      <c r="B798" s="1"/>
      <c r="C798" s="264"/>
      <c r="D798" s="44"/>
      <c r="E798" s="264"/>
      <c r="F798" s="264"/>
      <c r="G798" s="233"/>
      <c r="H798" s="233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</row>
    <row r="799" ht="12.75" customHeight="1">
      <c r="A799" s="256"/>
      <c r="B799" s="1"/>
      <c r="C799" s="264"/>
      <c r="D799" s="44"/>
      <c r="E799" s="264"/>
      <c r="F799" s="264"/>
      <c r="G799" s="233"/>
      <c r="H799" s="233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</row>
    <row r="800" ht="12.75" customHeight="1">
      <c r="A800" s="256"/>
      <c r="B800" s="1"/>
      <c r="C800" s="264"/>
      <c r="D800" s="44"/>
      <c r="E800" s="264"/>
      <c r="F800" s="264"/>
      <c r="G800" s="233"/>
      <c r="H800" s="233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</row>
    <row r="801" ht="12.75" customHeight="1">
      <c r="A801" s="256"/>
      <c r="B801" s="1"/>
      <c r="C801" s="264"/>
      <c r="D801" s="44"/>
      <c r="E801" s="264"/>
      <c r="F801" s="264"/>
      <c r="G801" s="233"/>
      <c r="H801" s="233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</row>
    <row r="802" ht="12.75" customHeight="1">
      <c r="A802" s="256"/>
      <c r="B802" s="1"/>
      <c r="C802" s="264"/>
      <c r="D802" s="44"/>
      <c r="E802" s="264"/>
      <c r="F802" s="264"/>
      <c r="G802" s="233"/>
      <c r="H802" s="233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</row>
    <row r="803" ht="12.75" customHeight="1">
      <c r="A803" s="256"/>
      <c r="B803" s="1"/>
      <c r="C803" s="264"/>
      <c r="D803" s="44"/>
      <c r="E803" s="264"/>
      <c r="F803" s="264"/>
      <c r="G803" s="233"/>
      <c r="H803" s="233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</row>
    <row r="804" ht="12.75" customHeight="1">
      <c r="A804" s="256"/>
      <c r="B804" s="1"/>
      <c r="C804" s="264"/>
      <c r="D804" s="44"/>
      <c r="E804" s="264"/>
      <c r="F804" s="264"/>
      <c r="G804" s="233"/>
      <c r="H804" s="233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</row>
    <row r="805" ht="12.75" customHeight="1">
      <c r="A805" s="256"/>
      <c r="B805" s="1"/>
      <c r="C805" s="264"/>
      <c r="D805" s="44"/>
      <c r="E805" s="264"/>
      <c r="F805" s="264"/>
      <c r="G805" s="233"/>
      <c r="H805" s="233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</row>
    <row r="806" ht="12.75" customHeight="1">
      <c r="A806" s="256"/>
      <c r="B806" s="1"/>
      <c r="C806" s="264"/>
      <c r="D806" s="44"/>
      <c r="E806" s="264"/>
      <c r="F806" s="264"/>
      <c r="G806" s="233"/>
      <c r="H806" s="233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</row>
    <row r="807" ht="12.75" customHeight="1">
      <c r="A807" s="256"/>
      <c r="B807" s="1"/>
      <c r="C807" s="264"/>
      <c r="D807" s="44"/>
      <c r="E807" s="264"/>
      <c r="F807" s="264"/>
      <c r="G807" s="233"/>
      <c r="H807" s="233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</row>
    <row r="808" ht="12.75" customHeight="1">
      <c r="A808" s="256"/>
      <c r="B808" s="1"/>
      <c r="C808" s="264"/>
      <c r="D808" s="44"/>
      <c r="E808" s="264"/>
      <c r="F808" s="264"/>
      <c r="G808" s="233"/>
      <c r="H808" s="233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</row>
    <row r="809" ht="12.75" customHeight="1">
      <c r="A809" s="256"/>
      <c r="B809" s="1"/>
      <c r="C809" s="264"/>
      <c r="D809" s="44"/>
      <c r="E809" s="264"/>
      <c r="F809" s="264"/>
      <c r="G809" s="233"/>
      <c r="H809" s="233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</row>
    <row r="810" ht="12.75" customHeight="1">
      <c r="A810" s="256"/>
      <c r="B810" s="1"/>
      <c r="C810" s="264"/>
      <c r="D810" s="44"/>
      <c r="E810" s="264"/>
      <c r="F810" s="264"/>
      <c r="G810" s="233"/>
      <c r="H810" s="233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</row>
    <row r="811" ht="12.75" customHeight="1">
      <c r="A811" s="256"/>
      <c r="B811" s="1"/>
      <c r="C811" s="264"/>
      <c r="D811" s="44"/>
      <c r="E811" s="264"/>
      <c r="F811" s="264"/>
      <c r="G811" s="233"/>
      <c r="H811" s="233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</row>
    <row r="812" ht="12.75" customHeight="1">
      <c r="A812" s="256"/>
      <c r="B812" s="1"/>
      <c r="C812" s="264"/>
      <c r="D812" s="44"/>
      <c r="E812" s="264"/>
      <c r="F812" s="264"/>
      <c r="G812" s="233"/>
      <c r="H812" s="233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</row>
    <row r="813" ht="12.75" customHeight="1">
      <c r="A813" s="256"/>
      <c r="B813" s="1"/>
      <c r="C813" s="264"/>
      <c r="D813" s="44"/>
      <c r="E813" s="264"/>
      <c r="F813" s="264"/>
      <c r="G813" s="233"/>
      <c r="H813" s="233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</row>
    <row r="814" ht="12.75" customHeight="1">
      <c r="A814" s="256"/>
      <c r="B814" s="1"/>
      <c r="C814" s="264"/>
      <c r="D814" s="44"/>
      <c r="E814" s="264"/>
      <c r="F814" s="264"/>
      <c r="G814" s="233"/>
      <c r="H814" s="233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</row>
    <row r="815" ht="12.75" customHeight="1">
      <c r="A815" s="256"/>
      <c r="B815" s="1"/>
      <c r="C815" s="264"/>
      <c r="D815" s="44"/>
      <c r="E815" s="264"/>
      <c r="F815" s="264"/>
      <c r="G815" s="233"/>
      <c r="H815" s="233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</row>
    <row r="816" ht="12.75" customHeight="1">
      <c r="A816" s="256"/>
      <c r="B816" s="1"/>
      <c r="C816" s="264"/>
      <c r="D816" s="44"/>
      <c r="E816" s="264"/>
      <c r="F816" s="264"/>
      <c r="G816" s="233"/>
      <c r="H816" s="233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</row>
    <row r="817" ht="12.75" customHeight="1">
      <c r="A817" s="256"/>
      <c r="B817" s="1"/>
      <c r="C817" s="264"/>
      <c r="D817" s="44"/>
      <c r="E817" s="264"/>
      <c r="F817" s="264"/>
      <c r="G817" s="233"/>
      <c r="H817" s="233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</row>
    <row r="818" ht="12.75" customHeight="1">
      <c r="A818" s="256"/>
      <c r="B818" s="1"/>
      <c r="C818" s="264"/>
      <c r="D818" s="44"/>
      <c r="E818" s="264"/>
      <c r="F818" s="264"/>
      <c r="G818" s="233"/>
      <c r="H818" s="233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</row>
    <row r="819" ht="12.75" customHeight="1">
      <c r="A819" s="256"/>
      <c r="B819" s="1"/>
      <c r="C819" s="264"/>
      <c r="D819" s="44"/>
      <c r="E819" s="264"/>
      <c r="F819" s="264"/>
      <c r="G819" s="233"/>
      <c r="H819" s="233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</row>
    <row r="820" ht="12.75" customHeight="1">
      <c r="A820" s="256"/>
      <c r="B820" s="1"/>
      <c r="C820" s="264"/>
      <c r="D820" s="44"/>
      <c r="E820" s="264"/>
      <c r="F820" s="264"/>
      <c r="G820" s="233"/>
      <c r="H820" s="233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</row>
    <row r="821" ht="12.75" customHeight="1">
      <c r="A821" s="256"/>
      <c r="B821" s="1"/>
      <c r="C821" s="264"/>
      <c r="D821" s="44"/>
      <c r="E821" s="264"/>
      <c r="F821" s="264"/>
      <c r="G821" s="233"/>
      <c r="H821" s="233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</row>
    <row r="822" ht="12.75" customHeight="1">
      <c r="A822" s="256"/>
      <c r="B822" s="1"/>
      <c r="C822" s="264"/>
      <c r="D822" s="44"/>
      <c r="E822" s="264"/>
      <c r="F822" s="264"/>
      <c r="G822" s="233"/>
      <c r="H822" s="233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</row>
    <row r="823" ht="12.75" customHeight="1">
      <c r="A823" s="256"/>
      <c r="B823" s="1"/>
      <c r="C823" s="264"/>
      <c r="D823" s="44"/>
      <c r="E823" s="264"/>
      <c r="F823" s="264"/>
      <c r="G823" s="233"/>
      <c r="H823" s="233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</row>
    <row r="824" ht="12.75" customHeight="1">
      <c r="A824" s="256"/>
      <c r="B824" s="1"/>
      <c r="C824" s="264"/>
      <c r="D824" s="44"/>
      <c r="E824" s="264"/>
      <c r="F824" s="264"/>
      <c r="G824" s="233"/>
      <c r="H824" s="233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</row>
    <row r="825" ht="12.75" customHeight="1">
      <c r="A825" s="256"/>
      <c r="B825" s="1"/>
      <c r="C825" s="264"/>
      <c r="D825" s="44"/>
      <c r="E825" s="264"/>
      <c r="F825" s="264"/>
      <c r="G825" s="233"/>
      <c r="H825" s="233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</row>
    <row r="826" ht="12.75" customHeight="1">
      <c r="A826" s="256"/>
      <c r="B826" s="1"/>
      <c r="C826" s="264"/>
      <c r="D826" s="44"/>
      <c r="E826" s="264"/>
      <c r="F826" s="264"/>
      <c r="G826" s="233"/>
      <c r="H826" s="233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</row>
    <row r="827" ht="12.75" customHeight="1">
      <c r="A827" s="256"/>
      <c r="B827" s="1"/>
      <c r="C827" s="264"/>
      <c r="D827" s="44"/>
      <c r="E827" s="264"/>
      <c r="F827" s="264"/>
      <c r="G827" s="233"/>
      <c r="H827" s="233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</row>
    <row r="828" ht="12.75" customHeight="1">
      <c r="A828" s="256"/>
      <c r="B828" s="1"/>
      <c r="C828" s="264"/>
      <c r="D828" s="44"/>
      <c r="E828" s="264"/>
      <c r="F828" s="264"/>
      <c r="G828" s="233"/>
      <c r="H828" s="233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</row>
    <row r="829" ht="12.75" customHeight="1">
      <c r="A829" s="256"/>
      <c r="B829" s="1"/>
      <c r="C829" s="264"/>
      <c r="D829" s="44"/>
      <c r="E829" s="264"/>
      <c r="F829" s="264"/>
      <c r="G829" s="233"/>
      <c r="H829" s="233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</row>
    <row r="830" ht="12.75" customHeight="1">
      <c r="A830" s="256"/>
      <c r="B830" s="1"/>
      <c r="C830" s="264"/>
      <c r="D830" s="44"/>
      <c r="E830" s="264"/>
      <c r="F830" s="264"/>
      <c r="G830" s="233"/>
      <c r="H830" s="233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</row>
    <row r="831" ht="12.75" customHeight="1">
      <c r="A831" s="256"/>
      <c r="B831" s="1"/>
      <c r="C831" s="264"/>
      <c r="D831" s="44"/>
      <c r="E831" s="264"/>
      <c r="F831" s="264"/>
      <c r="G831" s="233"/>
      <c r="H831" s="233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</row>
    <row r="832" ht="12.75" customHeight="1">
      <c r="A832" s="256"/>
      <c r="B832" s="1"/>
      <c r="C832" s="264"/>
      <c r="D832" s="44"/>
      <c r="E832" s="264"/>
      <c r="F832" s="264"/>
      <c r="G832" s="233"/>
      <c r="H832" s="233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</row>
    <row r="833" ht="12.75" customHeight="1">
      <c r="A833" s="256"/>
      <c r="B833" s="1"/>
      <c r="C833" s="264"/>
      <c r="D833" s="44"/>
      <c r="E833" s="264"/>
      <c r="F833" s="264"/>
      <c r="G833" s="233"/>
      <c r="H833" s="233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</row>
    <row r="834" ht="12.75" customHeight="1">
      <c r="A834" s="256"/>
      <c r="B834" s="1"/>
      <c r="C834" s="264"/>
      <c r="D834" s="44"/>
      <c r="E834" s="264"/>
      <c r="F834" s="264"/>
      <c r="G834" s="233"/>
      <c r="H834" s="233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</row>
    <row r="835" ht="12.75" customHeight="1">
      <c r="A835" s="256"/>
      <c r="B835" s="1"/>
      <c r="C835" s="264"/>
      <c r="D835" s="44"/>
      <c r="E835" s="264"/>
      <c r="F835" s="264"/>
      <c r="G835" s="233"/>
      <c r="H835" s="233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</row>
    <row r="836" ht="12.75" customHeight="1">
      <c r="A836" s="256"/>
      <c r="B836" s="1"/>
      <c r="C836" s="264"/>
      <c r="D836" s="44"/>
      <c r="E836" s="264"/>
      <c r="F836" s="264"/>
      <c r="G836" s="233"/>
      <c r="H836" s="233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</row>
    <row r="837" ht="12.75" customHeight="1">
      <c r="A837" s="256"/>
      <c r="B837" s="1"/>
      <c r="C837" s="264"/>
      <c r="D837" s="44"/>
      <c r="E837" s="264"/>
      <c r="F837" s="264"/>
      <c r="G837" s="233"/>
      <c r="H837" s="233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</row>
    <row r="838" ht="12.75" customHeight="1">
      <c r="A838" s="256"/>
      <c r="B838" s="1"/>
      <c r="C838" s="264"/>
      <c r="D838" s="44"/>
      <c r="E838" s="264"/>
      <c r="F838" s="264"/>
      <c r="G838" s="233"/>
      <c r="H838" s="233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</row>
    <row r="839" ht="12.75" customHeight="1">
      <c r="A839" s="256"/>
      <c r="B839" s="1"/>
      <c r="C839" s="264"/>
      <c r="D839" s="44"/>
      <c r="E839" s="264"/>
      <c r="F839" s="264"/>
      <c r="G839" s="233"/>
      <c r="H839" s="233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</row>
    <row r="840" ht="12.75" customHeight="1">
      <c r="A840" s="256"/>
      <c r="B840" s="1"/>
      <c r="C840" s="264"/>
      <c r="D840" s="44"/>
      <c r="E840" s="264"/>
      <c r="F840" s="264"/>
      <c r="G840" s="233"/>
      <c r="H840" s="233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</row>
    <row r="841" ht="12.75" customHeight="1">
      <c r="A841" s="256"/>
      <c r="B841" s="1"/>
      <c r="C841" s="264"/>
      <c r="D841" s="44"/>
      <c r="E841" s="264"/>
      <c r="F841" s="264"/>
      <c r="G841" s="233"/>
      <c r="H841" s="233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</row>
    <row r="842" ht="12.75" customHeight="1">
      <c r="A842" s="256"/>
      <c r="B842" s="1"/>
      <c r="C842" s="264"/>
      <c r="D842" s="44"/>
      <c r="E842" s="264"/>
      <c r="F842" s="264"/>
      <c r="G842" s="233"/>
      <c r="H842" s="233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</row>
    <row r="843" ht="12.75" customHeight="1">
      <c r="A843" s="256"/>
      <c r="B843" s="1"/>
      <c r="C843" s="264"/>
      <c r="D843" s="44"/>
      <c r="E843" s="264"/>
      <c r="F843" s="264"/>
      <c r="G843" s="233"/>
      <c r="H843" s="233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</row>
    <row r="844" ht="12.75" customHeight="1">
      <c r="A844" s="256"/>
      <c r="B844" s="1"/>
      <c r="C844" s="264"/>
      <c r="D844" s="44"/>
      <c r="E844" s="264"/>
      <c r="F844" s="264"/>
      <c r="G844" s="233"/>
      <c r="H844" s="233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</row>
    <row r="845" ht="12.75" customHeight="1">
      <c r="A845" s="256"/>
      <c r="B845" s="1"/>
      <c r="C845" s="264"/>
      <c r="D845" s="44"/>
      <c r="E845" s="264"/>
      <c r="F845" s="264"/>
      <c r="G845" s="233"/>
      <c r="H845" s="233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</row>
    <row r="846" ht="12.75" customHeight="1">
      <c r="A846" s="256"/>
      <c r="B846" s="1"/>
      <c r="C846" s="264"/>
      <c r="D846" s="44"/>
      <c r="E846" s="264"/>
      <c r="F846" s="264"/>
      <c r="G846" s="233"/>
      <c r="H846" s="233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</row>
    <row r="847" ht="12.75" customHeight="1">
      <c r="A847" s="256"/>
      <c r="B847" s="1"/>
      <c r="C847" s="264"/>
      <c r="D847" s="44"/>
      <c r="E847" s="264"/>
      <c r="F847" s="264"/>
      <c r="G847" s="233"/>
      <c r="H847" s="233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</row>
    <row r="848" ht="12.75" customHeight="1">
      <c r="A848" s="256"/>
      <c r="B848" s="1"/>
      <c r="C848" s="264"/>
      <c r="D848" s="44"/>
      <c r="E848" s="264"/>
      <c r="F848" s="264"/>
      <c r="G848" s="233"/>
      <c r="H848" s="233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</row>
    <row r="849" ht="12.75" customHeight="1">
      <c r="A849" s="256"/>
      <c r="B849" s="1"/>
      <c r="C849" s="264"/>
      <c r="D849" s="44"/>
      <c r="E849" s="264"/>
      <c r="F849" s="264"/>
      <c r="G849" s="233"/>
      <c r="H849" s="233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</row>
    <row r="850" ht="12.75" customHeight="1">
      <c r="A850" s="256"/>
      <c r="B850" s="1"/>
      <c r="C850" s="264"/>
      <c r="D850" s="44"/>
      <c r="E850" s="264"/>
      <c r="F850" s="264"/>
      <c r="G850" s="233"/>
      <c r="H850" s="233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</row>
    <row r="851" ht="12.75" customHeight="1">
      <c r="A851" s="256"/>
      <c r="B851" s="1"/>
      <c r="C851" s="264"/>
      <c r="D851" s="44"/>
      <c r="E851" s="264"/>
      <c r="F851" s="264"/>
      <c r="G851" s="233"/>
      <c r="H851" s="233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</row>
    <row r="852" ht="12.75" customHeight="1">
      <c r="A852" s="256"/>
      <c r="B852" s="1"/>
      <c r="C852" s="264"/>
      <c r="D852" s="44"/>
      <c r="E852" s="264"/>
      <c r="F852" s="264"/>
      <c r="G852" s="233"/>
      <c r="H852" s="233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</row>
    <row r="853" ht="12.75" customHeight="1">
      <c r="A853" s="256"/>
      <c r="B853" s="1"/>
      <c r="C853" s="264"/>
      <c r="D853" s="44"/>
      <c r="E853" s="264"/>
      <c r="F853" s="264"/>
      <c r="G853" s="233"/>
      <c r="H853" s="233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</row>
    <row r="854" ht="12.75" customHeight="1">
      <c r="A854" s="256"/>
      <c r="B854" s="1"/>
      <c r="C854" s="264"/>
      <c r="D854" s="44"/>
      <c r="E854" s="264"/>
      <c r="F854" s="264"/>
      <c r="G854" s="233"/>
      <c r="H854" s="233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</row>
    <row r="855" ht="12.75" customHeight="1">
      <c r="A855" s="256"/>
      <c r="B855" s="1"/>
      <c r="C855" s="264"/>
      <c r="D855" s="44"/>
      <c r="E855" s="264"/>
      <c r="F855" s="264"/>
      <c r="G855" s="233"/>
      <c r="H855" s="233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</row>
    <row r="856" ht="12.75" customHeight="1">
      <c r="A856" s="256"/>
      <c r="B856" s="1"/>
      <c r="C856" s="264"/>
      <c r="D856" s="44"/>
      <c r="E856" s="264"/>
      <c r="F856" s="264"/>
      <c r="G856" s="233"/>
      <c r="H856" s="233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</row>
    <row r="857" ht="12.75" customHeight="1">
      <c r="A857" s="256"/>
      <c r="B857" s="1"/>
      <c r="C857" s="264"/>
      <c r="D857" s="44"/>
      <c r="E857" s="264"/>
      <c r="F857" s="264"/>
      <c r="G857" s="233"/>
      <c r="H857" s="233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</row>
    <row r="858" ht="12.75" customHeight="1">
      <c r="A858" s="256"/>
      <c r="B858" s="1"/>
      <c r="C858" s="264"/>
      <c r="D858" s="44"/>
      <c r="E858" s="264"/>
      <c r="F858" s="264"/>
      <c r="G858" s="233"/>
      <c r="H858" s="233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</row>
    <row r="859" ht="12.75" customHeight="1">
      <c r="A859" s="256"/>
      <c r="B859" s="1"/>
      <c r="C859" s="264"/>
      <c r="D859" s="44"/>
      <c r="E859" s="264"/>
      <c r="F859" s="264"/>
      <c r="G859" s="233"/>
      <c r="H859" s="233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</row>
    <row r="860" ht="12.75" customHeight="1">
      <c r="A860" s="256"/>
      <c r="B860" s="1"/>
      <c r="C860" s="264"/>
      <c r="D860" s="44"/>
      <c r="E860" s="264"/>
      <c r="F860" s="264"/>
      <c r="G860" s="233"/>
      <c r="H860" s="233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</row>
    <row r="861" ht="12.75" customHeight="1">
      <c r="A861" s="256"/>
      <c r="B861" s="1"/>
      <c r="C861" s="264"/>
      <c r="D861" s="44"/>
      <c r="E861" s="264"/>
      <c r="F861" s="264"/>
      <c r="G861" s="233"/>
      <c r="H861" s="233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</row>
    <row r="862" ht="12.75" customHeight="1">
      <c r="A862" s="256"/>
      <c r="B862" s="1"/>
      <c r="C862" s="264"/>
      <c r="D862" s="44"/>
      <c r="E862" s="264"/>
      <c r="F862" s="264"/>
      <c r="G862" s="233"/>
      <c r="H862" s="233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</row>
    <row r="863" ht="12.75" customHeight="1">
      <c r="A863" s="256"/>
      <c r="B863" s="1"/>
      <c r="C863" s="264"/>
      <c r="D863" s="44"/>
      <c r="E863" s="264"/>
      <c r="F863" s="264"/>
      <c r="G863" s="233"/>
      <c r="H863" s="233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</row>
    <row r="864" ht="12.75" customHeight="1">
      <c r="A864" s="256"/>
      <c r="B864" s="1"/>
      <c r="C864" s="264"/>
      <c r="D864" s="44"/>
      <c r="E864" s="264"/>
      <c r="F864" s="264"/>
      <c r="G864" s="233"/>
      <c r="H864" s="233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</row>
    <row r="865" ht="12.75" customHeight="1">
      <c r="A865" s="256"/>
      <c r="B865" s="1"/>
      <c r="C865" s="264"/>
      <c r="D865" s="44"/>
      <c r="E865" s="264"/>
      <c r="F865" s="264"/>
      <c r="G865" s="233"/>
      <c r="H865" s="233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</row>
    <row r="866" ht="12.75" customHeight="1">
      <c r="A866" s="256"/>
      <c r="B866" s="1"/>
      <c r="C866" s="264"/>
      <c r="D866" s="44"/>
      <c r="E866" s="264"/>
      <c r="F866" s="264"/>
      <c r="G866" s="233"/>
      <c r="H866" s="233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</row>
    <row r="867" ht="12.75" customHeight="1">
      <c r="A867" s="256"/>
      <c r="B867" s="1"/>
      <c r="C867" s="264"/>
      <c r="D867" s="44"/>
      <c r="E867" s="264"/>
      <c r="F867" s="264"/>
      <c r="G867" s="233"/>
      <c r="H867" s="233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</row>
    <row r="868" ht="12.75" customHeight="1">
      <c r="A868" s="256"/>
      <c r="B868" s="1"/>
      <c r="C868" s="264"/>
      <c r="D868" s="44"/>
      <c r="E868" s="264"/>
      <c r="F868" s="264"/>
      <c r="G868" s="233"/>
      <c r="H868" s="233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</row>
    <row r="869" ht="12.75" customHeight="1">
      <c r="A869" s="256"/>
      <c r="B869" s="1"/>
      <c r="C869" s="264"/>
      <c r="D869" s="44"/>
      <c r="E869" s="264"/>
      <c r="F869" s="264"/>
      <c r="G869" s="233"/>
      <c r="H869" s="233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</row>
    <row r="870" ht="12.75" customHeight="1">
      <c r="A870" s="256"/>
      <c r="B870" s="1"/>
      <c r="C870" s="264"/>
      <c r="D870" s="44"/>
      <c r="E870" s="264"/>
      <c r="F870" s="264"/>
      <c r="G870" s="233"/>
      <c r="H870" s="233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</row>
    <row r="871" ht="12.75" customHeight="1">
      <c r="A871" s="256"/>
      <c r="B871" s="1"/>
      <c r="C871" s="264"/>
      <c r="D871" s="44"/>
      <c r="E871" s="264"/>
      <c r="F871" s="264"/>
      <c r="G871" s="233"/>
      <c r="H871" s="233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</row>
    <row r="872" ht="12.75" customHeight="1">
      <c r="A872" s="256"/>
      <c r="B872" s="1"/>
      <c r="C872" s="264"/>
      <c r="D872" s="44"/>
      <c r="E872" s="264"/>
      <c r="F872" s="264"/>
      <c r="G872" s="233"/>
      <c r="H872" s="233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</row>
    <row r="873" ht="12.75" customHeight="1">
      <c r="A873" s="256"/>
      <c r="B873" s="1"/>
      <c r="C873" s="264"/>
      <c r="D873" s="44"/>
      <c r="E873" s="264"/>
      <c r="F873" s="264"/>
      <c r="G873" s="233"/>
      <c r="H873" s="233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</row>
    <row r="874" ht="12.75" customHeight="1">
      <c r="A874" s="256"/>
      <c r="B874" s="1"/>
      <c r="C874" s="264"/>
      <c r="D874" s="44"/>
      <c r="E874" s="264"/>
      <c r="F874" s="264"/>
      <c r="G874" s="233"/>
      <c r="H874" s="233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</row>
    <row r="875" ht="12.75" customHeight="1">
      <c r="A875" s="256"/>
      <c r="B875" s="1"/>
      <c r="C875" s="264"/>
      <c r="D875" s="44"/>
      <c r="E875" s="264"/>
      <c r="F875" s="264"/>
      <c r="G875" s="233"/>
      <c r="H875" s="233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</row>
    <row r="876" ht="12.75" customHeight="1">
      <c r="A876" s="256"/>
      <c r="B876" s="1"/>
      <c r="C876" s="264"/>
      <c r="D876" s="44"/>
      <c r="E876" s="264"/>
      <c r="F876" s="264"/>
      <c r="G876" s="233"/>
      <c r="H876" s="233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</row>
    <row r="877" ht="12.75" customHeight="1">
      <c r="A877" s="256"/>
      <c r="B877" s="1"/>
      <c r="C877" s="264"/>
      <c r="D877" s="44"/>
      <c r="E877" s="264"/>
      <c r="F877" s="264"/>
      <c r="G877" s="233"/>
      <c r="H877" s="233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</row>
    <row r="878" ht="12.75" customHeight="1">
      <c r="A878" s="256"/>
      <c r="B878" s="1"/>
      <c r="C878" s="264"/>
      <c r="D878" s="44"/>
      <c r="E878" s="264"/>
      <c r="F878" s="264"/>
      <c r="G878" s="233"/>
      <c r="H878" s="233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</row>
    <row r="879" ht="12.75" customHeight="1">
      <c r="A879" s="256"/>
      <c r="B879" s="1"/>
      <c r="C879" s="264"/>
      <c r="D879" s="44"/>
      <c r="E879" s="264"/>
      <c r="F879" s="264"/>
      <c r="G879" s="233"/>
      <c r="H879" s="233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</row>
    <row r="880" ht="12.75" customHeight="1">
      <c r="A880" s="256"/>
      <c r="B880" s="1"/>
      <c r="C880" s="264"/>
      <c r="D880" s="44"/>
      <c r="E880" s="264"/>
      <c r="F880" s="264"/>
      <c r="G880" s="233"/>
      <c r="H880" s="233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</row>
    <row r="881" ht="12.75" customHeight="1">
      <c r="A881" s="256"/>
      <c r="B881" s="1"/>
      <c r="C881" s="264"/>
      <c r="D881" s="44"/>
      <c r="E881" s="264"/>
      <c r="F881" s="264"/>
      <c r="G881" s="233"/>
      <c r="H881" s="233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</row>
    <row r="882" ht="12.75" customHeight="1">
      <c r="A882" s="256"/>
      <c r="B882" s="1"/>
      <c r="C882" s="264"/>
      <c r="D882" s="44"/>
      <c r="E882" s="264"/>
      <c r="F882" s="264"/>
      <c r="G882" s="233"/>
      <c r="H882" s="233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</row>
    <row r="883" ht="12.75" customHeight="1">
      <c r="A883" s="256"/>
      <c r="B883" s="1"/>
      <c r="C883" s="264"/>
      <c r="D883" s="44"/>
      <c r="E883" s="264"/>
      <c r="F883" s="264"/>
      <c r="G883" s="233"/>
      <c r="H883" s="233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</row>
    <row r="884" ht="12.75" customHeight="1">
      <c r="A884" s="256"/>
      <c r="B884" s="1"/>
      <c r="C884" s="264"/>
      <c r="D884" s="44"/>
      <c r="E884" s="264"/>
      <c r="F884" s="264"/>
      <c r="G884" s="233"/>
      <c r="H884" s="233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</row>
    <row r="885" ht="12.75" customHeight="1">
      <c r="A885" s="256"/>
      <c r="B885" s="1"/>
      <c r="C885" s="264"/>
      <c r="D885" s="44"/>
      <c r="E885" s="264"/>
      <c r="F885" s="264"/>
      <c r="G885" s="233"/>
      <c r="H885" s="233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</row>
    <row r="886" ht="12.75" customHeight="1">
      <c r="A886" s="256"/>
      <c r="B886" s="1"/>
      <c r="C886" s="264"/>
      <c r="D886" s="44"/>
      <c r="E886" s="264"/>
      <c r="F886" s="264"/>
      <c r="G886" s="233"/>
      <c r="H886" s="233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</row>
    <row r="887" ht="12.75" customHeight="1">
      <c r="A887" s="256"/>
      <c r="B887" s="1"/>
      <c r="C887" s="264"/>
      <c r="D887" s="44"/>
      <c r="E887" s="264"/>
      <c r="F887" s="264"/>
      <c r="G887" s="233"/>
      <c r="H887" s="233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</row>
    <row r="888" ht="12.75" customHeight="1">
      <c r="A888" s="256"/>
      <c r="B888" s="1"/>
      <c r="C888" s="264"/>
      <c r="D888" s="44"/>
      <c r="E888" s="264"/>
      <c r="F888" s="264"/>
      <c r="G888" s="233"/>
      <c r="H888" s="233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</row>
    <row r="889" ht="12.75" customHeight="1">
      <c r="A889" s="256"/>
      <c r="B889" s="1"/>
      <c r="C889" s="264"/>
      <c r="D889" s="44"/>
      <c r="E889" s="264"/>
      <c r="F889" s="264"/>
      <c r="G889" s="233"/>
      <c r="H889" s="233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</row>
    <row r="890" ht="12.75" customHeight="1">
      <c r="A890" s="256"/>
      <c r="B890" s="1"/>
      <c r="C890" s="264"/>
      <c r="D890" s="44"/>
      <c r="E890" s="264"/>
      <c r="F890" s="264"/>
      <c r="G890" s="233"/>
      <c r="H890" s="233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</row>
    <row r="891" ht="12.75" customHeight="1">
      <c r="A891" s="256"/>
      <c r="B891" s="1"/>
      <c r="C891" s="264"/>
      <c r="D891" s="44"/>
      <c r="E891" s="264"/>
      <c r="F891" s="264"/>
      <c r="G891" s="233"/>
      <c r="H891" s="233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</row>
    <row r="892" ht="12.75" customHeight="1">
      <c r="A892" s="256"/>
      <c r="B892" s="1"/>
      <c r="C892" s="264"/>
      <c r="D892" s="44"/>
      <c r="E892" s="264"/>
      <c r="F892" s="264"/>
      <c r="G892" s="233"/>
      <c r="H892" s="233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</row>
    <row r="893" ht="12.75" customHeight="1">
      <c r="A893" s="256"/>
      <c r="B893" s="1"/>
      <c r="C893" s="264"/>
      <c r="D893" s="44"/>
      <c r="E893" s="264"/>
      <c r="F893" s="264"/>
      <c r="G893" s="233"/>
      <c r="H893" s="233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</row>
    <row r="894" ht="12.75" customHeight="1">
      <c r="A894" s="256"/>
      <c r="B894" s="1"/>
      <c r="C894" s="264"/>
      <c r="D894" s="44"/>
      <c r="E894" s="264"/>
      <c r="F894" s="264"/>
      <c r="G894" s="233"/>
      <c r="H894" s="233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</row>
    <row r="895" ht="12.75" customHeight="1">
      <c r="A895" s="256"/>
      <c r="B895" s="1"/>
      <c r="C895" s="264"/>
      <c r="D895" s="44"/>
      <c r="E895" s="264"/>
      <c r="F895" s="264"/>
      <c r="G895" s="233"/>
      <c r="H895" s="233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</row>
    <row r="896" ht="12.75" customHeight="1">
      <c r="A896" s="256"/>
      <c r="B896" s="1"/>
      <c r="C896" s="264"/>
      <c r="D896" s="44"/>
      <c r="E896" s="264"/>
      <c r="F896" s="264"/>
      <c r="G896" s="233"/>
      <c r="H896" s="233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</row>
    <row r="897" ht="12.75" customHeight="1">
      <c r="A897" s="256"/>
      <c r="B897" s="1"/>
      <c r="C897" s="264"/>
      <c r="D897" s="44"/>
      <c r="E897" s="264"/>
      <c r="F897" s="264"/>
      <c r="G897" s="233"/>
      <c r="H897" s="233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</row>
    <row r="898" ht="12.75" customHeight="1">
      <c r="A898" s="256"/>
      <c r="B898" s="1"/>
      <c r="C898" s="264"/>
      <c r="D898" s="44"/>
      <c r="E898" s="264"/>
      <c r="F898" s="264"/>
      <c r="G898" s="233"/>
      <c r="H898" s="233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</row>
    <row r="899" ht="12.75" customHeight="1">
      <c r="A899" s="256"/>
      <c r="B899" s="1"/>
      <c r="C899" s="264"/>
      <c r="D899" s="44"/>
      <c r="E899" s="264"/>
      <c r="F899" s="264"/>
      <c r="G899" s="233"/>
      <c r="H899" s="233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</row>
    <row r="900" ht="12.75" customHeight="1">
      <c r="A900" s="256"/>
      <c r="B900" s="1"/>
      <c r="C900" s="264"/>
      <c r="D900" s="44"/>
      <c r="E900" s="264"/>
      <c r="F900" s="264"/>
      <c r="G900" s="233"/>
      <c r="H900" s="233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</row>
    <row r="901" ht="12.75" customHeight="1">
      <c r="A901" s="256"/>
      <c r="B901" s="1"/>
      <c r="C901" s="264"/>
      <c r="D901" s="44"/>
      <c r="E901" s="264"/>
      <c r="F901" s="264"/>
      <c r="G901" s="233"/>
      <c r="H901" s="233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</row>
    <row r="902" ht="12.75" customHeight="1">
      <c r="A902" s="256"/>
      <c r="B902" s="1"/>
      <c r="C902" s="264"/>
      <c r="D902" s="44"/>
      <c r="E902" s="264"/>
      <c r="F902" s="264"/>
      <c r="G902" s="233"/>
      <c r="H902" s="233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</row>
    <row r="903" ht="12.75" customHeight="1">
      <c r="A903" s="256"/>
      <c r="B903" s="1"/>
      <c r="C903" s="264"/>
      <c r="D903" s="44"/>
      <c r="E903" s="264"/>
      <c r="F903" s="264"/>
      <c r="G903" s="233"/>
      <c r="H903" s="233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</row>
    <row r="904" ht="12.75" customHeight="1">
      <c r="A904" s="256"/>
      <c r="B904" s="1"/>
      <c r="C904" s="264"/>
      <c r="D904" s="44"/>
      <c r="E904" s="264"/>
      <c r="F904" s="264"/>
      <c r="G904" s="233"/>
      <c r="H904" s="233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</row>
    <row r="905" ht="12.75" customHeight="1">
      <c r="A905" s="256"/>
      <c r="B905" s="1"/>
      <c r="C905" s="264"/>
      <c r="D905" s="44"/>
      <c r="E905" s="264"/>
      <c r="F905" s="264"/>
      <c r="G905" s="233"/>
      <c r="H905" s="233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</row>
    <row r="906" ht="12.75" customHeight="1">
      <c r="A906" s="256"/>
      <c r="B906" s="1"/>
      <c r="C906" s="264"/>
      <c r="D906" s="44"/>
      <c r="E906" s="264"/>
      <c r="F906" s="264"/>
      <c r="G906" s="233"/>
      <c r="H906" s="233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</row>
    <row r="907" ht="12.75" customHeight="1">
      <c r="A907" s="256"/>
      <c r="B907" s="1"/>
      <c r="C907" s="264"/>
      <c r="D907" s="44"/>
      <c r="E907" s="264"/>
      <c r="F907" s="264"/>
      <c r="G907" s="233"/>
      <c r="H907" s="233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</row>
    <row r="908" ht="12.75" customHeight="1">
      <c r="A908" s="256"/>
      <c r="B908" s="1"/>
      <c r="C908" s="264"/>
      <c r="D908" s="44"/>
      <c r="E908" s="264"/>
      <c r="F908" s="264"/>
      <c r="G908" s="233"/>
      <c r="H908" s="233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</row>
    <row r="909" ht="12.75" customHeight="1">
      <c r="A909" s="256"/>
      <c r="B909" s="1"/>
      <c r="C909" s="264"/>
      <c r="D909" s="44"/>
      <c r="E909" s="264"/>
      <c r="F909" s="264"/>
      <c r="G909" s="233"/>
      <c r="H909" s="233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</row>
    <row r="910" ht="12.75" customHeight="1">
      <c r="A910" s="256"/>
      <c r="B910" s="1"/>
      <c r="C910" s="264"/>
      <c r="D910" s="44"/>
      <c r="E910" s="264"/>
      <c r="F910" s="264"/>
      <c r="G910" s="233"/>
      <c r="H910" s="233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</row>
    <row r="911" ht="12.75" customHeight="1">
      <c r="A911" s="256"/>
      <c r="B911" s="1"/>
      <c r="C911" s="264"/>
      <c r="D911" s="44"/>
      <c r="E911" s="264"/>
      <c r="F911" s="264"/>
      <c r="G911" s="233"/>
      <c r="H911" s="233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</row>
    <row r="912" ht="12.75" customHeight="1">
      <c r="A912" s="256"/>
      <c r="B912" s="1"/>
      <c r="C912" s="264"/>
      <c r="D912" s="44"/>
      <c r="E912" s="264"/>
      <c r="F912" s="264"/>
      <c r="G912" s="233"/>
      <c r="H912" s="233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</row>
    <row r="913" ht="12.75" customHeight="1">
      <c r="A913" s="256"/>
      <c r="B913" s="1"/>
      <c r="C913" s="264"/>
      <c r="D913" s="44"/>
      <c r="E913" s="264"/>
      <c r="F913" s="264"/>
      <c r="G913" s="233"/>
      <c r="H913" s="233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</row>
    <row r="914" ht="12.75" customHeight="1">
      <c r="A914" s="256"/>
      <c r="B914" s="1"/>
      <c r="C914" s="264"/>
      <c r="D914" s="44"/>
      <c r="E914" s="264"/>
      <c r="F914" s="264"/>
      <c r="G914" s="233"/>
      <c r="H914" s="233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</row>
    <row r="915" ht="12.75" customHeight="1">
      <c r="A915" s="256"/>
      <c r="B915" s="1"/>
      <c r="C915" s="264"/>
      <c r="D915" s="44"/>
      <c r="E915" s="264"/>
      <c r="F915" s="264"/>
      <c r="G915" s="233"/>
      <c r="H915" s="233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</row>
    <row r="916" ht="12.75" customHeight="1">
      <c r="A916" s="256"/>
      <c r="B916" s="1"/>
      <c r="C916" s="264"/>
      <c r="D916" s="44"/>
      <c r="E916" s="264"/>
      <c r="F916" s="264"/>
      <c r="G916" s="233"/>
      <c r="H916" s="233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</row>
    <row r="917" ht="12.75" customHeight="1">
      <c r="A917" s="256"/>
      <c r="B917" s="1"/>
      <c r="C917" s="264"/>
      <c r="D917" s="44"/>
      <c r="E917" s="264"/>
      <c r="F917" s="264"/>
      <c r="G917" s="233"/>
      <c r="H917" s="233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</row>
    <row r="918" ht="12.75" customHeight="1">
      <c r="A918" s="256"/>
      <c r="B918" s="1"/>
      <c r="C918" s="264"/>
      <c r="D918" s="44"/>
      <c r="E918" s="264"/>
      <c r="F918" s="264"/>
      <c r="G918" s="233"/>
      <c r="H918" s="233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</row>
    <row r="919" ht="12.75" customHeight="1">
      <c r="A919" s="256"/>
      <c r="B919" s="1"/>
      <c r="C919" s="264"/>
      <c r="D919" s="44"/>
      <c r="E919" s="264"/>
      <c r="F919" s="264"/>
      <c r="G919" s="233"/>
      <c r="H919" s="233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</row>
    <row r="920" ht="12.75" customHeight="1">
      <c r="A920" s="256"/>
      <c r="B920" s="1"/>
      <c r="C920" s="264"/>
      <c r="D920" s="44"/>
      <c r="E920" s="264"/>
      <c r="F920" s="264"/>
      <c r="G920" s="233"/>
      <c r="H920" s="233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</row>
    <row r="921" ht="12.75" customHeight="1">
      <c r="A921" s="256"/>
      <c r="B921" s="1"/>
      <c r="C921" s="264"/>
      <c r="D921" s="44"/>
      <c r="E921" s="264"/>
      <c r="F921" s="264"/>
      <c r="G921" s="233"/>
      <c r="H921" s="233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</row>
    <row r="922" ht="12.75" customHeight="1">
      <c r="A922" s="256"/>
      <c r="B922" s="1"/>
      <c r="C922" s="264"/>
      <c r="D922" s="44"/>
      <c r="E922" s="264"/>
      <c r="F922" s="264"/>
      <c r="G922" s="233"/>
      <c r="H922" s="233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</row>
    <row r="923" ht="12.75" customHeight="1">
      <c r="A923" s="256"/>
      <c r="B923" s="1"/>
      <c r="C923" s="264"/>
      <c r="D923" s="44"/>
      <c r="E923" s="264"/>
      <c r="F923" s="264"/>
      <c r="G923" s="233"/>
      <c r="H923" s="233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</row>
    <row r="924" ht="12.75" customHeight="1">
      <c r="A924" s="256"/>
      <c r="B924" s="1"/>
      <c r="C924" s="264"/>
      <c r="D924" s="44"/>
      <c r="E924" s="264"/>
      <c r="F924" s="264"/>
      <c r="G924" s="233"/>
      <c r="H924" s="233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</row>
    <row r="925" ht="12.75" customHeight="1">
      <c r="A925" s="256"/>
      <c r="B925" s="1"/>
      <c r="C925" s="264"/>
      <c r="D925" s="44"/>
      <c r="E925" s="264"/>
      <c r="F925" s="264"/>
      <c r="G925" s="233"/>
      <c r="H925" s="233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</row>
    <row r="926" ht="12.75" customHeight="1">
      <c r="A926" s="256"/>
      <c r="B926" s="1"/>
      <c r="C926" s="264"/>
      <c r="D926" s="44"/>
      <c r="E926" s="264"/>
      <c r="F926" s="264"/>
      <c r="G926" s="233"/>
      <c r="H926" s="233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</row>
    <row r="927" ht="12.75" customHeight="1">
      <c r="A927" s="256"/>
      <c r="B927" s="1"/>
      <c r="C927" s="264"/>
      <c r="D927" s="44"/>
      <c r="E927" s="264"/>
      <c r="F927" s="264"/>
      <c r="G927" s="233"/>
      <c r="H927" s="233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</row>
    <row r="928" ht="12.75" customHeight="1">
      <c r="A928" s="256"/>
      <c r="B928" s="1"/>
      <c r="C928" s="264"/>
      <c r="D928" s="44"/>
      <c r="E928" s="264"/>
      <c r="F928" s="264"/>
      <c r="G928" s="233"/>
      <c r="H928" s="233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</row>
    <row r="929" ht="12.75" customHeight="1">
      <c r="A929" s="256"/>
      <c r="B929" s="1"/>
      <c r="C929" s="264"/>
      <c r="D929" s="44"/>
      <c r="E929" s="264"/>
      <c r="F929" s="264"/>
      <c r="G929" s="233"/>
      <c r="H929" s="233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</row>
    <row r="930" ht="12.75" customHeight="1">
      <c r="A930" s="256"/>
      <c r="B930" s="1"/>
      <c r="C930" s="264"/>
      <c r="D930" s="44"/>
      <c r="E930" s="264"/>
      <c r="F930" s="264"/>
      <c r="G930" s="233"/>
      <c r="H930" s="233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</row>
    <row r="931" ht="12.75" customHeight="1">
      <c r="A931" s="256"/>
      <c r="B931" s="1"/>
      <c r="C931" s="264"/>
      <c r="D931" s="44"/>
      <c r="E931" s="264"/>
      <c r="F931" s="264"/>
      <c r="G931" s="233"/>
      <c r="H931" s="233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</row>
    <row r="932" ht="12.75" customHeight="1">
      <c r="A932" s="256"/>
      <c r="B932" s="1"/>
      <c r="C932" s="264"/>
      <c r="D932" s="44"/>
      <c r="E932" s="264"/>
      <c r="F932" s="264"/>
      <c r="G932" s="233"/>
      <c r="H932" s="233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</row>
    <row r="933" ht="12.75" customHeight="1">
      <c r="A933" s="256"/>
      <c r="B933" s="1"/>
      <c r="C933" s="264"/>
      <c r="D933" s="44"/>
      <c r="E933" s="264"/>
      <c r="F933" s="264"/>
      <c r="G933" s="233"/>
      <c r="H933" s="233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</row>
    <row r="934" ht="12.75" customHeight="1">
      <c r="A934" s="256"/>
      <c r="B934" s="1"/>
      <c r="C934" s="264"/>
      <c r="D934" s="44"/>
      <c r="E934" s="264"/>
      <c r="F934" s="264"/>
      <c r="G934" s="233"/>
      <c r="H934" s="233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</row>
    <row r="935" ht="12.75" customHeight="1">
      <c r="A935" s="256"/>
      <c r="B935" s="1"/>
      <c r="C935" s="264"/>
      <c r="D935" s="44"/>
      <c r="E935" s="264"/>
      <c r="F935" s="264"/>
      <c r="G935" s="233"/>
      <c r="H935" s="233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</row>
    <row r="936" ht="12.75" customHeight="1">
      <c r="A936" s="256"/>
      <c r="B936" s="1"/>
      <c r="C936" s="264"/>
      <c r="D936" s="44"/>
      <c r="E936" s="264"/>
      <c r="F936" s="264"/>
      <c r="G936" s="233"/>
      <c r="H936" s="233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</row>
    <row r="937" ht="12.75" customHeight="1">
      <c r="A937" s="256"/>
      <c r="B937" s="1"/>
      <c r="C937" s="264"/>
      <c r="D937" s="44"/>
      <c r="E937" s="264"/>
      <c r="F937" s="264"/>
      <c r="G937" s="233"/>
      <c r="H937" s="233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</row>
    <row r="938" ht="12.75" customHeight="1">
      <c r="A938" s="256"/>
      <c r="B938" s="1"/>
      <c r="C938" s="264"/>
      <c r="D938" s="44"/>
      <c r="E938" s="264"/>
      <c r="F938" s="264"/>
      <c r="G938" s="233"/>
      <c r="H938" s="233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</row>
    <row r="939" ht="12.75" customHeight="1">
      <c r="A939" s="256"/>
      <c r="B939" s="1"/>
      <c r="C939" s="264"/>
      <c r="D939" s="44"/>
      <c r="E939" s="264"/>
      <c r="F939" s="264"/>
      <c r="G939" s="233"/>
      <c r="H939" s="233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</row>
    <row r="940" ht="12.75" customHeight="1">
      <c r="A940" s="256"/>
      <c r="B940" s="1"/>
      <c r="C940" s="264"/>
      <c r="D940" s="44"/>
      <c r="E940" s="264"/>
      <c r="F940" s="264"/>
      <c r="G940" s="233"/>
      <c r="H940" s="233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</row>
    <row r="941" ht="12.75" customHeight="1">
      <c r="A941" s="256"/>
      <c r="B941" s="1"/>
      <c r="C941" s="264"/>
      <c r="D941" s="44"/>
      <c r="E941" s="264"/>
      <c r="F941" s="264"/>
      <c r="G941" s="233"/>
      <c r="H941" s="233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</row>
    <row r="942" ht="12.75" customHeight="1">
      <c r="A942" s="256"/>
      <c r="B942" s="1"/>
      <c r="C942" s="264"/>
      <c r="D942" s="44"/>
      <c r="E942" s="264"/>
      <c r="F942" s="264"/>
      <c r="G942" s="233"/>
      <c r="H942" s="233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</row>
    <row r="943" ht="12.75" customHeight="1">
      <c r="A943" s="256"/>
      <c r="B943" s="1"/>
      <c r="C943" s="264"/>
      <c r="D943" s="44"/>
      <c r="E943" s="264"/>
      <c r="F943" s="264"/>
      <c r="G943" s="233"/>
      <c r="H943" s="233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</row>
    <row r="944" ht="12.75" customHeight="1">
      <c r="A944" s="256"/>
      <c r="B944" s="1"/>
      <c r="C944" s="264"/>
      <c r="D944" s="44"/>
      <c r="E944" s="264"/>
      <c r="F944" s="264"/>
      <c r="G944" s="233"/>
      <c r="H944" s="233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</row>
    <row r="945" ht="12.75" customHeight="1">
      <c r="A945" s="256"/>
      <c r="B945" s="1"/>
      <c r="C945" s="264"/>
      <c r="D945" s="44"/>
      <c r="E945" s="264"/>
      <c r="F945" s="264"/>
      <c r="G945" s="233"/>
      <c r="H945" s="233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</row>
    <row r="946" ht="12.75" customHeight="1">
      <c r="A946" s="256"/>
      <c r="B946" s="1"/>
      <c r="C946" s="264"/>
      <c r="D946" s="44"/>
      <c r="E946" s="264"/>
      <c r="F946" s="264"/>
      <c r="G946" s="233"/>
      <c r="H946" s="233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</row>
    <row r="947" ht="12.75" customHeight="1">
      <c r="A947" s="256"/>
      <c r="B947" s="1"/>
      <c r="C947" s="264"/>
      <c r="D947" s="44"/>
      <c r="E947" s="264"/>
      <c r="F947" s="264"/>
      <c r="G947" s="233"/>
      <c r="H947" s="233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</row>
    <row r="948" ht="12.75" customHeight="1">
      <c r="A948" s="256"/>
      <c r="B948" s="1"/>
      <c r="C948" s="264"/>
      <c r="D948" s="44"/>
      <c r="E948" s="264"/>
      <c r="F948" s="264"/>
      <c r="G948" s="233"/>
      <c r="H948" s="233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</row>
    <row r="949" ht="12.75" customHeight="1">
      <c r="A949" s="256"/>
      <c r="B949" s="1"/>
      <c r="C949" s="264"/>
      <c r="D949" s="44"/>
      <c r="E949" s="264"/>
      <c r="F949" s="264"/>
      <c r="G949" s="233"/>
      <c r="H949" s="233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</row>
    <row r="950" ht="12.75" customHeight="1">
      <c r="A950" s="256"/>
      <c r="B950" s="1"/>
      <c r="C950" s="264"/>
      <c r="D950" s="44"/>
      <c r="E950" s="264"/>
      <c r="F950" s="264"/>
      <c r="G950" s="233"/>
      <c r="H950" s="233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</row>
    <row r="951" ht="12.75" customHeight="1">
      <c r="A951" s="256"/>
      <c r="B951" s="1"/>
      <c r="C951" s="264"/>
      <c r="D951" s="44"/>
      <c r="E951" s="264"/>
      <c r="F951" s="264"/>
      <c r="G951" s="233"/>
      <c r="H951" s="233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</row>
    <row r="952" ht="12.75" customHeight="1">
      <c r="A952" s="256"/>
      <c r="B952" s="1"/>
      <c r="C952" s="264"/>
      <c r="D952" s="44"/>
      <c r="E952" s="264"/>
      <c r="F952" s="264"/>
      <c r="G952" s="233"/>
      <c r="H952" s="233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</row>
    <row r="953" ht="12.75" customHeight="1">
      <c r="A953" s="256"/>
      <c r="B953" s="1"/>
      <c r="C953" s="264"/>
      <c r="D953" s="44"/>
      <c r="E953" s="264"/>
      <c r="F953" s="264"/>
      <c r="G953" s="233"/>
      <c r="H953" s="233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</row>
    <row r="954" ht="12.75" customHeight="1">
      <c r="A954" s="256"/>
      <c r="B954" s="1"/>
      <c r="C954" s="264"/>
      <c r="D954" s="44"/>
      <c r="E954" s="264"/>
      <c r="F954" s="264"/>
      <c r="G954" s="233"/>
      <c r="H954" s="233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</row>
    <row r="955" ht="12.75" customHeight="1">
      <c r="A955" s="256"/>
      <c r="B955" s="1"/>
      <c r="C955" s="264"/>
      <c r="D955" s="44"/>
      <c r="E955" s="264"/>
      <c r="F955" s="264"/>
      <c r="G955" s="233"/>
      <c r="H955" s="233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</row>
    <row r="956" ht="12.75" customHeight="1">
      <c r="A956" s="256"/>
      <c r="B956" s="1"/>
      <c r="C956" s="264"/>
      <c r="D956" s="44"/>
      <c r="E956" s="264"/>
      <c r="F956" s="264"/>
      <c r="G956" s="233"/>
      <c r="H956" s="233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</row>
    <row r="957" ht="12.75" customHeight="1">
      <c r="A957" s="256"/>
      <c r="B957" s="1"/>
      <c r="C957" s="264"/>
      <c r="D957" s="44"/>
      <c r="E957" s="264"/>
      <c r="F957" s="264"/>
      <c r="G957" s="233"/>
      <c r="H957" s="233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</row>
    <row r="958" ht="12.75" customHeight="1">
      <c r="A958" s="256"/>
      <c r="B958" s="1"/>
      <c r="C958" s="264"/>
      <c r="D958" s="44"/>
      <c r="E958" s="264"/>
      <c r="F958" s="264"/>
      <c r="G958" s="233"/>
      <c r="H958" s="233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</row>
    <row r="959" ht="12.75" customHeight="1">
      <c r="A959" s="256"/>
      <c r="B959" s="1"/>
      <c r="C959" s="264"/>
      <c r="D959" s="44"/>
      <c r="E959" s="264"/>
      <c r="F959" s="264"/>
      <c r="G959" s="233"/>
      <c r="H959" s="233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</row>
    <row r="960" ht="12.75" customHeight="1">
      <c r="A960" s="256"/>
      <c r="B960" s="1"/>
      <c r="C960" s="264"/>
      <c r="D960" s="44"/>
      <c r="E960" s="264"/>
      <c r="F960" s="264"/>
      <c r="G960" s="233"/>
      <c r="H960" s="233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</row>
    <row r="961" ht="12.75" customHeight="1">
      <c r="A961" s="256"/>
      <c r="B961" s="1"/>
      <c r="C961" s="264"/>
      <c r="D961" s="44"/>
      <c r="E961" s="264"/>
      <c r="F961" s="264"/>
      <c r="G961" s="233"/>
      <c r="H961" s="233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</row>
    <row r="962" ht="12.75" customHeight="1">
      <c r="A962" s="256"/>
      <c r="B962" s="1"/>
      <c r="C962" s="264"/>
      <c r="D962" s="44"/>
      <c r="E962" s="264"/>
      <c r="F962" s="264"/>
      <c r="G962" s="233"/>
      <c r="H962" s="233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</row>
    <row r="963" ht="12.75" customHeight="1">
      <c r="A963" s="256"/>
      <c r="B963" s="1"/>
      <c r="C963" s="264"/>
      <c r="D963" s="44"/>
      <c r="E963" s="264"/>
      <c r="F963" s="264"/>
      <c r="G963" s="233"/>
      <c r="H963" s="233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</row>
    <row r="964" ht="12.75" customHeight="1">
      <c r="A964" s="256"/>
      <c r="B964" s="1"/>
      <c r="C964" s="264"/>
      <c r="D964" s="44"/>
      <c r="E964" s="264"/>
      <c r="F964" s="264"/>
      <c r="G964" s="233"/>
      <c r="H964" s="233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</row>
    <row r="965" ht="12.75" customHeight="1">
      <c r="A965" s="256"/>
      <c r="B965" s="1"/>
      <c r="C965" s="264"/>
      <c r="D965" s="44"/>
      <c r="E965" s="264"/>
      <c r="F965" s="264"/>
      <c r="G965" s="233"/>
      <c r="H965" s="233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</row>
    <row r="966" ht="12.75" customHeight="1">
      <c r="A966" s="256"/>
      <c r="B966" s="1"/>
      <c r="C966" s="264"/>
      <c r="D966" s="44"/>
      <c r="E966" s="264"/>
      <c r="F966" s="264"/>
      <c r="G966" s="233"/>
      <c r="H966" s="233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</row>
    <row r="967" ht="12.75" customHeight="1">
      <c r="A967" s="256"/>
      <c r="B967" s="1"/>
      <c r="C967" s="264"/>
      <c r="D967" s="44"/>
      <c r="E967" s="264"/>
      <c r="F967" s="264"/>
      <c r="G967" s="233"/>
      <c r="H967" s="233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</row>
    <row r="968" ht="12.75" customHeight="1">
      <c r="A968" s="256"/>
      <c r="B968" s="1"/>
      <c r="C968" s="264"/>
      <c r="D968" s="44"/>
      <c r="E968" s="264"/>
      <c r="F968" s="264"/>
      <c r="G968" s="233"/>
      <c r="H968" s="233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</row>
    <row r="969" ht="12.75" customHeight="1">
      <c r="A969" s="256"/>
      <c r="B969" s="1"/>
      <c r="C969" s="264"/>
      <c r="D969" s="44"/>
      <c r="E969" s="264"/>
      <c r="F969" s="264"/>
      <c r="G969" s="233"/>
      <c r="H969" s="233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</row>
    <row r="970" ht="12.75" customHeight="1">
      <c r="A970" s="256"/>
      <c r="B970" s="1"/>
      <c r="C970" s="264"/>
      <c r="D970" s="44"/>
      <c r="E970" s="264"/>
      <c r="F970" s="264"/>
      <c r="G970" s="233"/>
      <c r="H970" s="233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</row>
    <row r="971" ht="12.75" customHeight="1">
      <c r="A971" s="256"/>
      <c r="B971" s="1"/>
      <c r="C971" s="264"/>
      <c r="D971" s="44"/>
      <c r="E971" s="264"/>
      <c r="F971" s="264"/>
      <c r="G971" s="233"/>
      <c r="H971" s="233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</row>
    <row r="972" ht="12.75" customHeight="1">
      <c r="A972" s="256"/>
      <c r="B972" s="1"/>
      <c r="C972" s="264"/>
      <c r="D972" s="44"/>
      <c r="E972" s="264"/>
      <c r="F972" s="264"/>
      <c r="G972" s="233"/>
      <c r="H972" s="233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</row>
    <row r="973" ht="12.75" customHeight="1">
      <c r="A973" s="256"/>
      <c r="B973" s="1"/>
      <c r="C973" s="264"/>
      <c r="D973" s="44"/>
      <c r="E973" s="264"/>
      <c r="F973" s="264"/>
      <c r="G973" s="233"/>
      <c r="H973" s="233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</row>
    <row r="974" ht="12.75" customHeight="1">
      <c r="A974" s="256"/>
      <c r="B974" s="1"/>
      <c r="C974" s="264"/>
      <c r="D974" s="44"/>
      <c r="E974" s="264"/>
      <c r="F974" s="264"/>
      <c r="G974" s="233"/>
      <c r="H974" s="233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</row>
    <row r="975" ht="12.75" customHeight="1">
      <c r="A975" s="256"/>
      <c r="B975" s="1"/>
      <c r="C975" s="264"/>
      <c r="D975" s="44"/>
      <c r="E975" s="264"/>
      <c r="F975" s="264"/>
      <c r="G975" s="233"/>
      <c r="H975" s="233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</row>
    <row r="976" ht="12.75" customHeight="1">
      <c r="A976" s="256"/>
      <c r="B976" s="1"/>
      <c r="C976" s="264"/>
      <c r="D976" s="44"/>
      <c r="E976" s="264"/>
      <c r="F976" s="264"/>
      <c r="G976" s="233"/>
      <c r="H976" s="233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</row>
    <row r="977" ht="12.75" customHeight="1">
      <c r="A977" s="256"/>
      <c r="B977" s="1"/>
      <c r="C977" s="264"/>
      <c r="D977" s="44"/>
      <c r="E977" s="264"/>
      <c r="F977" s="264"/>
      <c r="G977" s="233"/>
      <c r="H977" s="233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</row>
    <row r="978" ht="12.75" customHeight="1">
      <c r="A978" s="256"/>
      <c r="B978" s="1"/>
      <c r="C978" s="264"/>
      <c r="D978" s="44"/>
      <c r="E978" s="264"/>
      <c r="F978" s="264"/>
      <c r="G978" s="233"/>
      <c r="H978" s="233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</row>
    <row r="979" ht="12.75" customHeight="1">
      <c r="A979" s="256"/>
      <c r="B979" s="1"/>
      <c r="C979" s="264"/>
      <c r="D979" s="44"/>
      <c r="E979" s="264"/>
      <c r="F979" s="264"/>
      <c r="G979" s="233"/>
      <c r="H979" s="233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</row>
    <row r="980" ht="12.75" customHeight="1">
      <c r="A980" s="256"/>
      <c r="B980" s="1"/>
      <c r="C980" s="264"/>
      <c r="D980" s="44"/>
      <c r="E980" s="264"/>
      <c r="F980" s="264"/>
      <c r="G980" s="233"/>
      <c r="H980" s="233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</row>
    <row r="981" ht="12.75" customHeight="1">
      <c r="A981" s="256"/>
      <c r="B981" s="1"/>
      <c r="C981" s="264"/>
      <c r="D981" s="44"/>
      <c r="E981" s="264"/>
      <c r="F981" s="264"/>
      <c r="G981" s="233"/>
      <c r="H981" s="233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</row>
    <row r="982" ht="12.75" customHeight="1">
      <c r="A982" s="256"/>
      <c r="B982" s="1"/>
      <c r="C982" s="264"/>
      <c r="D982" s="44"/>
      <c r="E982" s="264"/>
      <c r="F982" s="264"/>
      <c r="G982" s="233"/>
      <c r="H982" s="233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</row>
    <row r="983" ht="12.75" customHeight="1">
      <c r="A983" s="256"/>
      <c r="B983" s="1"/>
      <c r="C983" s="264"/>
      <c r="D983" s="44"/>
      <c r="E983" s="264"/>
      <c r="F983" s="264"/>
      <c r="G983" s="233"/>
      <c r="H983" s="233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</row>
    <row r="984" ht="12.75" customHeight="1">
      <c r="A984" s="256"/>
      <c r="B984" s="1"/>
      <c r="C984" s="264"/>
      <c r="D984" s="44"/>
      <c r="E984" s="264"/>
      <c r="F984" s="264"/>
      <c r="G984" s="233"/>
      <c r="H984" s="233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</row>
    <row r="985" ht="12.75" customHeight="1">
      <c r="A985" s="256"/>
      <c r="B985" s="1"/>
      <c r="C985" s="264"/>
      <c r="D985" s="44"/>
      <c r="E985" s="264"/>
      <c r="F985" s="264"/>
      <c r="G985" s="233"/>
      <c r="H985" s="233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</row>
    <row r="986" ht="12.75" customHeight="1">
      <c r="A986" s="256"/>
      <c r="B986" s="1"/>
      <c r="C986" s="264"/>
      <c r="D986" s="44"/>
      <c r="E986" s="264"/>
      <c r="F986" s="264"/>
      <c r="G986" s="233"/>
      <c r="H986" s="233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</row>
    <row r="987" ht="12.75" customHeight="1">
      <c r="A987" s="256"/>
      <c r="B987" s="1"/>
      <c r="C987" s="264"/>
      <c r="D987" s="44"/>
      <c r="E987" s="264"/>
      <c r="F987" s="264"/>
      <c r="G987" s="233"/>
      <c r="H987" s="233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</row>
    <row r="988" ht="12.75" customHeight="1">
      <c r="A988" s="256"/>
      <c r="B988" s="1"/>
      <c r="C988" s="264"/>
      <c r="D988" s="44"/>
      <c r="E988" s="264"/>
      <c r="F988" s="264"/>
      <c r="G988" s="233"/>
      <c r="H988" s="233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</row>
    <row r="989" ht="12.75" customHeight="1">
      <c r="A989" s="256"/>
      <c r="B989" s="1"/>
      <c r="C989" s="264"/>
      <c r="D989" s="44"/>
      <c r="E989" s="264"/>
      <c r="F989" s="264"/>
      <c r="G989" s="233"/>
      <c r="H989" s="233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</row>
    <row r="990" ht="12.75" customHeight="1">
      <c r="A990" s="256"/>
      <c r="B990" s="1"/>
      <c r="C990" s="264"/>
      <c r="D990" s="44"/>
      <c r="E990" s="264"/>
      <c r="F990" s="264"/>
      <c r="G990" s="233"/>
      <c r="H990" s="233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</row>
    <row r="991" ht="12.75" customHeight="1">
      <c r="A991" s="256"/>
      <c r="B991" s="1"/>
      <c r="C991" s="264"/>
      <c r="D991" s="44"/>
      <c r="E991" s="264"/>
      <c r="F991" s="264"/>
      <c r="G991" s="233"/>
      <c r="H991" s="233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</row>
    <row r="992" ht="12.75" customHeight="1">
      <c r="A992" s="256"/>
      <c r="B992" s="1"/>
      <c r="C992" s="264"/>
      <c r="D992" s="44"/>
      <c r="E992" s="264"/>
      <c r="F992" s="264"/>
      <c r="G992" s="233"/>
      <c r="H992" s="233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</row>
    <row r="993" ht="12.75" customHeight="1">
      <c r="A993" s="256"/>
      <c r="B993" s="1"/>
      <c r="C993" s="264"/>
      <c r="D993" s="44"/>
      <c r="E993" s="264"/>
      <c r="F993" s="264"/>
      <c r="G993" s="233"/>
      <c r="H993" s="233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</row>
    <row r="994" ht="12.75" customHeight="1">
      <c r="A994" s="256"/>
      <c r="B994" s="1"/>
      <c r="C994" s="264"/>
      <c r="D994" s="44"/>
      <c r="E994" s="264"/>
      <c r="F994" s="264"/>
      <c r="G994" s="233"/>
      <c r="H994" s="233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</row>
    <row r="995" ht="12.75" customHeight="1">
      <c r="A995" s="256"/>
      <c r="B995" s="1"/>
      <c r="C995" s="264"/>
      <c r="D995" s="44"/>
      <c r="E995" s="264"/>
      <c r="F995" s="264"/>
      <c r="G995" s="233"/>
      <c r="H995" s="233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</row>
    <row r="996" ht="12.75" customHeight="1">
      <c r="A996" s="256"/>
      <c r="B996" s="1"/>
      <c r="C996" s="264"/>
      <c r="D996" s="44"/>
      <c r="E996" s="264"/>
      <c r="F996" s="264"/>
      <c r="G996" s="233"/>
      <c r="H996" s="233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</row>
    <row r="997" ht="12.75" customHeight="1">
      <c r="A997" s="256"/>
      <c r="B997" s="1"/>
      <c r="C997" s="264"/>
      <c r="D997" s="44"/>
      <c r="E997" s="264"/>
      <c r="F997" s="264"/>
      <c r="G997" s="233"/>
      <c r="H997" s="233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</row>
    <row r="998" ht="12.75" customHeight="1">
      <c r="A998" s="256"/>
      <c r="B998" s="1"/>
      <c r="C998" s="264"/>
      <c r="D998" s="44"/>
      <c r="E998" s="264"/>
      <c r="F998" s="264"/>
      <c r="G998" s="233"/>
      <c r="H998" s="233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</row>
    <row r="999" ht="12.75" customHeight="1">
      <c r="A999" s="256"/>
      <c r="B999" s="1"/>
      <c r="C999" s="264"/>
      <c r="D999" s="44"/>
      <c r="E999" s="264"/>
      <c r="F999" s="264"/>
      <c r="G999" s="233"/>
      <c r="H999" s="233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</row>
    <row r="1000" ht="12.75" customHeight="1">
      <c r="A1000" s="256"/>
      <c r="B1000" s="1"/>
      <c r="C1000" s="264"/>
      <c r="D1000" s="44"/>
      <c r="E1000" s="264"/>
      <c r="F1000" s="264"/>
      <c r="G1000" s="233"/>
      <c r="H1000" s="233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</row>
    <row r="1001" ht="12.75" customHeight="1">
      <c r="A1001" s="256"/>
      <c r="B1001" s="1"/>
      <c r="C1001" s="264"/>
      <c r="D1001" s="44"/>
      <c r="E1001" s="264"/>
      <c r="F1001" s="264"/>
      <c r="G1001" s="233"/>
      <c r="H1001" s="233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</row>
    <row r="1002" ht="12.75" customHeight="1">
      <c r="A1002" s="256"/>
      <c r="B1002" s="1"/>
      <c r="C1002" s="264"/>
      <c r="D1002" s="44"/>
      <c r="E1002" s="264"/>
      <c r="F1002" s="264"/>
      <c r="G1002" s="233"/>
      <c r="H1002" s="233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</row>
    <row r="1003" ht="12.75" customHeight="1">
      <c r="A1003" s="256"/>
      <c r="B1003" s="1"/>
      <c r="C1003" s="264"/>
      <c r="D1003" s="44"/>
      <c r="E1003" s="264"/>
      <c r="F1003" s="264"/>
      <c r="G1003" s="233"/>
      <c r="H1003" s="233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</row>
    <row r="1004" ht="12.75" customHeight="1">
      <c r="A1004" s="256"/>
      <c r="B1004" s="1"/>
      <c r="C1004" s="264"/>
      <c r="D1004" s="44"/>
      <c r="E1004" s="264"/>
      <c r="F1004" s="264"/>
      <c r="G1004" s="233"/>
      <c r="H1004" s="233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</row>
    <row r="1005" ht="12.75" customHeight="1">
      <c r="A1005" s="256"/>
      <c r="B1005" s="1"/>
      <c r="C1005" s="264"/>
      <c r="D1005" s="44"/>
      <c r="E1005" s="264"/>
      <c r="F1005" s="264"/>
      <c r="G1005" s="233"/>
      <c r="H1005" s="233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</row>
    <row r="1006" ht="12.75" customHeight="1">
      <c r="A1006" s="256"/>
      <c r="B1006" s="1"/>
      <c r="C1006" s="264"/>
      <c r="D1006" s="44"/>
      <c r="E1006" s="264"/>
      <c r="F1006" s="264"/>
      <c r="G1006" s="233"/>
      <c r="H1006" s="233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</row>
    <row r="1007" ht="12.75" customHeight="1">
      <c r="A1007" s="256"/>
      <c r="B1007" s="1"/>
      <c r="C1007" s="264"/>
      <c r="D1007" s="44"/>
      <c r="E1007" s="264"/>
      <c r="F1007" s="264"/>
      <c r="G1007" s="233"/>
      <c r="H1007" s="233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</row>
    <row r="1008" ht="12.75" customHeight="1">
      <c r="A1008" s="256"/>
      <c r="B1008" s="1"/>
      <c r="C1008" s="264"/>
      <c r="D1008" s="44"/>
      <c r="E1008" s="264"/>
      <c r="F1008" s="264"/>
      <c r="G1008" s="233"/>
      <c r="H1008" s="233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</row>
    <row r="1009" ht="12.75" customHeight="1">
      <c r="A1009" s="256"/>
      <c r="B1009" s="1"/>
      <c r="C1009" s="264"/>
      <c r="D1009" s="44"/>
      <c r="E1009" s="264"/>
      <c r="F1009" s="264"/>
      <c r="G1009" s="233"/>
      <c r="H1009" s="233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</row>
    <row r="1010" ht="12.75" customHeight="1">
      <c r="A1010" s="256"/>
      <c r="B1010" s="1"/>
      <c r="C1010" s="264"/>
      <c r="D1010" s="44"/>
      <c r="E1010" s="264"/>
      <c r="F1010" s="264"/>
      <c r="G1010" s="233"/>
      <c r="H1010" s="233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</row>
    <row r="1011" ht="12.75" customHeight="1">
      <c r="A1011" s="256"/>
      <c r="B1011" s="1"/>
      <c r="C1011" s="264"/>
      <c r="D1011" s="44"/>
      <c r="E1011" s="264"/>
      <c r="F1011" s="264"/>
      <c r="G1011" s="233"/>
      <c r="H1011" s="233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</row>
    <row r="1012" ht="12.75" customHeight="1">
      <c r="A1012" s="256"/>
      <c r="B1012" s="1"/>
      <c r="C1012" s="264"/>
      <c r="D1012" s="44"/>
      <c r="E1012" s="264"/>
      <c r="F1012" s="264"/>
      <c r="G1012" s="233"/>
      <c r="H1012" s="233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</row>
    <row r="1013" ht="12.75" customHeight="1">
      <c r="A1013" s="256"/>
      <c r="B1013" s="1"/>
      <c r="C1013" s="264"/>
      <c r="D1013" s="44"/>
      <c r="E1013" s="264"/>
      <c r="F1013" s="264"/>
      <c r="G1013" s="233"/>
      <c r="H1013" s="233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</row>
    <row r="1014" ht="12.75" customHeight="1">
      <c r="A1014" s="256"/>
      <c r="B1014" s="1"/>
      <c r="C1014" s="264"/>
      <c r="D1014" s="44"/>
      <c r="E1014" s="264"/>
      <c r="F1014" s="264"/>
      <c r="G1014" s="233"/>
      <c r="H1014" s="233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</row>
    <row r="1015" ht="12.75" customHeight="1">
      <c r="A1015" s="256"/>
      <c r="B1015" s="1"/>
      <c r="C1015" s="264"/>
      <c r="D1015" s="44"/>
      <c r="E1015" s="264"/>
      <c r="F1015" s="264"/>
      <c r="G1015" s="233"/>
      <c r="H1015" s="233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</row>
    <row r="1016" ht="12.75" customHeight="1">
      <c r="A1016" s="256"/>
      <c r="B1016" s="1"/>
      <c r="C1016" s="264"/>
      <c r="D1016" s="44"/>
      <c r="E1016" s="264"/>
      <c r="F1016" s="264"/>
      <c r="G1016" s="233"/>
      <c r="H1016" s="233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</row>
    <row r="1017" ht="12.75" customHeight="1">
      <c r="A1017" s="256"/>
      <c r="B1017" s="1"/>
      <c r="C1017" s="264"/>
      <c r="D1017" s="44"/>
      <c r="E1017" s="264"/>
      <c r="F1017" s="264"/>
      <c r="G1017" s="233"/>
      <c r="H1017" s="233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</row>
    <row r="1018" ht="12.75" customHeight="1">
      <c r="A1018" s="256"/>
      <c r="B1018" s="1"/>
      <c r="C1018" s="264"/>
      <c r="D1018" s="44"/>
      <c r="E1018" s="264"/>
      <c r="F1018" s="264"/>
      <c r="G1018" s="233"/>
      <c r="H1018" s="233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</row>
    <row r="1019" ht="12.75" customHeight="1">
      <c r="A1019" s="256"/>
      <c r="B1019" s="1"/>
      <c r="C1019" s="264"/>
      <c r="D1019" s="44"/>
      <c r="E1019" s="264"/>
      <c r="F1019" s="264"/>
      <c r="G1019" s="233"/>
      <c r="H1019" s="233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</row>
    <row r="1020" ht="12.75" customHeight="1">
      <c r="A1020" s="256"/>
      <c r="B1020" s="1"/>
      <c r="C1020" s="264"/>
      <c r="D1020" s="44"/>
      <c r="E1020" s="264"/>
      <c r="F1020" s="264"/>
      <c r="G1020" s="233"/>
      <c r="H1020" s="233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</row>
    <row r="1021" ht="12.75" customHeight="1">
      <c r="A1021" s="256"/>
      <c r="B1021" s="1"/>
      <c r="C1021" s="264"/>
      <c r="D1021" s="44"/>
      <c r="E1021" s="264"/>
      <c r="F1021" s="264"/>
      <c r="G1021" s="233"/>
      <c r="H1021" s="233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</row>
    <row r="1022" ht="12.75" customHeight="1">
      <c r="A1022" s="256"/>
      <c r="B1022" s="1"/>
      <c r="C1022" s="264"/>
      <c r="D1022" s="44"/>
      <c r="E1022" s="264"/>
      <c r="F1022" s="264"/>
      <c r="G1022" s="233"/>
      <c r="H1022" s="233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</row>
    <row r="1023" ht="12.75" customHeight="1">
      <c r="A1023" s="256"/>
      <c r="B1023" s="1"/>
      <c r="C1023" s="264"/>
      <c r="D1023" s="44"/>
      <c r="E1023" s="264"/>
      <c r="F1023" s="264"/>
      <c r="G1023" s="233"/>
      <c r="H1023" s="233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</row>
    <row r="1024" ht="12.75" customHeight="1">
      <c r="A1024" s="256"/>
      <c r="B1024" s="1"/>
      <c r="C1024" s="264"/>
      <c r="D1024" s="44"/>
      <c r="E1024" s="264"/>
      <c r="F1024" s="264"/>
      <c r="G1024" s="233"/>
      <c r="H1024" s="233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</row>
    <row r="1025" ht="12.75" customHeight="1">
      <c r="A1025" s="256"/>
      <c r="B1025" s="1"/>
      <c r="C1025" s="264"/>
      <c r="D1025" s="44"/>
      <c r="E1025" s="264"/>
      <c r="F1025" s="264"/>
      <c r="G1025" s="233"/>
      <c r="H1025" s="233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</row>
    <row r="1026" ht="12.75" customHeight="1">
      <c r="A1026" s="256"/>
      <c r="B1026" s="1"/>
      <c r="C1026" s="264"/>
      <c r="D1026" s="44"/>
      <c r="E1026" s="264"/>
      <c r="F1026" s="264"/>
      <c r="G1026" s="233"/>
      <c r="H1026" s="233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</row>
    <row r="1027" ht="12.75" customHeight="1">
      <c r="A1027" s="256"/>
      <c r="B1027" s="1"/>
      <c r="C1027" s="264"/>
      <c r="D1027" s="44"/>
      <c r="E1027" s="264"/>
      <c r="F1027" s="264"/>
      <c r="G1027" s="233"/>
      <c r="H1027" s="233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</row>
    <row r="1028" ht="12.75" customHeight="1">
      <c r="A1028" s="256"/>
      <c r="B1028" s="1"/>
      <c r="C1028" s="264"/>
      <c r="D1028" s="44"/>
      <c r="E1028" s="264"/>
      <c r="F1028" s="264"/>
      <c r="G1028" s="233"/>
      <c r="H1028" s="233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</row>
    <row r="1029" ht="12.75" customHeight="1">
      <c r="A1029" s="256"/>
      <c r="B1029" s="1"/>
      <c r="C1029" s="264"/>
      <c r="D1029" s="44"/>
      <c r="E1029" s="264"/>
      <c r="F1029" s="264"/>
      <c r="G1029" s="233"/>
      <c r="H1029" s="233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</row>
    <row r="1030" ht="12.75" customHeight="1">
      <c r="A1030" s="256"/>
      <c r="B1030" s="1"/>
      <c r="C1030" s="264"/>
      <c r="D1030" s="44"/>
      <c r="E1030" s="264"/>
      <c r="F1030" s="264"/>
      <c r="G1030" s="233"/>
      <c r="H1030" s="233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</row>
    <row r="1031" ht="12.75" customHeight="1">
      <c r="A1031" s="256"/>
      <c r="B1031" s="1"/>
      <c r="C1031" s="264"/>
      <c r="D1031" s="44"/>
      <c r="E1031" s="264"/>
      <c r="F1031" s="264"/>
      <c r="G1031" s="233"/>
      <c r="H1031" s="233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</row>
    <row r="1032" ht="12.75" customHeight="1">
      <c r="A1032" s="256"/>
      <c r="B1032" s="1"/>
      <c r="C1032" s="264"/>
      <c r="D1032" s="44"/>
      <c r="E1032" s="264"/>
      <c r="F1032" s="264"/>
      <c r="G1032" s="233"/>
      <c r="H1032" s="233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</row>
    <row r="1033" ht="12.75" customHeight="1">
      <c r="A1033" s="256"/>
      <c r="B1033" s="1"/>
      <c r="C1033" s="264"/>
      <c r="D1033" s="44"/>
      <c r="E1033" s="264"/>
      <c r="F1033" s="264"/>
      <c r="G1033" s="233"/>
      <c r="H1033" s="233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</row>
    <row r="1034" ht="12.75" customHeight="1">
      <c r="A1034" s="256"/>
      <c r="B1034" s="1"/>
      <c r="C1034" s="264"/>
      <c r="D1034" s="44"/>
      <c r="E1034" s="264"/>
      <c r="F1034" s="264"/>
      <c r="G1034" s="233"/>
      <c r="H1034" s="233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</row>
    <row r="1035" ht="12.75" customHeight="1">
      <c r="A1035" s="256"/>
      <c r="B1035" s="1"/>
      <c r="C1035" s="264"/>
      <c r="D1035" s="44"/>
      <c r="E1035" s="264"/>
      <c r="F1035" s="264"/>
      <c r="G1035" s="233"/>
      <c r="H1035" s="233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</row>
    <row r="1036" ht="12.75" customHeight="1">
      <c r="A1036" s="256"/>
      <c r="B1036" s="1"/>
      <c r="C1036" s="264"/>
      <c r="D1036" s="44"/>
      <c r="E1036" s="264"/>
      <c r="F1036" s="264"/>
      <c r="G1036" s="233"/>
      <c r="H1036" s="233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</row>
    <row r="1037" ht="12.75" customHeight="1">
      <c r="A1037" s="256"/>
      <c r="B1037" s="1"/>
      <c r="C1037" s="264"/>
      <c r="D1037" s="44"/>
      <c r="E1037" s="264"/>
      <c r="F1037" s="264"/>
      <c r="G1037" s="233"/>
      <c r="H1037" s="233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</row>
    <row r="1038" ht="12.75" customHeight="1">
      <c r="A1038" s="256"/>
      <c r="B1038" s="1"/>
      <c r="C1038" s="264"/>
      <c r="D1038" s="44"/>
      <c r="E1038" s="264"/>
      <c r="F1038" s="264"/>
      <c r="G1038" s="233"/>
      <c r="H1038" s="233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</row>
    <row r="1039" ht="12.75" customHeight="1">
      <c r="A1039" s="256"/>
      <c r="B1039" s="1"/>
      <c r="C1039" s="264"/>
      <c r="D1039" s="44"/>
      <c r="E1039" s="264"/>
      <c r="F1039" s="264"/>
      <c r="G1039" s="233"/>
      <c r="H1039" s="233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</row>
    <row r="1040" ht="12.75" customHeight="1">
      <c r="A1040" s="256"/>
      <c r="B1040" s="1"/>
      <c r="C1040" s="264"/>
      <c r="D1040" s="44"/>
      <c r="E1040" s="264"/>
      <c r="F1040" s="264"/>
      <c r="G1040" s="233"/>
      <c r="H1040" s="233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</row>
    <row r="1041" ht="12.75" customHeight="1">
      <c r="A1041" s="256"/>
      <c r="B1041" s="1"/>
      <c r="C1041" s="264"/>
      <c r="D1041" s="44"/>
      <c r="E1041" s="264"/>
      <c r="F1041" s="264"/>
      <c r="G1041" s="233"/>
      <c r="H1041" s="233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</row>
    <row r="1042" ht="12.75" customHeight="1">
      <c r="A1042" s="256"/>
      <c r="B1042" s="1"/>
      <c r="C1042" s="264"/>
      <c r="D1042" s="44"/>
      <c r="E1042" s="264"/>
      <c r="F1042" s="264"/>
      <c r="G1042" s="233"/>
      <c r="H1042" s="233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</row>
    <row r="1043" ht="12.75" customHeight="1">
      <c r="A1043" s="256"/>
      <c r="B1043" s="1"/>
      <c r="C1043" s="264"/>
      <c r="D1043" s="44"/>
      <c r="E1043" s="264"/>
      <c r="F1043" s="264"/>
      <c r="G1043" s="233"/>
      <c r="H1043" s="233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</row>
    <row r="1044" ht="12.75" customHeight="1">
      <c r="A1044" s="256"/>
      <c r="B1044" s="1"/>
      <c r="C1044" s="264"/>
      <c r="D1044" s="44"/>
      <c r="E1044" s="264"/>
      <c r="F1044" s="264"/>
      <c r="G1044" s="233"/>
      <c r="H1044" s="233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</row>
    <row r="1045" ht="12.75" customHeight="1">
      <c r="A1045" s="256"/>
      <c r="B1045" s="1"/>
      <c r="C1045" s="264"/>
      <c r="D1045" s="44"/>
      <c r="E1045" s="264"/>
      <c r="F1045" s="264"/>
      <c r="G1045" s="233"/>
      <c r="H1045" s="233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</row>
    <row r="1046" ht="12.75" customHeight="1">
      <c r="A1046" s="256"/>
      <c r="B1046" s="1"/>
      <c r="C1046" s="264"/>
      <c r="D1046" s="44"/>
      <c r="E1046" s="264"/>
      <c r="F1046" s="264"/>
      <c r="G1046" s="233"/>
      <c r="H1046" s="233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</row>
    <row r="1047" ht="12.75" customHeight="1">
      <c r="A1047" s="256"/>
      <c r="B1047" s="1"/>
      <c r="C1047" s="264"/>
      <c r="D1047" s="44"/>
      <c r="E1047" s="264"/>
      <c r="F1047" s="264"/>
      <c r="G1047" s="233"/>
      <c r="H1047" s="233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</row>
    <row r="1048" ht="12.75" customHeight="1">
      <c r="A1048" s="256"/>
      <c r="B1048" s="1"/>
      <c r="C1048" s="264"/>
      <c r="D1048" s="44"/>
      <c r="E1048" s="264"/>
      <c r="F1048" s="264"/>
      <c r="G1048" s="233"/>
      <c r="H1048" s="233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</row>
    <row r="1049" ht="12.75" customHeight="1">
      <c r="A1049" s="256"/>
      <c r="B1049" s="1"/>
      <c r="C1049" s="264"/>
      <c r="D1049" s="44"/>
      <c r="E1049" s="264"/>
      <c r="F1049" s="264"/>
      <c r="G1049" s="233"/>
      <c r="H1049" s="233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</row>
    <row r="1050" ht="12.75" customHeight="1">
      <c r="A1050" s="256"/>
      <c r="B1050" s="1"/>
      <c r="C1050" s="264"/>
      <c r="D1050" s="44"/>
      <c r="E1050" s="264"/>
      <c r="F1050" s="264"/>
      <c r="G1050" s="233"/>
      <c r="H1050" s="233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</row>
    <row r="1051" ht="12.75" customHeight="1">
      <c r="A1051" s="256"/>
      <c r="B1051" s="1"/>
      <c r="C1051" s="264"/>
      <c r="D1051" s="44"/>
      <c r="E1051" s="264"/>
      <c r="F1051" s="264"/>
      <c r="G1051" s="233"/>
      <c r="H1051" s="233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</row>
    <row r="1052" ht="12.75" customHeight="1">
      <c r="A1052" s="256"/>
      <c r="B1052" s="1"/>
      <c r="C1052" s="264"/>
      <c r="D1052" s="44"/>
      <c r="E1052" s="264"/>
      <c r="F1052" s="264"/>
      <c r="G1052" s="233"/>
      <c r="H1052" s="233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</row>
    <row r="1053" ht="12.75" customHeight="1">
      <c r="A1053" s="256"/>
      <c r="B1053" s="1"/>
      <c r="C1053" s="264"/>
      <c r="D1053" s="44"/>
      <c r="E1053" s="264"/>
      <c r="F1053" s="264"/>
      <c r="G1053" s="233"/>
      <c r="H1053" s="233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</row>
    <row r="1054" ht="12.75" customHeight="1">
      <c r="A1054" s="256"/>
      <c r="B1054" s="1"/>
      <c r="C1054" s="264"/>
      <c r="D1054" s="44"/>
      <c r="E1054" s="264"/>
      <c r="F1054" s="264"/>
      <c r="G1054" s="233"/>
      <c r="H1054" s="233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</row>
    <row r="1055" ht="12.75" customHeight="1">
      <c r="A1055" s="256"/>
      <c r="B1055" s="1"/>
      <c r="C1055" s="264"/>
      <c r="D1055" s="44"/>
      <c r="E1055" s="264"/>
      <c r="F1055" s="264"/>
      <c r="G1055" s="233"/>
      <c r="H1055" s="233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</row>
    <row r="1056" ht="12.75" customHeight="1">
      <c r="A1056" s="256"/>
      <c r="B1056" s="1"/>
      <c r="C1056" s="264"/>
      <c r="D1056" s="44"/>
      <c r="E1056" s="264"/>
      <c r="F1056" s="264"/>
      <c r="G1056" s="233"/>
      <c r="H1056" s="233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</row>
    <row r="1057" ht="12.75" customHeight="1">
      <c r="A1057" s="256"/>
      <c r="B1057" s="1"/>
      <c r="C1057" s="264"/>
      <c r="D1057" s="44"/>
      <c r="E1057" s="264"/>
      <c r="F1057" s="264"/>
      <c r="G1057" s="233"/>
      <c r="H1057" s="233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</row>
    <row r="1058" ht="12.75" customHeight="1">
      <c r="A1058" s="256"/>
      <c r="B1058" s="1"/>
      <c r="C1058" s="264"/>
      <c r="D1058" s="44"/>
      <c r="E1058" s="264"/>
      <c r="F1058" s="264"/>
      <c r="G1058" s="233"/>
      <c r="H1058" s="233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</row>
    <row r="1059" ht="12.75" customHeight="1">
      <c r="A1059" s="256"/>
      <c r="B1059" s="1"/>
      <c r="C1059" s="264"/>
      <c r="D1059" s="44"/>
      <c r="E1059" s="264"/>
      <c r="F1059" s="264"/>
      <c r="G1059" s="233"/>
      <c r="H1059" s="233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</row>
    <row r="1060" ht="12.75" customHeight="1">
      <c r="A1060" s="256"/>
      <c r="B1060" s="1"/>
      <c r="C1060" s="264"/>
      <c r="D1060" s="44"/>
      <c r="E1060" s="264"/>
      <c r="F1060" s="264"/>
      <c r="G1060" s="233"/>
      <c r="H1060" s="233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</row>
    <row r="1061" ht="12.75" customHeight="1">
      <c r="A1061" s="256"/>
      <c r="B1061" s="1"/>
      <c r="C1061" s="264"/>
      <c r="D1061" s="44"/>
      <c r="E1061" s="264"/>
      <c r="F1061" s="264"/>
      <c r="G1061" s="233"/>
      <c r="H1061" s="233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</row>
    <row r="1062" ht="12.75" customHeight="1">
      <c r="A1062" s="256"/>
      <c r="B1062" s="1"/>
      <c r="C1062" s="264"/>
      <c r="D1062" s="44"/>
      <c r="E1062" s="264"/>
      <c r="F1062" s="264"/>
      <c r="G1062" s="233"/>
      <c r="H1062" s="233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</row>
    <row r="1063" ht="12.75" customHeight="1">
      <c r="A1063" s="256"/>
      <c r="B1063" s="1"/>
      <c r="C1063" s="264"/>
      <c r="D1063" s="44"/>
      <c r="E1063" s="264"/>
      <c r="F1063" s="264"/>
      <c r="G1063" s="233"/>
      <c r="H1063" s="233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</row>
    <row r="1064" ht="12.75" customHeight="1">
      <c r="A1064" s="256"/>
      <c r="B1064" s="1"/>
      <c r="C1064" s="264"/>
      <c r="D1064" s="44"/>
      <c r="E1064" s="264"/>
      <c r="F1064" s="264"/>
      <c r="G1064" s="233"/>
      <c r="H1064" s="233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</row>
    <row r="1065" ht="12.75" customHeight="1">
      <c r="A1065" s="256"/>
      <c r="B1065" s="1"/>
      <c r="C1065" s="264"/>
      <c r="D1065" s="44"/>
      <c r="E1065" s="264"/>
      <c r="F1065" s="264"/>
      <c r="G1065" s="233"/>
      <c r="H1065" s="233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</row>
    <row r="1066" ht="12.75" customHeight="1">
      <c r="A1066" s="256"/>
      <c r="B1066" s="1"/>
      <c r="C1066" s="264"/>
      <c r="D1066" s="44"/>
      <c r="E1066" s="264"/>
      <c r="F1066" s="264"/>
      <c r="G1066" s="233"/>
      <c r="H1066" s="233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</row>
    <row r="1067" ht="12.75" customHeight="1">
      <c r="A1067" s="256"/>
      <c r="B1067" s="1"/>
      <c r="C1067" s="264"/>
      <c r="D1067" s="44"/>
      <c r="E1067" s="264"/>
      <c r="F1067" s="264"/>
      <c r="G1067" s="233"/>
      <c r="H1067" s="233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</row>
    <row r="1068" ht="12.75" customHeight="1">
      <c r="A1068" s="256"/>
      <c r="B1068" s="1"/>
      <c r="C1068" s="264"/>
      <c r="D1068" s="44"/>
      <c r="E1068" s="264"/>
      <c r="F1068" s="264"/>
      <c r="G1068" s="233"/>
      <c r="H1068" s="233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</row>
    <row r="1069" ht="12.75" customHeight="1">
      <c r="A1069" s="256"/>
      <c r="B1069" s="1"/>
      <c r="C1069" s="264"/>
      <c r="D1069" s="44"/>
      <c r="E1069" s="264"/>
      <c r="F1069" s="264"/>
      <c r="G1069" s="233"/>
      <c r="H1069" s="233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</row>
    <row r="1070" ht="12.75" customHeight="1">
      <c r="A1070" s="256"/>
      <c r="B1070" s="1"/>
      <c r="C1070" s="264"/>
      <c r="D1070" s="44"/>
      <c r="E1070" s="264"/>
      <c r="F1070" s="264"/>
      <c r="G1070" s="233"/>
      <c r="H1070" s="233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</row>
    <row r="1071" ht="12.75" customHeight="1">
      <c r="A1071" s="256"/>
      <c r="B1071" s="1"/>
      <c r="C1071" s="264"/>
      <c r="D1071" s="44"/>
      <c r="E1071" s="264"/>
      <c r="F1071" s="264"/>
      <c r="G1071" s="233"/>
      <c r="H1071" s="233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</row>
    <row r="1072" ht="12.75" customHeight="1">
      <c r="A1072" s="256"/>
      <c r="B1072" s="1"/>
      <c r="C1072" s="264"/>
      <c r="D1072" s="44"/>
      <c r="E1072" s="264"/>
      <c r="F1072" s="264"/>
      <c r="G1072" s="233"/>
      <c r="H1072" s="233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</row>
    <row r="1073" ht="12.75" customHeight="1">
      <c r="A1073" s="256"/>
      <c r="B1073" s="1"/>
      <c r="C1073" s="264"/>
      <c r="D1073" s="44"/>
      <c r="E1073" s="264"/>
      <c r="F1073" s="264"/>
      <c r="G1073" s="233"/>
      <c r="H1073" s="233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</row>
    <row r="1074" ht="12.75" customHeight="1">
      <c r="A1074" s="256"/>
      <c r="B1074" s="1"/>
      <c r="C1074" s="264"/>
      <c r="D1074" s="44"/>
      <c r="E1074" s="264"/>
      <c r="F1074" s="264"/>
      <c r="G1074" s="233"/>
      <c r="H1074" s="233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</row>
    <row r="1075" ht="12.75" customHeight="1">
      <c r="A1075" s="256"/>
      <c r="B1075" s="1"/>
      <c r="C1075" s="264"/>
      <c r="D1075" s="44"/>
      <c r="E1075" s="264"/>
      <c r="F1075" s="264"/>
      <c r="G1075" s="233"/>
      <c r="H1075" s="233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</row>
    <row r="1076" ht="12.75" customHeight="1">
      <c r="A1076" s="256"/>
      <c r="B1076" s="1"/>
      <c r="C1076" s="264"/>
      <c r="D1076" s="44"/>
      <c r="E1076" s="264"/>
      <c r="F1076" s="264"/>
      <c r="G1076" s="233"/>
      <c r="H1076" s="233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</row>
    <row r="1077" ht="12.75" customHeight="1">
      <c r="A1077" s="256"/>
      <c r="B1077" s="1"/>
      <c r="C1077" s="264"/>
      <c r="D1077" s="44"/>
      <c r="E1077" s="264"/>
      <c r="F1077" s="264"/>
      <c r="G1077" s="233"/>
      <c r="H1077" s="233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</row>
    <row r="1078" ht="12.75" customHeight="1">
      <c r="A1078" s="256"/>
      <c r="B1078" s="1"/>
      <c r="C1078" s="264"/>
      <c r="D1078" s="44"/>
      <c r="E1078" s="264"/>
      <c r="F1078" s="264"/>
      <c r="G1078" s="233"/>
      <c r="H1078" s="233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</row>
    <row r="1079" ht="12.75" customHeight="1">
      <c r="A1079" s="256"/>
      <c r="B1079" s="1"/>
      <c r="C1079" s="264"/>
      <c r="D1079" s="44"/>
      <c r="E1079" s="264"/>
      <c r="F1079" s="264"/>
      <c r="G1079" s="233"/>
      <c r="H1079" s="233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</row>
    <row r="1080" ht="12.75" customHeight="1">
      <c r="A1080" s="256"/>
      <c r="B1080" s="1"/>
      <c r="C1080" s="264"/>
      <c r="D1080" s="44"/>
      <c r="E1080" s="264"/>
      <c r="F1080" s="264"/>
      <c r="G1080" s="233"/>
      <c r="H1080" s="233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</row>
    <row r="1081" ht="12.75" customHeight="1">
      <c r="A1081" s="256"/>
      <c r="B1081" s="1"/>
      <c r="C1081" s="264"/>
      <c r="D1081" s="44"/>
      <c r="E1081" s="264"/>
      <c r="F1081" s="264"/>
      <c r="G1081" s="233"/>
      <c r="H1081" s="233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</row>
    <row r="1082" ht="12.75" customHeight="1">
      <c r="A1082" s="256"/>
      <c r="B1082" s="1"/>
      <c r="C1082" s="264"/>
      <c r="D1082" s="44"/>
      <c r="E1082" s="264"/>
      <c r="F1082" s="264"/>
      <c r="G1082" s="233"/>
      <c r="H1082" s="233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</row>
    <row r="1083" ht="12.75" customHeight="1">
      <c r="A1083" s="256"/>
      <c r="B1083" s="1"/>
      <c r="C1083" s="264"/>
      <c r="D1083" s="44"/>
      <c r="E1083" s="264"/>
      <c r="F1083" s="264"/>
      <c r="G1083" s="233"/>
      <c r="H1083" s="233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</row>
    <row r="1084" ht="12.75" customHeight="1">
      <c r="A1084" s="256"/>
      <c r="B1084" s="1"/>
      <c r="C1084" s="264"/>
      <c r="D1084" s="44"/>
      <c r="E1084" s="264"/>
      <c r="F1084" s="264"/>
      <c r="G1084" s="233"/>
      <c r="H1084" s="233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</row>
    <row r="1085" ht="12.75" customHeight="1">
      <c r="A1085" s="256"/>
      <c r="B1085" s="1"/>
      <c r="C1085" s="264"/>
      <c r="D1085" s="44"/>
      <c r="E1085" s="264"/>
      <c r="F1085" s="264"/>
      <c r="G1085" s="233"/>
      <c r="H1085" s="233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</row>
    <row r="1086" ht="12.75" customHeight="1">
      <c r="A1086" s="256"/>
      <c r="B1086" s="1"/>
      <c r="C1086" s="264"/>
      <c r="D1086" s="44"/>
      <c r="E1086" s="264"/>
      <c r="F1086" s="264"/>
      <c r="G1086" s="233"/>
      <c r="H1086" s="233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</row>
    <row r="1087" ht="12.75" customHeight="1">
      <c r="A1087" s="256"/>
      <c r="B1087" s="1"/>
      <c r="C1087" s="264"/>
      <c r="D1087" s="44"/>
      <c r="E1087" s="264"/>
      <c r="F1087" s="264"/>
      <c r="G1087" s="233"/>
      <c r="H1087" s="233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</row>
    <row r="1088" ht="12.75" customHeight="1">
      <c r="A1088" s="256"/>
      <c r="B1088" s="1"/>
      <c r="C1088" s="264"/>
      <c r="D1088" s="44"/>
      <c r="E1088" s="264"/>
      <c r="F1088" s="264"/>
      <c r="G1088" s="233"/>
      <c r="H1088" s="233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</row>
    <row r="1089" ht="12.75" customHeight="1">
      <c r="A1089" s="256"/>
      <c r="B1089" s="1"/>
      <c r="C1089" s="264"/>
      <c r="D1089" s="44"/>
      <c r="E1089" s="264"/>
      <c r="F1089" s="264"/>
      <c r="G1089" s="233"/>
      <c r="H1089" s="233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</row>
    <row r="1090" ht="12.75" customHeight="1">
      <c r="A1090" s="256"/>
      <c r="B1090" s="1"/>
      <c r="C1090" s="264"/>
      <c r="D1090" s="44"/>
      <c r="E1090" s="264"/>
      <c r="F1090" s="264"/>
      <c r="G1090" s="233"/>
      <c r="H1090" s="233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</row>
    <row r="1091" ht="12.75" customHeight="1">
      <c r="A1091" s="256"/>
      <c r="B1091" s="1"/>
      <c r="C1091" s="264"/>
      <c r="D1091" s="44"/>
      <c r="E1091" s="264"/>
      <c r="F1091" s="264"/>
      <c r="G1091" s="233"/>
      <c r="H1091" s="233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</row>
    <row r="1092" ht="12.75" customHeight="1">
      <c r="A1092" s="256"/>
      <c r="B1092" s="1"/>
      <c r="C1092" s="264"/>
      <c r="D1092" s="44"/>
      <c r="E1092" s="264"/>
      <c r="F1092" s="264"/>
      <c r="G1092" s="233"/>
      <c r="H1092" s="233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</row>
    <row r="1093" ht="12.75" customHeight="1">
      <c r="A1093" s="256"/>
      <c r="B1093" s="1"/>
      <c r="C1093" s="264"/>
      <c r="D1093" s="44"/>
      <c r="E1093" s="264"/>
      <c r="F1093" s="264"/>
      <c r="G1093" s="233"/>
      <c r="H1093" s="233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</row>
    <row r="1094" ht="12.75" customHeight="1">
      <c r="A1094" s="256"/>
      <c r="B1094" s="1"/>
      <c r="C1094" s="264"/>
      <c r="D1094" s="44"/>
      <c r="E1094" s="264"/>
      <c r="F1094" s="264"/>
      <c r="G1094" s="233"/>
      <c r="H1094" s="233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</row>
    <row r="1095" ht="12.75" customHeight="1">
      <c r="A1095" s="256"/>
      <c r="B1095" s="1"/>
      <c r="C1095" s="264"/>
      <c r="D1095" s="44"/>
      <c r="E1095" s="264"/>
      <c r="F1095" s="264"/>
      <c r="G1095" s="233"/>
      <c r="H1095" s="233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</row>
    <row r="1096" ht="12.75" customHeight="1">
      <c r="A1096" s="256"/>
      <c r="B1096" s="1"/>
      <c r="C1096" s="264"/>
      <c r="D1096" s="44"/>
      <c r="E1096" s="264"/>
      <c r="F1096" s="264"/>
      <c r="G1096" s="233"/>
      <c r="H1096" s="233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</row>
    <row r="1097" ht="12.75" customHeight="1">
      <c r="A1097" s="256"/>
      <c r="B1097" s="1"/>
      <c r="C1097" s="264"/>
      <c r="D1097" s="44"/>
      <c r="E1097" s="264"/>
      <c r="F1097" s="264"/>
      <c r="G1097" s="233"/>
      <c r="H1097" s="233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</row>
    <row r="1098" ht="12.75" customHeight="1">
      <c r="A1098" s="256"/>
      <c r="B1098" s="1"/>
      <c r="C1098" s="264"/>
      <c r="D1098" s="44"/>
      <c r="E1098" s="264"/>
      <c r="F1098" s="264"/>
      <c r="G1098" s="233"/>
      <c r="H1098" s="233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</row>
    <row r="1099" ht="12.75" customHeight="1">
      <c r="A1099" s="256"/>
      <c r="B1099" s="1"/>
      <c r="C1099" s="264"/>
      <c r="D1099" s="44"/>
      <c r="E1099" s="264"/>
      <c r="F1099" s="264"/>
      <c r="G1099" s="233"/>
      <c r="H1099" s="233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</row>
    <row r="1100" ht="12.75" customHeight="1">
      <c r="A1100" s="256"/>
      <c r="B1100" s="1"/>
      <c r="C1100" s="264"/>
      <c r="D1100" s="44"/>
      <c r="E1100" s="264"/>
      <c r="F1100" s="264"/>
      <c r="G1100" s="233"/>
      <c r="H1100" s="233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</row>
    <row r="1101" ht="12.75" customHeight="1">
      <c r="A1101" s="256"/>
      <c r="B1101" s="1"/>
      <c r="C1101" s="264"/>
      <c r="D1101" s="44"/>
      <c r="E1101" s="264"/>
      <c r="F1101" s="264"/>
      <c r="G1101" s="233"/>
      <c r="H1101" s="233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</row>
    <row r="1102" ht="12.75" customHeight="1">
      <c r="A1102" s="256"/>
      <c r="B1102" s="1"/>
      <c r="C1102" s="264"/>
      <c r="D1102" s="44"/>
      <c r="E1102" s="264"/>
      <c r="F1102" s="264"/>
      <c r="G1102" s="233"/>
      <c r="H1102" s="233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</row>
    <row r="1103" ht="12.75" customHeight="1">
      <c r="A1103" s="256"/>
      <c r="B1103" s="1"/>
      <c r="C1103" s="264"/>
      <c r="D1103" s="44"/>
      <c r="E1103" s="264"/>
      <c r="F1103" s="264"/>
      <c r="G1103" s="233"/>
      <c r="H1103" s="233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</row>
    <row r="1104" ht="12.75" customHeight="1">
      <c r="A1104" s="256"/>
      <c r="B1104" s="1"/>
      <c r="C1104" s="264"/>
      <c r="D1104" s="44"/>
      <c r="E1104" s="264"/>
      <c r="F1104" s="264"/>
      <c r="G1104" s="233"/>
      <c r="H1104" s="233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</row>
    <row r="1105" ht="12.75" customHeight="1">
      <c r="A1105" s="256"/>
      <c r="B1105" s="1"/>
      <c r="C1105" s="264"/>
      <c r="D1105" s="44"/>
      <c r="E1105" s="264"/>
      <c r="F1105" s="264"/>
      <c r="G1105" s="233"/>
      <c r="H1105" s="233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</row>
    <row r="1106" ht="12.75" customHeight="1">
      <c r="A1106" s="256"/>
      <c r="B1106" s="1"/>
      <c r="C1106" s="264"/>
      <c r="D1106" s="44"/>
      <c r="E1106" s="264"/>
      <c r="F1106" s="264"/>
      <c r="G1106" s="233"/>
      <c r="H1106" s="233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</row>
    <row r="1107" ht="12.75" customHeight="1">
      <c r="A1107" s="256"/>
      <c r="B1107" s="1"/>
      <c r="C1107" s="264"/>
      <c r="D1107" s="44"/>
      <c r="E1107" s="264"/>
      <c r="F1107" s="264"/>
      <c r="G1107" s="233"/>
      <c r="H1107" s="233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</row>
    <row r="1108" ht="12.75" customHeight="1">
      <c r="A1108" s="256"/>
      <c r="B1108" s="1"/>
      <c r="C1108" s="264"/>
      <c r="D1108" s="44"/>
      <c r="E1108" s="264"/>
      <c r="F1108" s="264"/>
      <c r="G1108" s="233"/>
      <c r="H1108" s="233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</row>
    <row r="1109" ht="12.75" customHeight="1">
      <c r="A1109" s="256"/>
      <c r="B1109" s="1"/>
      <c r="C1109" s="264"/>
      <c r="D1109" s="44"/>
      <c r="E1109" s="264"/>
      <c r="F1109" s="264"/>
      <c r="G1109" s="233"/>
      <c r="H1109" s="233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</row>
    <row r="1110" ht="12.75" customHeight="1">
      <c r="A1110" s="256"/>
      <c r="B1110" s="1"/>
      <c r="C1110" s="264"/>
      <c r="D1110" s="44"/>
      <c r="E1110" s="264"/>
      <c r="F1110" s="264"/>
      <c r="G1110" s="233"/>
      <c r="H1110" s="233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</row>
    <row r="1111" ht="12.75" customHeight="1">
      <c r="A1111" s="256"/>
      <c r="B1111" s="1"/>
      <c r="C1111" s="264"/>
      <c r="D1111" s="44"/>
      <c r="E1111" s="264"/>
      <c r="F1111" s="264"/>
      <c r="G1111" s="233"/>
      <c r="H1111" s="233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</row>
    <row r="1112" ht="12.75" customHeight="1">
      <c r="A1112" s="256"/>
      <c r="B1112" s="1"/>
      <c r="C1112" s="264"/>
      <c r="D1112" s="44"/>
      <c r="E1112" s="264"/>
      <c r="F1112" s="264"/>
      <c r="G1112" s="233"/>
      <c r="H1112" s="233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</row>
    <row r="1113" ht="12.75" customHeight="1">
      <c r="A1113" s="256"/>
      <c r="B1113" s="1"/>
      <c r="C1113" s="264"/>
      <c r="D1113" s="44"/>
      <c r="E1113" s="264"/>
      <c r="F1113" s="264"/>
      <c r="G1113" s="233"/>
      <c r="H1113" s="233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</row>
    <row r="1114" ht="12.75" customHeight="1">
      <c r="A1114" s="256"/>
      <c r="B1114" s="1"/>
      <c r="C1114" s="264"/>
      <c r="D1114" s="44"/>
      <c r="E1114" s="264"/>
      <c r="F1114" s="264"/>
      <c r="G1114" s="233"/>
      <c r="H1114" s="233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</row>
    <row r="1115" ht="12.75" customHeight="1">
      <c r="A1115" s="256"/>
      <c r="B1115" s="1"/>
      <c r="C1115" s="264"/>
      <c r="D1115" s="44"/>
      <c r="E1115" s="264"/>
      <c r="F1115" s="264"/>
      <c r="G1115" s="233"/>
      <c r="H1115" s="233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</row>
    <row r="1116" ht="12.75" customHeight="1">
      <c r="A1116" s="256"/>
      <c r="B1116" s="1"/>
      <c r="C1116" s="264"/>
      <c r="D1116" s="44"/>
      <c r="E1116" s="264"/>
      <c r="F1116" s="264"/>
      <c r="G1116" s="233"/>
      <c r="H1116" s="233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</row>
    <row r="1117" ht="12.75" customHeight="1">
      <c r="A1117" s="256"/>
      <c r="B1117" s="1"/>
      <c r="C1117" s="264"/>
      <c r="D1117" s="44"/>
      <c r="E1117" s="264"/>
      <c r="F1117" s="264"/>
      <c r="G1117" s="233"/>
      <c r="H1117" s="233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</row>
    <row r="1118" ht="12.75" customHeight="1">
      <c r="A1118" s="256"/>
      <c r="B1118" s="1"/>
      <c r="C1118" s="264"/>
      <c r="D1118" s="44"/>
      <c r="E1118" s="264"/>
      <c r="F1118" s="264"/>
      <c r="G1118" s="233"/>
      <c r="H1118" s="233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</row>
    <row r="1119" ht="12.75" customHeight="1">
      <c r="A1119" s="256"/>
      <c r="B1119" s="1"/>
      <c r="C1119" s="264"/>
      <c r="D1119" s="44"/>
      <c r="E1119" s="264"/>
      <c r="F1119" s="264"/>
      <c r="G1119" s="233"/>
      <c r="H1119" s="233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</row>
    <row r="1120" ht="12.75" customHeight="1">
      <c r="A1120" s="256"/>
      <c r="B1120" s="1"/>
      <c r="C1120" s="264"/>
      <c r="D1120" s="44"/>
      <c r="E1120" s="264"/>
      <c r="F1120" s="264"/>
      <c r="G1120" s="233"/>
      <c r="H1120" s="233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</row>
    <row r="1121" ht="12.75" customHeight="1">
      <c r="A1121" s="256"/>
      <c r="B1121" s="1"/>
      <c r="C1121" s="264"/>
      <c r="D1121" s="44"/>
      <c r="E1121" s="264"/>
      <c r="F1121" s="264"/>
      <c r="G1121" s="233"/>
      <c r="H1121" s="233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</row>
    <row r="1122" ht="12.75" customHeight="1">
      <c r="A1122" s="256"/>
      <c r="B1122" s="1"/>
      <c r="C1122" s="264"/>
      <c r="D1122" s="44"/>
      <c r="E1122" s="264"/>
      <c r="F1122" s="264"/>
      <c r="G1122" s="233"/>
      <c r="H1122" s="233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</row>
    <row r="1123" ht="12.75" customHeight="1">
      <c r="A1123" s="256"/>
      <c r="B1123" s="1"/>
      <c r="C1123" s="264"/>
      <c r="D1123" s="44"/>
      <c r="E1123" s="264"/>
      <c r="F1123" s="264"/>
      <c r="G1123" s="233"/>
      <c r="H1123" s="233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</row>
    <row r="1124" ht="12.75" customHeight="1">
      <c r="A1124" s="256"/>
      <c r="B1124" s="1"/>
      <c r="C1124" s="264"/>
      <c r="D1124" s="44"/>
      <c r="E1124" s="264"/>
      <c r="F1124" s="264"/>
      <c r="G1124" s="233"/>
      <c r="H1124" s="233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</row>
    <row r="1125" ht="12.75" customHeight="1">
      <c r="A1125" s="256"/>
      <c r="B1125" s="1"/>
      <c r="C1125" s="264"/>
      <c r="D1125" s="44"/>
      <c r="E1125" s="264"/>
      <c r="F1125" s="264"/>
      <c r="G1125" s="233"/>
      <c r="H1125" s="233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</row>
    <row r="1126" ht="12.75" customHeight="1">
      <c r="A1126" s="256"/>
      <c r="B1126" s="1"/>
      <c r="C1126" s="264"/>
      <c r="D1126" s="44"/>
      <c r="E1126" s="264"/>
      <c r="F1126" s="264"/>
      <c r="G1126" s="233"/>
      <c r="H1126" s="233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</row>
    <row r="1127" ht="12.75" customHeight="1">
      <c r="A1127" s="256"/>
      <c r="B1127" s="1"/>
      <c r="C1127" s="264"/>
      <c r="D1127" s="44"/>
      <c r="E1127" s="264"/>
      <c r="F1127" s="264"/>
      <c r="G1127" s="233"/>
      <c r="H1127" s="233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</row>
    <row r="1128" ht="12.75" customHeight="1">
      <c r="A1128" s="256"/>
      <c r="B1128" s="1"/>
      <c r="C1128" s="264"/>
      <c r="D1128" s="44"/>
      <c r="E1128" s="264"/>
      <c r="F1128" s="264"/>
      <c r="G1128" s="233"/>
      <c r="H1128" s="233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</row>
    <row r="1129" ht="12.75" customHeight="1">
      <c r="A1129" s="256"/>
      <c r="B1129" s="1"/>
      <c r="C1129" s="264"/>
      <c r="D1129" s="44"/>
      <c r="E1129" s="264"/>
      <c r="F1129" s="264"/>
      <c r="G1129" s="233"/>
      <c r="H1129" s="233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</row>
    <row r="1130" ht="12.75" customHeight="1">
      <c r="A1130" s="256"/>
      <c r="B1130" s="1"/>
      <c r="C1130" s="264"/>
      <c r="D1130" s="44"/>
      <c r="E1130" s="264"/>
      <c r="F1130" s="264"/>
      <c r="G1130" s="233"/>
      <c r="H1130" s="233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</row>
    <row r="1131" ht="12.75" customHeight="1">
      <c r="A1131" s="256"/>
      <c r="B1131" s="1"/>
      <c r="C1131" s="264"/>
      <c r="D1131" s="44"/>
      <c r="E1131" s="264"/>
      <c r="F1131" s="264"/>
      <c r="G1131" s="233"/>
      <c r="H1131" s="233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</row>
    <row r="1132" ht="12.75" customHeight="1">
      <c r="A1132" s="256"/>
      <c r="B1132" s="1"/>
      <c r="C1132" s="264"/>
      <c r="D1132" s="44"/>
      <c r="E1132" s="264"/>
      <c r="F1132" s="264"/>
      <c r="G1132" s="233"/>
      <c r="H1132" s="233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</row>
    <row r="1133" ht="12.75" customHeight="1">
      <c r="A1133" s="256"/>
      <c r="B1133" s="1"/>
      <c r="C1133" s="264"/>
      <c r="D1133" s="44"/>
      <c r="E1133" s="264"/>
      <c r="F1133" s="264"/>
      <c r="G1133" s="233"/>
      <c r="H1133" s="233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</row>
    <row r="1134" ht="12.75" customHeight="1">
      <c r="A1134" s="256"/>
      <c r="B1134" s="1"/>
      <c r="C1134" s="264"/>
      <c r="D1134" s="44"/>
      <c r="E1134" s="264"/>
      <c r="F1134" s="264"/>
      <c r="G1134" s="233"/>
      <c r="H1134" s="233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</row>
    <row r="1135" ht="12.75" customHeight="1">
      <c r="A1135" s="256"/>
      <c r="B1135" s="1"/>
      <c r="C1135" s="264"/>
      <c r="D1135" s="44"/>
      <c r="E1135" s="264"/>
      <c r="F1135" s="264"/>
      <c r="G1135" s="233"/>
      <c r="H1135" s="233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</row>
    <row r="1136" ht="12.75" customHeight="1">
      <c r="A1136" s="256"/>
      <c r="B1136" s="1"/>
      <c r="C1136" s="264"/>
      <c r="D1136" s="44"/>
      <c r="E1136" s="264"/>
      <c r="F1136" s="264"/>
      <c r="G1136" s="233"/>
      <c r="H1136" s="233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</row>
    <row r="1137" ht="12.75" customHeight="1">
      <c r="A1137" s="256"/>
      <c r="B1137" s="1"/>
      <c r="C1137" s="264"/>
      <c r="D1137" s="44"/>
      <c r="E1137" s="264"/>
      <c r="F1137" s="264"/>
      <c r="G1137" s="233"/>
      <c r="H1137" s="233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</row>
    <row r="1138" ht="12.75" customHeight="1">
      <c r="A1138" s="256"/>
      <c r="B1138" s="1"/>
      <c r="C1138" s="264"/>
      <c r="D1138" s="44"/>
      <c r="E1138" s="264"/>
      <c r="F1138" s="264"/>
      <c r="G1138" s="233"/>
      <c r="H1138" s="233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</row>
    <row r="1139" ht="12.75" customHeight="1">
      <c r="A1139" s="256"/>
      <c r="B1139" s="1"/>
      <c r="C1139" s="264"/>
      <c r="D1139" s="44"/>
      <c r="E1139" s="264"/>
      <c r="F1139" s="264"/>
      <c r="G1139" s="233"/>
      <c r="H1139" s="233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</row>
    <row r="1140" ht="12.75" customHeight="1">
      <c r="A1140" s="256"/>
      <c r="B1140" s="1"/>
      <c r="C1140" s="264"/>
      <c r="D1140" s="44"/>
      <c r="E1140" s="264"/>
      <c r="F1140" s="264"/>
      <c r="G1140" s="233"/>
      <c r="H1140" s="233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</row>
    <row r="1141" ht="12.75" customHeight="1">
      <c r="A1141" s="256"/>
      <c r="B1141" s="1"/>
      <c r="C1141" s="264"/>
      <c r="D1141" s="44"/>
      <c r="E1141" s="264"/>
      <c r="F1141" s="264"/>
      <c r="G1141" s="233"/>
      <c r="H1141" s="233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</row>
    <row r="1142" ht="12.75" customHeight="1">
      <c r="A1142" s="256"/>
      <c r="B1142" s="1"/>
      <c r="C1142" s="264"/>
      <c r="D1142" s="44"/>
      <c r="E1142" s="264"/>
      <c r="F1142" s="264"/>
      <c r="G1142" s="233"/>
      <c r="H1142" s="233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</row>
    <row r="1143" ht="12.75" customHeight="1">
      <c r="A1143" s="256"/>
      <c r="B1143" s="1"/>
      <c r="C1143" s="264"/>
      <c r="D1143" s="44"/>
      <c r="E1143" s="264"/>
      <c r="F1143" s="264"/>
      <c r="G1143" s="233"/>
      <c r="H1143" s="233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</row>
    <row r="1144" ht="12.75" customHeight="1">
      <c r="A1144" s="256"/>
      <c r="B1144" s="1"/>
      <c r="C1144" s="264"/>
      <c r="D1144" s="44"/>
      <c r="E1144" s="264"/>
      <c r="F1144" s="264"/>
      <c r="G1144" s="233"/>
      <c r="H1144" s="233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</row>
    <row r="1145" ht="12.75" customHeight="1">
      <c r="A1145" s="256"/>
      <c r="B1145" s="1"/>
      <c r="C1145" s="264"/>
      <c r="D1145" s="44"/>
      <c r="E1145" s="264"/>
      <c r="F1145" s="264"/>
      <c r="G1145" s="233"/>
      <c r="H1145" s="233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</row>
    <row r="1146" ht="12.75" customHeight="1">
      <c r="A1146" s="256"/>
      <c r="B1146" s="1"/>
      <c r="C1146" s="264"/>
      <c r="D1146" s="44"/>
      <c r="E1146" s="264"/>
      <c r="F1146" s="264"/>
      <c r="G1146" s="233"/>
      <c r="H1146" s="233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</row>
    <row r="1147" ht="12.75" customHeight="1">
      <c r="A1147" s="256"/>
      <c r="B1147" s="1"/>
      <c r="C1147" s="264"/>
      <c r="D1147" s="44"/>
      <c r="E1147" s="264"/>
      <c r="F1147" s="264"/>
      <c r="G1147" s="233"/>
      <c r="H1147" s="233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</row>
    <row r="1148" ht="12.75" customHeight="1">
      <c r="A1148" s="256"/>
      <c r="B1148" s="1"/>
      <c r="C1148" s="264"/>
      <c r="D1148" s="44"/>
      <c r="E1148" s="264"/>
      <c r="F1148" s="264"/>
      <c r="G1148" s="233"/>
      <c r="H1148" s="233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</row>
    <row r="1149" ht="12.75" customHeight="1">
      <c r="A1149" s="256"/>
      <c r="B1149" s="1"/>
      <c r="C1149" s="264"/>
      <c r="D1149" s="44"/>
      <c r="E1149" s="264"/>
      <c r="F1149" s="264"/>
      <c r="G1149" s="233"/>
      <c r="H1149" s="233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</row>
    <row r="1150" ht="12.75" customHeight="1">
      <c r="A1150" s="256"/>
      <c r="B1150" s="1"/>
      <c r="C1150" s="264"/>
      <c r="D1150" s="44"/>
      <c r="E1150" s="264"/>
      <c r="F1150" s="264"/>
      <c r="G1150" s="233"/>
      <c r="H1150" s="233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</row>
    <row r="1151" ht="12.75" customHeight="1">
      <c r="A1151" s="256"/>
      <c r="B1151" s="1"/>
      <c r="C1151" s="264"/>
      <c r="D1151" s="44"/>
      <c r="E1151" s="264"/>
      <c r="F1151" s="264"/>
      <c r="G1151" s="233"/>
      <c r="H1151" s="233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</row>
    <row r="1152" ht="12.75" customHeight="1">
      <c r="A1152" s="256"/>
      <c r="B1152" s="1"/>
      <c r="C1152" s="264"/>
      <c r="D1152" s="44"/>
      <c r="E1152" s="264"/>
      <c r="F1152" s="264"/>
      <c r="G1152" s="233"/>
      <c r="H1152" s="233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</row>
    <row r="1153" ht="12.75" customHeight="1">
      <c r="A1153" s="256"/>
      <c r="B1153" s="1"/>
      <c r="C1153" s="264"/>
      <c r="D1153" s="44"/>
      <c r="E1153" s="264"/>
      <c r="F1153" s="264"/>
      <c r="G1153" s="233"/>
      <c r="H1153" s="233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</row>
    <row r="1154" ht="12.75" customHeight="1">
      <c r="A1154" s="256"/>
      <c r="B1154" s="1"/>
      <c r="C1154" s="264"/>
      <c r="D1154" s="44"/>
      <c r="E1154" s="264"/>
      <c r="F1154" s="264"/>
      <c r="G1154" s="233"/>
      <c r="H1154" s="233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</row>
    <row r="1155" ht="12.75" customHeight="1">
      <c r="A1155" s="256"/>
      <c r="B1155" s="1"/>
      <c r="C1155" s="264"/>
      <c r="D1155" s="44"/>
      <c r="E1155" s="264"/>
      <c r="F1155" s="264"/>
      <c r="G1155" s="233"/>
      <c r="H1155" s="233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</row>
    <row r="1156" ht="12.75" customHeight="1">
      <c r="A1156" s="256"/>
      <c r="B1156" s="1"/>
      <c r="C1156" s="264"/>
      <c r="D1156" s="44"/>
      <c r="E1156" s="264"/>
      <c r="F1156" s="264"/>
      <c r="G1156" s="233"/>
      <c r="H1156" s="233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</row>
    <row r="1157" ht="12.75" customHeight="1">
      <c r="A1157" s="256"/>
      <c r="B1157" s="1"/>
      <c r="C1157" s="264"/>
      <c r="D1157" s="44"/>
      <c r="E1157" s="264"/>
      <c r="F1157" s="264"/>
      <c r="G1157" s="233"/>
      <c r="H1157" s="233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</row>
    <row r="1158" ht="12.75" customHeight="1">
      <c r="A1158" s="256"/>
      <c r="B1158" s="1"/>
      <c r="C1158" s="264"/>
      <c r="D1158" s="44"/>
      <c r="E1158" s="264"/>
      <c r="F1158" s="264"/>
      <c r="G1158" s="233"/>
      <c r="H1158" s="233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</row>
    <row r="1159" ht="12.75" customHeight="1">
      <c r="A1159" s="256"/>
      <c r="B1159" s="1"/>
      <c r="C1159" s="264"/>
      <c r="D1159" s="44"/>
      <c r="E1159" s="264"/>
      <c r="F1159" s="264"/>
      <c r="G1159" s="233"/>
      <c r="H1159" s="233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</row>
    <row r="1160" ht="12.75" customHeight="1">
      <c r="A1160" s="256"/>
      <c r="B1160" s="1"/>
      <c r="C1160" s="264"/>
      <c r="D1160" s="44"/>
      <c r="E1160" s="264"/>
      <c r="F1160" s="264"/>
      <c r="G1160" s="233"/>
      <c r="H1160" s="233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</row>
    <row r="1161" ht="12.75" customHeight="1">
      <c r="A1161" s="256"/>
      <c r="B1161" s="1"/>
      <c r="C1161" s="264"/>
      <c r="D1161" s="44"/>
      <c r="E1161" s="264"/>
      <c r="F1161" s="264"/>
      <c r="G1161" s="233"/>
      <c r="H1161" s="233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</row>
    <row r="1162" ht="12.75" customHeight="1">
      <c r="A1162" s="256"/>
      <c r="B1162" s="1"/>
      <c r="C1162" s="264"/>
      <c r="D1162" s="44"/>
      <c r="E1162" s="264"/>
      <c r="F1162" s="264"/>
      <c r="G1162" s="233"/>
      <c r="H1162" s="233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</row>
    <row r="1163" ht="12.75" customHeight="1">
      <c r="A1163" s="256"/>
      <c r="B1163" s="1"/>
      <c r="C1163" s="264"/>
      <c r="D1163" s="44"/>
      <c r="E1163" s="264"/>
      <c r="F1163" s="264"/>
      <c r="G1163" s="233"/>
      <c r="H1163" s="233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</row>
    <row r="1164" ht="12.75" customHeight="1">
      <c r="A1164" s="256"/>
      <c r="B1164" s="1"/>
      <c r="C1164" s="264"/>
      <c r="D1164" s="44"/>
      <c r="E1164" s="264"/>
      <c r="F1164" s="264"/>
      <c r="G1164" s="233"/>
      <c r="H1164" s="233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</row>
    <row r="1165" ht="12.75" customHeight="1">
      <c r="A1165" s="256"/>
      <c r="B1165" s="1"/>
      <c r="C1165" s="264"/>
      <c r="D1165" s="44"/>
      <c r="E1165" s="264"/>
      <c r="F1165" s="264"/>
      <c r="G1165" s="233"/>
      <c r="H1165" s="233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</row>
    <row r="1166" ht="12.75" customHeight="1">
      <c r="A1166" s="256"/>
      <c r="B1166" s="1"/>
      <c r="C1166" s="264"/>
      <c r="D1166" s="44"/>
      <c r="E1166" s="264"/>
      <c r="F1166" s="264"/>
      <c r="G1166" s="233"/>
      <c r="H1166" s="233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</row>
    <row r="1167" ht="12.75" customHeight="1">
      <c r="A1167" s="256"/>
      <c r="B1167" s="1"/>
      <c r="C1167" s="264"/>
      <c r="D1167" s="44"/>
      <c r="E1167" s="264"/>
      <c r="F1167" s="264"/>
      <c r="G1167" s="233"/>
      <c r="H1167" s="233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</row>
    <row r="1168" ht="12.75" customHeight="1">
      <c r="A1168" s="256"/>
      <c r="B1168" s="1"/>
      <c r="C1168" s="264"/>
      <c r="D1168" s="44"/>
      <c r="E1168" s="264"/>
      <c r="F1168" s="264"/>
      <c r="G1168" s="233"/>
      <c r="H1168" s="233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</row>
    <row r="1169" ht="12.75" customHeight="1">
      <c r="A1169" s="256"/>
      <c r="B1169" s="1"/>
      <c r="C1169" s="264"/>
      <c r="D1169" s="44"/>
      <c r="E1169" s="264"/>
      <c r="F1169" s="264"/>
      <c r="G1169" s="233"/>
      <c r="H1169" s="233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</row>
    <row r="1170" ht="12.75" customHeight="1">
      <c r="A1170" s="256"/>
      <c r="B1170" s="1"/>
      <c r="C1170" s="264"/>
      <c r="D1170" s="44"/>
      <c r="E1170" s="264"/>
      <c r="F1170" s="264"/>
      <c r="G1170" s="233"/>
      <c r="H1170" s="233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</row>
    <row r="1171" ht="12.75" customHeight="1">
      <c r="A1171" s="256"/>
      <c r="B1171" s="1"/>
      <c r="C1171" s="264"/>
      <c r="D1171" s="44"/>
      <c r="E1171" s="264"/>
      <c r="F1171" s="264"/>
      <c r="G1171" s="233"/>
      <c r="H1171" s="233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</row>
    <row r="1172" ht="12.75" customHeight="1">
      <c r="A1172" s="256"/>
      <c r="B1172" s="1"/>
      <c r="C1172" s="264"/>
      <c r="D1172" s="44"/>
      <c r="E1172" s="264"/>
      <c r="F1172" s="264"/>
      <c r="G1172" s="233"/>
      <c r="H1172" s="233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</row>
    <row r="1173" ht="12.75" customHeight="1">
      <c r="A1173" s="256"/>
      <c r="B1173" s="1"/>
      <c r="C1173" s="264"/>
      <c r="D1173" s="44"/>
      <c r="E1173" s="264"/>
      <c r="F1173" s="264"/>
      <c r="G1173" s="233"/>
      <c r="H1173" s="233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</row>
    <row r="1174" ht="12.75" customHeight="1">
      <c r="A1174" s="256"/>
      <c r="B1174" s="1"/>
      <c r="C1174" s="264"/>
      <c r="D1174" s="44"/>
      <c r="E1174" s="264"/>
      <c r="F1174" s="264"/>
      <c r="G1174" s="233"/>
      <c r="H1174" s="233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</row>
    <row r="1175" ht="12.75" customHeight="1">
      <c r="A1175" s="256"/>
      <c r="B1175" s="1"/>
      <c r="C1175" s="264"/>
      <c r="D1175" s="44"/>
      <c r="E1175" s="264"/>
      <c r="F1175" s="264"/>
      <c r="G1175" s="233"/>
      <c r="H1175" s="233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</row>
    <row r="1176" ht="12.75" customHeight="1">
      <c r="A1176" s="256"/>
      <c r="B1176" s="1"/>
      <c r="C1176" s="264"/>
      <c r="D1176" s="44"/>
      <c r="E1176" s="264"/>
      <c r="F1176" s="264"/>
      <c r="G1176" s="233"/>
      <c r="H1176" s="233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</row>
    <row r="1177" ht="12.75" customHeight="1">
      <c r="A1177" s="256"/>
      <c r="B1177" s="1"/>
      <c r="C1177" s="264"/>
      <c r="D1177" s="44"/>
      <c r="E1177" s="264"/>
      <c r="F1177" s="264"/>
      <c r="G1177" s="233"/>
      <c r="H1177" s="233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</row>
    <row r="1178" ht="12.75" customHeight="1">
      <c r="A1178" s="256"/>
      <c r="B1178" s="1"/>
      <c r="C1178" s="264"/>
      <c r="D1178" s="44"/>
      <c r="E1178" s="264"/>
      <c r="F1178" s="264"/>
      <c r="G1178" s="233"/>
      <c r="H1178" s="233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</row>
    <row r="1179" ht="12.75" customHeight="1">
      <c r="A1179" s="256"/>
      <c r="B1179" s="1"/>
      <c r="C1179" s="264"/>
      <c r="D1179" s="44"/>
      <c r="E1179" s="264"/>
      <c r="F1179" s="264"/>
      <c r="G1179" s="233"/>
      <c r="H1179" s="233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</row>
    <row r="1180" ht="12.75" customHeight="1">
      <c r="A1180" s="256"/>
      <c r="B1180" s="1"/>
      <c r="C1180" s="264"/>
      <c r="D1180" s="44"/>
      <c r="E1180" s="264"/>
      <c r="F1180" s="264"/>
      <c r="G1180" s="233"/>
      <c r="H1180" s="233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</row>
    <row r="1181" ht="12.75" customHeight="1">
      <c r="A1181" s="256"/>
      <c r="B1181" s="1"/>
      <c r="C1181" s="264"/>
      <c r="D1181" s="44"/>
      <c r="E1181" s="264"/>
      <c r="F1181" s="264"/>
      <c r="G1181" s="233"/>
      <c r="H1181" s="233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</row>
    <row r="1182" ht="12.75" customHeight="1">
      <c r="A1182" s="256"/>
      <c r="B1182" s="1"/>
      <c r="C1182" s="264"/>
      <c r="D1182" s="44"/>
      <c r="E1182" s="264"/>
      <c r="F1182" s="264"/>
      <c r="G1182" s="233"/>
      <c r="H1182" s="233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</row>
    <row r="1183" ht="12.75" customHeight="1">
      <c r="A1183" s="256"/>
      <c r="B1183" s="1"/>
      <c r="C1183" s="264"/>
      <c r="D1183" s="44"/>
      <c r="E1183" s="264"/>
      <c r="F1183" s="264"/>
      <c r="G1183" s="233"/>
      <c r="H1183" s="233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</row>
    <row r="1184" ht="12.75" customHeight="1">
      <c r="A1184" s="256"/>
      <c r="B1184" s="1"/>
      <c r="C1184" s="264"/>
      <c r="D1184" s="44"/>
      <c r="E1184" s="264"/>
      <c r="F1184" s="264"/>
      <c r="G1184" s="233"/>
      <c r="H1184" s="233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</row>
    <row r="1185" ht="12.75" customHeight="1">
      <c r="A1185" s="256"/>
      <c r="B1185" s="1"/>
      <c r="C1185" s="264"/>
      <c r="D1185" s="44"/>
      <c r="E1185" s="264"/>
      <c r="F1185" s="264"/>
      <c r="G1185" s="233"/>
      <c r="H1185" s="233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</row>
    <row r="1186" ht="12.75" customHeight="1">
      <c r="A1186" s="256"/>
      <c r="B1186" s="1"/>
      <c r="C1186" s="264"/>
      <c r="D1186" s="44"/>
      <c r="E1186" s="264"/>
      <c r="F1186" s="264"/>
      <c r="G1186" s="233"/>
      <c r="H1186" s="233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</row>
    <row r="1187" ht="12.75" customHeight="1">
      <c r="A1187" s="256"/>
      <c r="B1187" s="1"/>
      <c r="C1187" s="264"/>
      <c r="D1187" s="44"/>
      <c r="E1187" s="264"/>
      <c r="F1187" s="264"/>
      <c r="G1187" s="233"/>
      <c r="H1187" s="233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</row>
    <row r="1188" ht="12.75" customHeight="1">
      <c r="A1188" s="256"/>
      <c r="B1188" s="1"/>
      <c r="C1188" s="264"/>
      <c r="D1188" s="44"/>
      <c r="E1188" s="264"/>
      <c r="F1188" s="264"/>
      <c r="G1188" s="233"/>
      <c r="H1188" s="233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</row>
    <row r="1189" ht="12.75" customHeight="1">
      <c r="A1189" s="256"/>
      <c r="B1189" s="1"/>
      <c r="C1189" s="264"/>
      <c r="D1189" s="44"/>
      <c r="E1189" s="264"/>
      <c r="F1189" s="264"/>
      <c r="G1189" s="233"/>
      <c r="H1189" s="233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</row>
    <row r="1190" ht="12.75" customHeight="1">
      <c r="A1190" s="256"/>
      <c r="B1190" s="1"/>
      <c r="C1190" s="264"/>
      <c r="D1190" s="44"/>
      <c r="E1190" s="264"/>
      <c r="F1190" s="264"/>
      <c r="G1190" s="233"/>
      <c r="H1190" s="233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</row>
    <row r="1191" ht="12.75" customHeight="1">
      <c r="A1191" s="256"/>
      <c r="B1191" s="1"/>
      <c r="C1191" s="264"/>
      <c r="D1191" s="44"/>
      <c r="E1191" s="264"/>
      <c r="F1191" s="264"/>
      <c r="G1191" s="233"/>
      <c r="H1191" s="233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</row>
    <row r="1192" ht="12.75" customHeight="1">
      <c r="A1192" s="256"/>
      <c r="B1192" s="1"/>
      <c r="C1192" s="264"/>
      <c r="D1192" s="44"/>
      <c r="E1192" s="264"/>
      <c r="F1192" s="264"/>
      <c r="G1192" s="233"/>
      <c r="H1192" s="233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</row>
    <row r="1193" ht="12.75" customHeight="1">
      <c r="A1193" s="256"/>
      <c r="B1193" s="1"/>
      <c r="C1193" s="264"/>
      <c r="D1193" s="44"/>
      <c r="E1193" s="264"/>
      <c r="F1193" s="264"/>
      <c r="G1193" s="233"/>
      <c r="H1193" s="233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</row>
    <row r="1194" ht="12.75" customHeight="1">
      <c r="A1194" s="256"/>
      <c r="B1194" s="1"/>
      <c r="C1194" s="264"/>
      <c r="D1194" s="44"/>
      <c r="E1194" s="264"/>
      <c r="F1194" s="264"/>
      <c r="G1194" s="233"/>
      <c r="H1194" s="233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</row>
    <row r="1195" ht="12.75" customHeight="1">
      <c r="A1195" s="256"/>
      <c r="B1195" s="1"/>
      <c r="C1195" s="264"/>
      <c r="D1195" s="44"/>
      <c r="E1195" s="264"/>
      <c r="F1195" s="264"/>
      <c r="G1195" s="233"/>
      <c r="H1195" s="233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</row>
    <row r="1196" ht="12.75" customHeight="1">
      <c r="A1196" s="256"/>
      <c r="B1196" s="1"/>
      <c r="C1196" s="264"/>
      <c r="D1196" s="44"/>
      <c r="E1196" s="264"/>
      <c r="F1196" s="264"/>
      <c r="G1196" s="233"/>
      <c r="H1196" s="233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</row>
    <row r="1197" ht="12.75" customHeight="1">
      <c r="A1197" s="256"/>
      <c r="B1197" s="1"/>
      <c r="C1197" s="264"/>
      <c r="D1197" s="44"/>
      <c r="E1197" s="264"/>
      <c r="F1197" s="264"/>
      <c r="G1197" s="233"/>
      <c r="H1197" s="233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</row>
    <row r="1198" ht="12.75" customHeight="1">
      <c r="A1198" s="256"/>
      <c r="B1198" s="1"/>
      <c r="C1198" s="264"/>
      <c r="D1198" s="44"/>
      <c r="E1198" s="264"/>
      <c r="F1198" s="264"/>
      <c r="G1198" s="233"/>
      <c r="H1198" s="233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</row>
    <row r="1199" ht="12.75" customHeight="1">
      <c r="A1199" s="256"/>
      <c r="B1199" s="1"/>
      <c r="C1199" s="264"/>
      <c r="D1199" s="44"/>
      <c r="E1199" s="264"/>
      <c r="F1199" s="264"/>
      <c r="G1199" s="233"/>
      <c r="H1199" s="233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</row>
    <row r="1200" ht="12.75" customHeight="1">
      <c r="A1200" s="256"/>
      <c r="B1200" s="1"/>
      <c r="C1200" s="264"/>
      <c r="D1200" s="44"/>
      <c r="E1200" s="264"/>
      <c r="F1200" s="264"/>
      <c r="G1200" s="233"/>
      <c r="H1200" s="233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</row>
    <row r="1201" ht="12.75" customHeight="1">
      <c r="A1201" s="256"/>
      <c r="B1201" s="1"/>
      <c r="C1201" s="264"/>
      <c r="D1201" s="44"/>
      <c r="E1201" s="264"/>
      <c r="F1201" s="264"/>
      <c r="G1201" s="233"/>
      <c r="H1201" s="233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</row>
    <row r="1202" ht="12.75" customHeight="1">
      <c r="A1202" s="256"/>
      <c r="B1202" s="1"/>
      <c r="C1202" s="264"/>
      <c r="D1202" s="44"/>
      <c r="E1202" s="264"/>
      <c r="F1202" s="264"/>
      <c r="G1202" s="233"/>
      <c r="H1202" s="233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</row>
    <row r="1203" ht="12.75" customHeight="1">
      <c r="A1203" s="256"/>
      <c r="B1203" s="1"/>
      <c r="C1203" s="264"/>
      <c r="D1203" s="44"/>
      <c r="E1203" s="264"/>
      <c r="F1203" s="264"/>
      <c r="G1203" s="233"/>
      <c r="H1203" s="233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</row>
    <row r="1204" ht="12.75" customHeight="1">
      <c r="A1204" s="256"/>
      <c r="B1204" s="1"/>
      <c r="C1204" s="264"/>
      <c r="D1204" s="44"/>
      <c r="E1204" s="264"/>
      <c r="F1204" s="264"/>
      <c r="G1204" s="233"/>
      <c r="H1204" s="233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</row>
    <row r="1205" ht="12.75" customHeight="1">
      <c r="A1205" s="256"/>
      <c r="B1205" s="1"/>
      <c r="C1205" s="264"/>
      <c r="D1205" s="44"/>
      <c r="E1205" s="264"/>
      <c r="F1205" s="264"/>
      <c r="G1205" s="233"/>
      <c r="H1205" s="233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</row>
    <row r="1206" ht="12.75" customHeight="1">
      <c r="A1206" s="256"/>
      <c r="B1206" s="1"/>
      <c r="C1206" s="264"/>
      <c r="D1206" s="44"/>
      <c r="E1206" s="264"/>
      <c r="F1206" s="264"/>
      <c r="G1206" s="233"/>
      <c r="H1206" s="233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</row>
    <row r="1207" ht="12.75" customHeight="1">
      <c r="A1207" s="256"/>
      <c r="B1207" s="1"/>
      <c r="C1207" s="264"/>
      <c r="D1207" s="44"/>
      <c r="E1207" s="264"/>
      <c r="F1207" s="264"/>
      <c r="G1207" s="233"/>
      <c r="H1207" s="233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</row>
    <row r="1208" ht="12.75" customHeight="1">
      <c r="A1208" s="256"/>
      <c r="B1208" s="1"/>
      <c r="C1208" s="264"/>
      <c r="D1208" s="44"/>
      <c r="E1208" s="264"/>
      <c r="F1208" s="264"/>
      <c r="G1208" s="233"/>
      <c r="H1208" s="233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</row>
    <row r="1209" ht="12.75" customHeight="1">
      <c r="A1209" s="256"/>
      <c r="B1209" s="1"/>
      <c r="C1209" s="264"/>
      <c r="D1209" s="44"/>
      <c r="E1209" s="264"/>
      <c r="F1209" s="264"/>
      <c r="G1209" s="233"/>
      <c r="H1209" s="233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</row>
    <row r="1210" ht="12.75" customHeight="1">
      <c r="A1210" s="256"/>
      <c r="B1210" s="1"/>
      <c r="C1210" s="264"/>
      <c r="D1210" s="44"/>
      <c r="E1210" s="264"/>
      <c r="F1210" s="264"/>
      <c r="G1210" s="233"/>
      <c r="H1210" s="233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</row>
    <row r="1211" ht="12.75" customHeight="1">
      <c r="A1211" s="256"/>
      <c r="B1211" s="1"/>
      <c r="C1211" s="264"/>
      <c r="D1211" s="44"/>
      <c r="E1211" s="264"/>
      <c r="F1211" s="264"/>
      <c r="G1211" s="233"/>
      <c r="H1211" s="233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</row>
    <row r="1212" ht="12.75" customHeight="1">
      <c r="A1212" s="256"/>
      <c r="B1212" s="1"/>
      <c r="C1212" s="264"/>
      <c r="D1212" s="44"/>
      <c r="E1212" s="264"/>
      <c r="F1212" s="264"/>
      <c r="G1212" s="233"/>
      <c r="H1212" s="233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</row>
    <row r="1213" ht="12.75" customHeight="1">
      <c r="A1213" s="256"/>
      <c r="B1213" s="1"/>
      <c r="C1213" s="264"/>
      <c r="D1213" s="44"/>
      <c r="E1213" s="264"/>
      <c r="F1213" s="264"/>
      <c r="G1213" s="233"/>
      <c r="H1213" s="233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</row>
    <row r="1214" ht="12.75" customHeight="1">
      <c r="A1214" s="256"/>
      <c r="B1214" s="1"/>
      <c r="C1214" s="264"/>
      <c r="D1214" s="44"/>
      <c r="E1214" s="264"/>
      <c r="F1214" s="264"/>
      <c r="G1214" s="233"/>
      <c r="H1214" s="233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</row>
    <row r="1215" ht="12.75" customHeight="1">
      <c r="A1215" s="256"/>
      <c r="B1215" s="1"/>
      <c r="C1215" s="264"/>
      <c r="D1215" s="44"/>
      <c r="E1215" s="264"/>
      <c r="F1215" s="264"/>
      <c r="G1215" s="233"/>
      <c r="H1215" s="233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</row>
    <row r="1216" ht="12.75" customHeight="1">
      <c r="A1216" s="256"/>
      <c r="B1216" s="1"/>
      <c r="C1216" s="264"/>
      <c r="D1216" s="44"/>
      <c r="E1216" s="264"/>
      <c r="F1216" s="264"/>
      <c r="G1216" s="233"/>
      <c r="H1216" s="233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</row>
    <row r="1217" ht="12.75" customHeight="1">
      <c r="A1217" s="256"/>
      <c r="B1217" s="1"/>
      <c r="C1217" s="264"/>
      <c r="D1217" s="44"/>
      <c r="E1217" s="264"/>
      <c r="F1217" s="264"/>
      <c r="G1217" s="233"/>
      <c r="H1217" s="233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</row>
    <row r="1218" ht="12.75" customHeight="1">
      <c r="A1218" s="256"/>
      <c r="B1218" s="1"/>
      <c r="C1218" s="264"/>
      <c r="D1218" s="44"/>
      <c r="E1218" s="264"/>
      <c r="F1218" s="264"/>
      <c r="G1218" s="233"/>
      <c r="H1218" s="233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</row>
    <row r="1219" ht="12.75" customHeight="1">
      <c r="A1219" s="256"/>
      <c r="B1219" s="1"/>
      <c r="C1219" s="264"/>
      <c r="D1219" s="44"/>
      <c r="E1219" s="264"/>
      <c r="F1219" s="264"/>
      <c r="G1219" s="233"/>
      <c r="H1219" s="233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  <c r="DE1219" s="2"/>
      <c r="DF1219" s="2"/>
      <c r="DG1219" s="2"/>
    </row>
    <row r="1220" ht="12.75" customHeight="1">
      <c r="A1220" s="256"/>
      <c r="B1220" s="1"/>
      <c r="C1220" s="264"/>
      <c r="D1220" s="44"/>
      <c r="E1220" s="264"/>
      <c r="F1220" s="264"/>
      <c r="G1220" s="233"/>
      <c r="H1220" s="233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  <c r="DE1220" s="2"/>
      <c r="DF1220" s="2"/>
      <c r="DG1220" s="2"/>
    </row>
    <row r="1221" ht="12.75" customHeight="1">
      <c r="A1221" s="256"/>
      <c r="B1221" s="1"/>
      <c r="C1221" s="264"/>
      <c r="D1221" s="44"/>
      <c r="E1221" s="264"/>
      <c r="F1221" s="264"/>
      <c r="G1221" s="233"/>
      <c r="H1221" s="233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</row>
    <row r="1222" ht="12.75" customHeight="1">
      <c r="A1222" s="256"/>
      <c r="B1222" s="1"/>
      <c r="C1222" s="264"/>
      <c r="D1222" s="44"/>
      <c r="E1222" s="264"/>
      <c r="F1222" s="264"/>
      <c r="G1222" s="233"/>
      <c r="H1222" s="233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/>
    </row>
    <row r="1223" ht="12.75" customHeight="1">
      <c r="A1223" s="256"/>
      <c r="B1223" s="1"/>
      <c r="C1223" s="264"/>
      <c r="D1223" s="44"/>
      <c r="E1223" s="264"/>
      <c r="F1223" s="264"/>
      <c r="G1223" s="233"/>
      <c r="H1223" s="233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  <c r="DE1223" s="2"/>
      <c r="DF1223" s="2"/>
      <c r="DG1223" s="2"/>
    </row>
    <row r="1224" ht="12.75" customHeight="1">
      <c r="A1224" s="256"/>
      <c r="B1224" s="1"/>
      <c r="C1224" s="264"/>
      <c r="D1224" s="44"/>
      <c r="E1224" s="264"/>
      <c r="F1224" s="264"/>
      <c r="G1224" s="233"/>
      <c r="H1224" s="233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  <c r="DE1224" s="2"/>
      <c r="DF1224" s="2"/>
      <c r="DG1224" s="2"/>
    </row>
    <row r="1225" ht="12.75" customHeight="1">
      <c r="A1225" s="256"/>
      <c r="B1225" s="1"/>
      <c r="C1225" s="264"/>
      <c r="D1225" s="44"/>
      <c r="E1225" s="264"/>
      <c r="F1225" s="264"/>
      <c r="G1225" s="233"/>
      <c r="H1225" s="233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</row>
    <row r="1226" ht="12.75" customHeight="1">
      <c r="A1226" s="256"/>
      <c r="B1226" s="1"/>
      <c r="C1226" s="264"/>
      <c r="D1226" s="44"/>
      <c r="E1226" s="264"/>
      <c r="F1226" s="264"/>
      <c r="G1226" s="233"/>
      <c r="H1226" s="233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  <c r="DE1226" s="2"/>
      <c r="DF1226" s="2"/>
      <c r="DG1226" s="2"/>
    </row>
    <row r="1227" ht="12.75" customHeight="1">
      <c r="A1227" s="256"/>
      <c r="B1227" s="1"/>
      <c r="C1227" s="264"/>
      <c r="D1227" s="44"/>
      <c r="E1227" s="264"/>
      <c r="F1227" s="264"/>
      <c r="G1227" s="233"/>
      <c r="H1227" s="233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  <c r="DE1227" s="2"/>
      <c r="DF1227" s="2"/>
      <c r="DG1227" s="2"/>
    </row>
    <row r="1228" ht="12.75" customHeight="1">
      <c r="A1228" s="256"/>
      <c r="B1228" s="1"/>
      <c r="C1228" s="264"/>
      <c r="D1228" s="44"/>
      <c r="E1228" s="264"/>
      <c r="F1228" s="264"/>
      <c r="G1228" s="233"/>
      <c r="H1228" s="233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</row>
    <row r="1229" ht="12.75" customHeight="1">
      <c r="A1229" s="256"/>
      <c r="B1229" s="1"/>
      <c r="C1229" s="264"/>
      <c r="D1229" s="44"/>
      <c r="E1229" s="264"/>
      <c r="F1229" s="264"/>
      <c r="G1229" s="233"/>
      <c r="H1229" s="233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</row>
    <row r="1230" ht="12.75" customHeight="1">
      <c r="A1230" s="256"/>
      <c r="B1230" s="1"/>
      <c r="C1230" s="264"/>
      <c r="D1230" s="44"/>
      <c r="E1230" s="264"/>
      <c r="F1230" s="264"/>
      <c r="G1230" s="233"/>
      <c r="H1230" s="233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</row>
    <row r="1231" ht="12.75" customHeight="1">
      <c r="A1231" s="256"/>
      <c r="B1231" s="1"/>
      <c r="C1231" s="264"/>
      <c r="D1231" s="44"/>
      <c r="E1231" s="264"/>
      <c r="F1231" s="264"/>
      <c r="G1231" s="233"/>
      <c r="H1231" s="233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  <c r="DE1231" s="2"/>
      <c r="DF1231" s="2"/>
      <c r="DG1231" s="2"/>
    </row>
    <row r="1232" ht="12.75" customHeight="1">
      <c r="A1232" s="256"/>
      <c r="B1232" s="1"/>
      <c r="C1232" s="264"/>
      <c r="D1232" s="44"/>
      <c r="E1232" s="264"/>
      <c r="F1232" s="264"/>
      <c r="G1232" s="233"/>
      <c r="H1232" s="233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  <c r="DE1232" s="2"/>
      <c r="DF1232" s="2"/>
      <c r="DG1232" s="2"/>
    </row>
    <row r="1233" ht="12.75" customHeight="1">
      <c r="A1233" s="256"/>
      <c r="B1233" s="1"/>
      <c r="C1233" s="264"/>
      <c r="D1233" s="44"/>
      <c r="E1233" s="264"/>
      <c r="F1233" s="264"/>
      <c r="G1233" s="233"/>
      <c r="H1233" s="233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</row>
    <row r="1234" ht="12.75" customHeight="1">
      <c r="A1234" s="256"/>
      <c r="B1234" s="1"/>
      <c r="C1234" s="264"/>
      <c r="D1234" s="44"/>
      <c r="E1234" s="264"/>
      <c r="F1234" s="264"/>
      <c r="G1234" s="233"/>
      <c r="H1234" s="233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  <c r="DE1234" s="2"/>
      <c r="DF1234" s="2"/>
      <c r="DG1234" s="2"/>
    </row>
    <row r="1235" ht="12.75" customHeight="1">
      <c r="A1235" s="256"/>
      <c r="B1235" s="1"/>
      <c r="C1235" s="264"/>
      <c r="D1235" s="44"/>
      <c r="E1235" s="264"/>
      <c r="F1235" s="264"/>
      <c r="G1235" s="233"/>
      <c r="H1235" s="233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</row>
    <row r="1236" ht="12.75" customHeight="1">
      <c r="A1236" s="256"/>
      <c r="B1236" s="1"/>
      <c r="C1236" s="264"/>
      <c r="D1236" s="44"/>
      <c r="E1236" s="264"/>
      <c r="F1236" s="264"/>
      <c r="G1236" s="233"/>
      <c r="H1236" s="233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</row>
    <row r="1237" ht="12.75" customHeight="1">
      <c r="A1237" s="256"/>
      <c r="B1237" s="1"/>
      <c r="C1237" s="264"/>
      <c r="D1237" s="44"/>
      <c r="E1237" s="264"/>
      <c r="F1237" s="264"/>
      <c r="G1237" s="233"/>
      <c r="H1237" s="233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  <c r="DE1237" s="2"/>
      <c r="DF1237" s="2"/>
      <c r="DG1237" s="2"/>
    </row>
    <row r="1238" ht="12.75" customHeight="1">
      <c r="A1238" s="256"/>
      <c r="B1238" s="1"/>
      <c r="C1238" s="264"/>
      <c r="D1238" s="44"/>
      <c r="E1238" s="264"/>
      <c r="F1238" s="264"/>
      <c r="G1238" s="233"/>
      <c r="H1238" s="233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  <c r="DE1238" s="2"/>
      <c r="DF1238" s="2"/>
      <c r="DG1238" s="2"/>
    </row>
    <row r="1239" ht="12.75" customHeight="1">
      <c r="A1239" s="256"/>
      <c r="B1239" s="1"/>
      <c r="C1239" s="264"/>
      <c r="D1239" s="44"/>
      <c r="E1239" s="264"/>
      <c r="F1239" s="264"/>
      <c r="G1239" s="233"/>
      <c r="H1239" s="233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</row>
    <row r="1240" ht="12.75" customHeight="1">
      <c r="A1240" s="256"/>
      <c r="B1240" s="1"/>
      <c r="C1240" s="264"/>
      <c r="D1240" s="44"/>
      <c r="E1240" s="264"/>
      <c r="F1240" s="264"/>
      <c r="G1240" s="233"/>
      <c r="H1240" s="233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  <c r="DE1240" s="2"/>
      <c r="DF1240" s="2"/>
      <c r="DG1240" s="2"/>
    </row>
    <row r="1241" ht="12.75" customHeight="1">
      <c r="A1241" s="256"/>
      <c r="B1241" s="1"/>
      <c r="C1241" s="264"/>
      <c r="D1241" s="44"/>
      <c r="E1241" s="264"/>
      <c r="F1241" s="264"/>
      <c r="G1241" s="233"/>
      <c r="H1241" s="233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</row>
    <row r="1242" ht="12.75" customHeight="1">
      <c r="A1242" s="256"/>
      <c r="B1242" s="1"/>
      <c r="C1242" s="264"/>
      <c r="D1242" s="44"/>
      <c r="E1242" s="264"/>
      <c r="F1242" s="264"/>
      <c r="G1242" s="233"/>
      <c r="H1242" s="233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  <c r="DE1242" s="2"/>
      <c r="DF1242" s="2"/>
      <c r="DG1242" s="2"/>
    </row>
    <row r="1243" ht="12.75" customHeight="1">
      <c r="A1243" s="256"/>
      <c r="B1243" s="1"/>
      <c r="C1243" s="264"/>
      <c r="D1243" s="44"/>
      <c r="E1243" s="264"/>
      <c r="F1243" s="264"/>
      <c r="G1243" s="233"/>
      <c r="H1243" s="233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/>
    </row>
    <row r="1244" ht="12.75" customHeight="1">
      <c r="A1244" s="256"/>
      <c r="B1244" s="1"/>
      <c r="C1244" s="264"/>
      <c r="D1244" s="44"/>
      <c r="E1244" s="264"/>
      <c r="F1244" s="264"/>
      <c r="G1244" s="233"/>
      <c r="H1244" s="233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</row>
    <row r="1245" ht="12.75" customHeight="1">
      <c r="A1245" s="256"/>
      <c r="B1245" s="1"/>
      <c r="C1245" s="264"/>
      <c r="D1245" s="44"/>
      <c r="E1245" s="264"/>
      <c r="F1245" s="264"/>
      <c r="G1245" s="233"/>
      <c r="H1245" s="233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  <c r="DE1245" s="2"/>
      <c r="DF1245" s="2"/>
      <c r="DG1245" s="2"/>
    </row>
    <row r="1246" ht="12.75" customHeight="1">
      <c r="A1246" s="256"/>
      <c r="B1246" s="1"/>
      <c r="C1246" s="264"/>
      <c r="D1246" s="44"/>
      <c r="E1246" s="264"/>
      <c r="F1246" s="264"/>
      <c r="G1246" s="233"/>
      <c r="H1246" s="233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</row>
    <row r="1247" ht="12.75" customHeight="1">
      <c r="A1247" s="256"/>
      <c r="B1247" s="1"/>
      <c r="C1247" s="264"/>
      <c r="D1247" s="44"/>
      <c r="E1247" s="264"/>
      <c r="F1247" s="264"/>
      <c r="G1247" s="233"/>
      <c r="H1247" s="233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</row>
    <row r="1248" ht="12.75" customHeight="1">
      <c r="A1248" s="256"/>
      <c r="B1248" s="1"/>
      <c r="C1248" s="264"/>
      <c r="D1248" s="44"/>
      <c r="E1248" s="264"/>
      <c r="F1248" s="264"/>
      <c r="G1248" s="233"/>
      <c r="H1248" s="233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</row>
    <row r="1249" ht="12.75" customHeight="1">
      <c r="A1249" s="256"/>
      <c r="B1249" s="1"/>
      <c r="C1249" s="264"/>
      <c r="D1249" s="44"/>
      <c r="E1249" s="264"/>
      <c r="F1249" s="264"/>
      <c r="G1249" s="233"/>
      <c r="H1249" s="233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</row>
    <row r="1250" ht="12.75" customHeight="1">
      <c r="A1250" s="256"/>
      <c r="B1250" s="1"/>
      <c r="C1250" s="264"/>
      <c r="D1250" s="44"/>
      <c r="E1250" s="264"/>
      <c r="F1250" s="264"/>
      <c r="G1250" s="233"/>
      <c r="H1250" s="233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</row>
    <row r="1251" ht="12.75" customHeight="1">
      <c r="A1251" s="256"/>
      <c r="B1251" s="1"/>
      <c r="C1251" s="264"/>
      <c r="D1251" s="44"/>
      <c r="E1251" s="264"/>
      <c r="F1251" s="264"/>
      <c r="G1251" s="233"/>
      <c r="H1251" s="233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</row>
    <row r="1252" ht="12.75" customHeight="1">
      <c r="A1252" s="256"/>
      <c r="B1252" s="1"/>
      <c r="C1252" s="264"/>
      <c r="D1252" s="44"/>
      <c r="E1252" s="264"/>
      <c r="F1252" s="264"/>
      <c r="G1252" s="233"/>
      <c r="H1252" s="233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</row>
    <row r="1253" ht="12.75" customHeight="1">
      <c r="A1253" s="256"/>
      <c r="B1253" s="1"/>
      <c r="C1253" s="264"/>
      <c r="D1253" s="44"/>
      <c r="E1253" s="264"/>
      <c r="F1253" s="264"/>
      <c r="G1253" s="233"/>
      <c r="H1253" s="233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</row>
    <row r="1254" ht="12.75" customHeight="1">
      <c r="A1254" s="256"/>
      <c r="B1254" s="1"/>
      <c r="C1254" s="264"/>
      <c r="D1254" s="44"/>
      <c r="E1254" s="264"/>
      <c r="F1254" s="264"/>
      <c r="G1254" s="233"/>
      <c r="H1254" s="233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</row>
    <row r="1255" ht="12.75" customHeight="1">
      <c r="A1255" s="256"/>
      <c r="B1255" s="1"/>
      <c r="C1255" s="264"/>
      <c r="D1255" s="44"/>
      <c r="E1255" s="264"/>
      <c r="F1255" s="264"/>
      <c r="G1255" s="233"/>
      <c r="H1255" s="233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</row>
    <row r="1256" ht="12.75" customHeight="1">
      <c r="A1256" s="256"/>
      <c r="B1256" s="1"/>
      <c r="C1256" s="264"/>
      <c r="D1256" s="44"/>
      <c r="E1256" s="264"/>
      <c r="F1256" s="264"/>
      <c r="G1256" s="233"/>
      <c r="H1256" s="233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</row>
    <row r="1257" ht="12.75" customHeight="1">
      <c r="A1257" s="256"/>
      <c r="B1257" s="1"/>
      <c r="C1257" s="264"/>
      <c r="D1257" s="44"/>
      <c r="E1257" s="264"/>
      <c r="F1257" s="264"/>
      <c r="G1257" s="233"/>
      <c r="H1257" s="233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</row>
    <row r="1258" ht="12.75" customHeight="1">
      <c r="A1258" s="256"/>
      <c r="B1258" s="1"/>
      <c r="C1258" s="264"/>
      <c r="D1258" s="44"/>
      <c r="E1258" s="264"/>
      <c r="F1258" s="264"/>
      <c r="G1258" s="233"/>
      <c r="H1258" s="233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</row>
    <row r="1259" ht="12.75" customHeight="1">
      <c r="A1259" s="256"/>
      <c r="B1259" s="1"/>
      <c r="C1259" s="264"/>
      <c r="D1259" s="44"/>
      <c r="E1259" s="264"/>
      <c r="F1259" s="264"/>
      <c r="G1259" s="233"/>
      <c r="H1259" s="233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</row>
    <row r="1260" ht="12.75" customHeight="1">
      <c r="A1260" s="256"/>
      <c r="B1260" s="1"/>
      <c r="C1260" s="264"/>
      <c r="D1260" s="44"/>
      <c r="E1260" s="264"/>
      <c r="F1260" s="264"/>
      <c r="G1260" s="233"/>
      <c r="H1260" s="233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</row>
    <row r="1261" ht="12.75" customHeight="1">
      <c r="A1261" s="256"/>
      <c r="B1261" s="1"/>
      <c r="C1261" s="264"/>
      <c r="D1261" s="44"/>
      <c r="E1261" s="264"/>
      <c r="F1261" s="264"/>
      <c r="G1261" s="233"/>
      <c r="H1261" s="233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</row>
    <row r="1262" ht="12.75" customHeight="1">
      <c r="A1262" s="256"/>
      <c r="B1262" s="1"/>
      <c r="C1262" s="264"/>
      <c r="D1262" s="44"/>
      <c r="E1262" s="264"/>
      <c r="F1262" s="264"/>
      <c r="G1262" s="233"/>
      <c r="H1262" s="233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</row>
    <row r="1263" ht="12.75" customHeight="1">
      <c r="A1263" s="256"/>
      <c r="B1263" s="1"/>
      <c r="C1263" s="264"/>
      <c r="D1263" s="44"/>
      <c r="E1263" s="264"/>
      <c r="F1263" s="264"/>
      <c r="G1263" s="233"/>
      <c r="H1263" s="233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</row>
    <row r="1264" ht="12.75" customHeight="1">
      <c r="A1264" s="256"/>
      <c r="B1264" s="1"/>
      <c r="C1264" s="264"/>
      <c r="D1264" s="44"/>
      <c r="E1264" s="264"/>
      <c r="F1264" s="264"/>
      <c r="G1264" s="233"/>
      <c r="H1264" s="233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</row>
    <row r="1265" ht="12.75" customHeight="1">
      <c r="A1265" s="256"/>
      <c r="B1265" s="1"/>
      <c r="C1265" s="264"/>
      <c r="D1265" s="44"/>
      <c r="E1265" s="264"/>
      <c r="F1265" s="264"/>
      <c r="G1265" s="233"/>
      <c r="H1265" s="233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</row>
    <row r="1266" ht="12.75" customHeight="1">
      <c r="A1266" s="256"/>
      <c r="B1266" s="1"/>
      <c r="C1266" s="264"/>
      <c r="D1266" s="44"/>
      <c r="E1266" s="264"/>
      <c r="F1266" s="264"/>
      <c r="G1266" s="233"/>
      <c r="H1266" s="233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</row>
    <row r="1267" ht="12.75" customHeight="1">
      <c r="A1267" s="256"/>
      <c r="B1267" s="1"/>
      <c r="C1267" s="264"/>
      <c r="D1267" s="44"/>
      <c r="E1267" s="264"/>
      <c r="F1267" s="264"/>
      <c r="G1267" s="233"/>
      <c r="H1267" s="233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</row>
    <row r="1268" ht="12.75" customHeight="1">
      <c r="A1268" s="256"/>
      <c r="B1268" s="1"/>
      <c r="C1268" s="264"/>
      <c r="D1268" s="44"/>
      <c r="E1268" s="264"/>
      <c r="F1268" s="264"/>
      <c r="G1268" s="233"/>
      <c r="H1268" s="233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</row>
    <row r="1269" ht="12.75" customHeight="1">
      <c r="A1269" s="256"/>
      <c r="B1269" s="1"/>
      <c r="C1269" s="264"/>
      <c r="D1269" s="44"/>
      <c r="E1269" s="264"/>
      <c r="F1269" s="264"/>
      <c r="G1269" s="233"/>
      <c r="H1269" s="233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</row>
    <row r="1270" ht="12.75" customHeight="1">
      <c r="A1270" s="256"/>
      <c r="B1270" s="1"/>
      <c r="C1270" s="264"/>
      <c r="D1270" s="44"/>
      <c r="E1270" s="264"/>
      <c r="F1270" s="264"/>
      <c r="G1270" s="233"/>
      <c r="H1270" s="233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</row>
    <row r="1271" ht="12.75" customHeight="1">
      <c r="A1271" s="256"/>
      <c r="B1271" s="1"/>
      <c r="C1271" s="264"/>
      <c r="D1271" s="44"/>
      <c r="E1271" s="264"/>
      <c r="F1271" s="264"/>
      <c r="G1271" s="233"/>
      <c r="H1271" s="233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</row>
    <row r="1272" ht="12.75" customHeight="1">
      <c r="A1272" s="256"/>
      <c r="B1272" s="1"/>
      <c r="C1272" s="264"/>
      <c r="D1272" s="44"/>
      <c r="E1272" s="264"/>
      <c r="F1272" s="264"/>
      <c r="G1272" s="233"/>
      <c r="H1272" s="233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</row>
    <row r="1273" ht="12.75" customHeight="1">
      <c r="A1273" s="256"/>
      <c r="B1273" s="1"/>
      <c r="C1273" s="264"/>
      <c r="D1273" s="44"/>
      <c r="E1273" s="264"/>
      <c r="F1273" s="264"/>
      <c r="G1273" s="233"/>
      <c r="H1273" s="233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</row>
    <row r="1274" ht="12.75" customHeight="1">
      <c r="A1274" s="256"/>
      <c r="B1274" s="1"/>
      <c r="C1274" s="264"/>
      <c r="D1274" s="44"/>
      <c r="E1274" s="264"/>
      <c r="F1274" s="264"/>
      <c r="G1274" s="233"/>
      <c r="H1274" s="233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</row>
    <row r="1275" ht="12.75" customHeight="1">
      <c r="A1275" s="256"/>
      <c r="B1275" s="1"/>
      <c r="C1275" s="264"/>
      <c r="D1275" s="44"/>
      <c r="E1275" s="264"/>
      <c r="F1275" s="264"/>
      <c r="G1275" s="233"/>
      <c r="H1275" s="233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</row>
    <row r="1276" ht="12.75" customHeight="1">
      <c r="A1276" s="256"/>
      <c r="B1276" s="1"/>
      <c r="C1276" s="264"/>
      <c r="D1276" s="44"/>
      <c r="E1276" s="264"/>
      <c r="F1276" s="264"/>
      <c r="G1276" s="233"/>
      <c r="H1276" s="233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</row>
    <row r="1277" ht="12.75" customHeight="1">
      <c r="A1277" s="256"/>
      <c r="B1277" s="1"/>
      <c r="C1277" s="264"/>
      <c r="D1277" s="44"/>
      <c r="E1277" s="264"/>
      <c r="F1277" s="264"/>
      <c r="G1277" s="233"/>
      <c r="H1277" s="233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</row>
    <row r="1278" ht="12.75" customHeight="1">
      <c r="A1278" s="256"/>
      <c r="B1278" s="1"/>
      <c r="C1278" s="264"/>
      <c r="D1278" s="44"/>
      <c r="E1278" s="264"/>
      <c r="F1278" s="264"/>
      <c r="G1278" s="233"/>
      <c r="H1278" s="233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</row>
    <row r="1279" ht="12.75" customHeight="1">
      <c r="A1279" s="256"/>
      <c r="B1279" s="1"/>
      <c r="C1279" s="264"/>
      <c r="D1279" s="44"/>
      <c r="E1279" s="264"/>
      <c r="F1279" s="264"/>
      <c r="G1279" s="233"/>
      <c r="H1279" s="233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</row>
    <row r="1280" ht="12.75" customHeight="1">
      <c r="A1280" s="256"/>
      <c r="B1280" s="1"/>
      <c r="C1280" s="264"/>
      <c r="D1280" s="44"/>
      <c r="E1280" s="264"/>
      <c r="F1280" s="264"/>
      <c r="G1280" s="233"/>
      <c r="H1280" s="233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</row>
    <row r="1281" ht="12.75" customHeight="1">
      <c r="A1281" s="256"/>
      <c r="B1281" s="1"/>
      <c r="C1281" s="264"/>
      <c r="D1281" s="44"/>
      <c r="E1281" s="264"/>
      <c r="F1281" s="264"/>
      <c r="G1281" s="233"/>
      <c r="H1281" s="233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</row>
    <row r="1282" ht="12.75" customHeight="1">
      <c r="A1282" s="256"/>
      <c r="B1282" s="1"/>
      <c r="C1282" s="264"/>
      <c r="D1282" s="44"/>
      <c r="E1282" s="264"/>
      <c r="F1282" s="264"/>
      <c r="G1282" s="233"/>
      <c r="H1282" s="233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</row>
    <row r="1283" ht="12.75" customHeight="1">
      <c r="A1283" s="256"/>
      <c r="B1283" s="1"/>
      <c r="C1283" s="264"/>
      <c r="D1283" s="44"/>
      <c r="E1283" s="264"/>
      <c r="F1283" s="264"/>
      <c r="G1283" s="233"/>
      <c r="H1283" s="233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</row>
    <row r="1284" ht="12.75" customHeight="1">
      <c r="A1284" s="256"/>
      <c r="B1284" s="1"/>
      <c r="C1284" s="264"/>
      <c r="D1284" s="44"/>
      <c r="E1284" s="264"/>
      <c r="F1284" s="264"/>
      <c r="G1284" s="233"/>
      <c r="H1284" s="233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</row>
    <row r="1285" ht="12.75" customHeight="1">
      <c r="A1285" s="256"/>
      <c r="B1285" s="1"/>
      <c r="C1285" s="264"/>
      <c r="D1285" s="44"/>
      <c r="E1285" s="264"/>
      <c r="F1285" s="264"/>
      <c r="G1285" s="233"/>
      <c r="H1285" s="233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</row>
    <row r="1286" ht="12.75" customHeight="1">
      <c r="A1286" s="256"/>
      <c r="B1286" s="1"/>
      <c r="C1286" s="264"/>
      <c r="D1286" s="44"/>
      <c r="E1286" s="264"/>
      <c r="F1286" s="264"/>
      <c r="G1286" s="233"/>
      <c r="H1286" s="233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</row>
    <row r="1287" ht="12.75" customHeight="1">
      <c r="A1287" s="256"/>
      <c r="B1287" s="1"/>
      <c r="C1287" s="264"/>
      <c r="D1287" s="44"/>
      <c r="E1287" s="264"/>
      <c r="F1287" s="264"/>
      <c r="G1287" s="233"/>
      <c r="H1287" s="233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</row>
    <row r="1288" ht="12.75" customHeight="1">
      <c r="A1288" s="256"/>
      <c r="B1288" s="1"/>
      <c r="C1288" s="264"/>
      <c r="D1288" s="44"/>
      <c r="E1288" s="264"/>
      <c r="F1288" s="264"/>
      <c r="G1288" s="233"/>
      <c r="H1288" s="233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</row>
    <row r="1289" ht="12.75" customHeight="1">
      <c r="A1289" s="256"/>
      <c r="B1289" s="1"/>
      <c r="C1289" s="264"/>
      <c r="D1289" s="44"/>
      <c r="E1289" s="264"/>
      <c r="F1289" s="264"/>
      <c r="G1289" s="233"/>
      <c r="H1289" s="233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</row>
    <row r="1290" ht="12.75" customHeight="1">
      <c r="A1290" s="256"/>
      <c r="B1290" s="1"/>
      <c r="C1290" s="264"/>
      <c r="D1290" s="44"/>
      <c r="E1290" s="264"/>
      <c r="F1290" s="264"/>
      <c r="G1290" s="233"/>
      <c r="H1290" s="233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</row>
    <row r="1291" ht="12.75" customHeight="1">
      <c r="A1291" s="256"/>
      <c r="B1291" s="1"/>
      <c r="C1291" s="264"/>
      <c r="D1291" s="44"/>
      <c r="E1291" s="264"/>
      <c r="F1291" s="264"/>
      <c r="G1291" s="233"/>
      <c r="H1291" s="233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</row>
    <row r="1292" ht="12.75" customHeight="1">
      <c r="A1292" s="256"/>
      <c r="B1292" s="1"/>
      <c r="C1292" s="264"/>
      <c r="D1292" s="44"/>
      <c r="E1292" s="264"/>
      <c r="F1292" s="264"/>
      <c r="G1292" s="233"/>
      <c r="H1292" s="233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</row>
    <row r="1293" ht="12.75" customHeight="1">
      <c r="A1293" s="256"/>
      <c r="B1293" s="1"/>
      <c r="C1293" s="264"/>
      <c r="D1293" s="44"/>
      <c r="E1293" s="264"/>
      <c r="F1293" s="264"/>
      <c r="G1293" s="233"/>
      <c r="H1293" s="233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</row>
    <row r="1294" ht="12.75" customHeight="1">
      <c r="A1294" s="256"/>
      <c r="B1294" s="1"/>
      <c r="C1294" s="264"/>
      <c r="D1294" s="44"/>
      <c r="E1294" s="264"/>
      <c r="F1294" s="264"/>
      <c r="G1294" s="233"/>
      <c r="H1294" s="233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</row>
    <row r="1295" ht="12.75" customHeight="1">
      <c r="A1295" s="256"/>
      <c r="B1295" s="1"/>
      <c r="C1295" s="264"/>
      <c r="D1295" s="44"/>
      <c r="E1295" s="264"/>
      <c r="F1295" s="264"/>
      <c r="G1295" s="233"/>
      <c r="H1295" s="233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</row>
    <row r="1296" ht="12.75" customHeight="1">
      <c r="A1296" s="256"/>
      <c r="B1296" s="1"/>
      <c r="C1296" s="264"/>
      <c r="D1296" s="44"/>
      <c r="E1296" s="264"/>
      <c r="F1296" s="264"/>
      <c r="G1296" s="233"/>
      <c r="H1296" s="233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</row>
    <row r="1297" ht="12.75" customHeight="1">
      <c r="A1297" s="256"/>
      <c r="B1297" s="1"/>
      <c r="C1297" s="264"/>
      <c r="D1297" s="44"/>
      <c r="E1297" s="264"/>
      <c r="F1297" s="264"/>
      <c r="G1297" s="233"/>
      <c r="H1297" s="233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</row>
    <row r="1298" ht="12.75" customHeight="1">
      <c r="A1298" s="256"/>
      <c r="B1298" s="1"/>
      <c r="C1298" s="264"/>
      <c r="D1298" s="44"/>
      <c r="E1298" s="264"/>
      <c r="F1298" s="264"/>
      <c r="G1298" s="233"/>
      <c r="H1298" s="233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</row>
    <row r="1299" ht="12.75" customHeight="1">
      <c r="A1299" s="256"/>
      <c r="B1299" s="1"/>
      <c r="C1299" s="264"/>
      <c r="D1299" s="44"/>
      <c r="E1299" s="264"/>
      <c r="F1299" s="264"/>
      <c r="G1299" s="233"/>
      <c r="H1299" s="233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</row>
    <row r="1300" ht="12.75" customHeight="1">
      <c r="A1300" s="256"/>
      <c r="B1300" s="1"/>
      <c r="C1300" s="264"/>
      <c r="D1300" s="44"/>
      <c r="E1300" s="264"/>
      <c r="F1300" s="264"/>
      <c r="G1300" s="233"/>
      <c r="H1300" s="233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</row>
    <row r="1301" ht="12.75" customHeight="1">
      <c r="A1301" s="256"/>
      <c r="B1301" s="1"/>
      <c r="C1301" s="264"/>
      <c r="D1301" s="44"/>
      <c r="E1301" s="264"/>
      <c r="F1301" s="264"/>
      <c r="G1301" s="233"/>
      <c r="H1301" s="233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</row>
    <row r="1302" ht="12.75" customHeight="1">
      <c r="A1302" s="256"/>
      <c r="B1302" s="1"/>
      <c r="C1302" s="264"/>
      <c r="D1302" s="44"/>
      <c r="E1302" s="264"/>
      <c r="F1302" s="264"/>
      <c r="G1302" s="233"/>
      <c r="H1302" s="233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</row>
    <row r="1303" ht="12.75" customHeight="1">
      <c r="A1303" s="256"/>
      <c r="B1303" s="1"/>
      <c r="C1303" s="264"/>
      <c r="D1303" s="44"/>
      <c r="E1303" s="264"/>
      <c r="F1303" s="264"/>
      <c r="G1303" s="233"/>
      <c r="H1303" s="233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</row>
    <row r="1304" ht="12.75" customHeight="1">
      <c r="A1304" s="256"/>
      <c r="B1304" s="1"/>
      <c r="C1304" s="264"/>
      <c r="D1304" s="44"/>
      <c r="E1304" s="264"/>
      <c r="F1304" s="264"/>
      <c r="G1304" s="233"/>
      <c r="H1304" s="233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</row>
    <row r="1305" ht="12.75" customHeight="1">
      <c r="A1305" s="256"/>
      <c r="B1305" s="1"/>
      <c r="C1305" s="264"/>
      <c r="D1305" s="44"/>
      <c r="E1305" s="264"/>
      <c r="F1305" s="264"/>
      <c r="G1305" s="233"/>
      <c r="H1305" s="233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</row>
    <row r="1306" ht="12.75" customHeight="1">
      <c r="A1306" s="256"/>
      <c r="B1306" s="1"/>
      <c r="C1306" s="264"/>
      <c r="D1306" s="44"/>
      <c r="E1306" s="264"/>
      <c r="F1306" s="264"/>
      <c r="G1306" s="233"/>
      <c r="H1306" s="233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</row>
    <row r="1307" ht="12.75" customHeight="1">
      <c r="A1307" s="256"/>
      <c r="B1307" s="1"/>
      <c r="C1307" s="264"/>
      <c r="D1307" s="44"/>
      <c r="E1307" s="264"/>
      <c r="F1307" s="264"/>
      <c r="G1307" s="233"/>
      <c r="H1307" s="233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</row>
    <row r="1308" ht="12.75" customHeight="1">
      <c r="A1308" s="256"/>
      <c r="B1308" s="1"/>
      <c r="C1308" s="264"/>
      <c r="D1308" s="44"/>
      <c r="E1308" s="264"/>
      <c r="F1308" s="264"/>
      <c r="G1308" s="233"/>
      <c r="H1308" s="233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</row>
    <row r="1309" ht="12.75" customHeight="1">
      <c r="A1309" s="256"/>
      <c r="B1309" s="1"/>
      <c r="C1309" s="264"/>
      <c r="D1309" s="44"/>
      <c r="E1309" s="264"/>
      <c r="F1309" s="264"/>
      <c r="G1309" s="233"/>
      <c r="H1309" s="233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</row>
    <row r="1310" ht="12.75" customHeight="1">
      <c r="A1310" s="256"/>
      <c r="B1310" s="1"/>
      <c r="C1310" s="264"/>
      <c r="D1310" s="44"/>
      <c r="E1310" s="264"/>
      <c r="F1310" s="264"/>
      <c r="G1310" s="233"/>
      <c r="H1310" s="233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</row>
    <row r="1311" ht="12.75" customHeight="1">
      <c r="A1311" s="256"/>
      <c r="B1311" s="1"/>
      <c r="C1311" s="264"/>
      <c r="D1311" s="44"/>
      <c r="E1311" s="264"/>
      <c r="F1311" s="264"/>
      <c r="G1311" s="233"/>
      <c r="H1311" s="233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</row>
    <row r="1312" ht="12.75" customHeight="1">
      <c r="A1312" s="256"/>
      <c r="B1312" s="1"/>
      <c r="C1312" s="264"/>
      <c r="D1312" s="44"/>
      <c r="E1312" s="264"/>
      <c r="F1312" s="264"/>
      <c r="G1312" s="233"/>
      <c r="H1312" s="233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</row>
    <row r="1313" ht="12.75" customHeight="1">
      <c r="A1313" s="256"/>
      <c r="B1313" s="1"/>
      <c r="C1313" s="264"/>
      <c r="D1313" s="44"/>
      <c r="E1313" s="264"/>
      <c r="F1313" s="264"/>
      <c r="G1313" s="233"/>
      <c r="H1313" s="233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</row>
    <row r="1314" ht="12.75" customHeight="1">
      <c r="A1314" s="256"/>
      <c r="B1314" s="1"/>
      <c r="C1314" s="264"/>
      <c r="D1314" s="44"/>
      <c r="E1314" s="264"/>
      <c r="F1314" s="264"/>
      <c r="G1314" s="233"/>
      <c r="H1314" s="233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</row>
    <row r="1315" ht="12.75" customHeight="1">
      <c r="A1315" s="256"/>
      <c r="B1315" s="1"/>
      <c r="C1315" s="264"/>
      <c r="D1315" s="44"/>
      <c r="E1315" s="264"/>
      <c r="F1315" s="264"/>
      <c r="G1315" s="233"/>
      <c r="H1315" s="233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</row>
    <row r="1316" ht="12.75" customHeight="1">
      <c r="A1316" s="256"/>
      <c r="B1316" s="1"/>
      <c r="C1316" s="264"/>
      <c r="D1316" s="44"/>
      <c r="E1316" s="264"/>
      <c r="F1316" s="264"/>
      <c r="G1316" s="233"/>
      <c r="H1316" s="233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</row>
    <row r="1317" ht="12.75" customHeight="1">
      <c r="A1317" s="256"/>
      <c r="B1317" s="1"/>
      <c r="C1317" s="264"/>
      <c r="D1317" s="44"/>
      <c r="E1317" s="264"/>
      <c r="F1317" s="264"/>
      <c r="G1317" s="233"/>
      <c r="H1317" s="233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</row>
    <row r="1318" ht="12.75" customHeight="1">
      <c r="A1318" s="256"/>
      <c r="B1318" s="1"/>
      <c r="C1318" s="264"/>
      <c r="D1318" s="44"/>
      <c r="E1318" s="264"/>
      <c r="F1318" s="264"/>
      <c r="G1318" s="233"/>
      <c r="H1318" s="233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</row>
    <row r="1319" ht="12.75" customHeight="1">
      <c r="A1319" s="256"/>
      <c r="B1319" s="1"/>
      <c r="C1319" s="264"/>
      <c r="D1319" s="44"/>
      <c r="E1319" s="264"/>
      <c r="F1319" s="264"/>
      <c r="G1319" s="233"/>
      <c r="H1319" s="233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</row>
    <row r="1320" ht="12.75" customHeight="1">
      <c r="A1320" s="256"/>
      <c r="B1320" s="1"/>
      <c r="C1320" s="264"/>
      <c r="D1320" s="44"/>
      <c r="E1320" s="264"/>
      <c r="F1320" s="264"/>
      <c r="G1320" s="233"/>
      <c r="H1320" s="233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</row>
    <row r="1321" ht="12.75" customHeight="1">
      <c r="A1321" s="256"/>
      <c r="B1321" s="1"/>
      <c r="C1321" s="264"/>
      <c r="D1321" s="44"/>
      <c r="E1321" s="264"/>
      <c r="F1321" s="264"/>
      <c r="G1321" s="233"/>
      <c r="H1321" s="233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</row>
    <row r="1322" ht="12.75" customHeight="1">
      <c r="A1322" s="256"/>
      <c r="B1322" s="1"/>
      <c r="C1322" s="264"/>
      <c r="D1322" s="44"/>
      <c r="E1322" s="264"/>
      <c r="F1322" s="264"/>
      <c r="G1322" s="233"/>
      <c r="H1322" s="233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</row>
    <row r="1323" ht="12.75" customHeight="1">
      <c r="A1323" s="256"/>
      <c r="B1323" s="1"/>
      <c r="C1323" s="264"/>
      <c r="D1323" s="44"/>
      <c r="E1323" s="264"/>
      <c r="F1323" s="264"/>
      <c r="G1323" s="233"/>
      <c r="H1323" s="233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</row>
    <row r="1324" ht="12.75" customHeight="1">
      <c r="A1324" s="256"/>
      <c r="B1324" s="1"/>
      <c r="C1324" s="264"/>
      <c r="D1324" s="44"/>
      <c r="E1324" s="264"/>
      <c r="F1324" s="264"/>
      <c r="G1324" s="233"/>
      <c r="H1324" s="233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</row>
    <row r="1325" ht="12.75" customHeight="1">
      <c r="A1325" s="256"/>
      <c r="B1325" s="1"/>
      <c r="C1325" s="264"/>
      <c r="D1325" s="44"/>
      <c r="E1325" s="264"/>
      <c r="F1325" s="264"/>
      <c r="G1325" s="233"/>
      <c r="H1325" s="233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</row>
    <row r="1326" ht="12.75" customHeight="1">
      <c r="A1326" s="256"/>
      <c r="B1326" s="1"/>
      <c r="C1326" s="264"/>
      <c r="D1326" s="44"/>
      <c r="E1326" s="264"/>
      <c r="F1326" s="264"/>
      <c r="G1326" s="233"/>
      <c r="H1326" s="233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</row>
  </sheetData>
  <mergeCells count="6">
    <mergeCell ref="A29:A30"/>
    <mergeCell ref="B29:B30"/>
    <mergeCell ref="C29:C30"/>
    <mergeCell ref="D29:D30"/>
    <mergeCell ref="E29:E30"/>
    <mergeCell ref="F29:G29"/>
  </mergeCells>
  <printOptions/>
  <pageMargins bottom="0.52" footer="0.0" header="0.0" left="0.75" right="0.75" top="0.48"/>
  <pageSetup paperSize="9" scale="50"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 outlineLevelCol="1"/>
  <cols>
    <col customWidth="1" min="1" max="1" width="6.29"/>
    <col customWidth="1" min="2" max="2" width="52.71"/>
    <col customWidth="1" min="3" max="3" width="8.57" outlineLevel="1"/>
    <col customWidth="1" min="4" max="4" width="8.14" outlineLevel="1"/>
    <col customWidth="1" min="5" max="5" width="13.71" outlineLevel="1"/>
    <col customWidth="1" min="6" max="6" width="12.14" outlineLevel="1"/>
    <col customWidth="1" min="7" max="7" width="9.57" outlineLevel="1"/>
    <col customWidth="1" min="8" max="8" width="12.71" outlineLevel="1"/>
    <col customWidth="1" min="9" max="9" width="12.43" outlineLevel="1"/>
    <col customWidth="1" min="10" max="11" width="8.57" outlineLevel="1"/>
    <col customWidth="1" min="12" max="12" width="10.0" outlineLevel="1"/>
    <col customWidth="1" min="13" max="13" width="8.57" outlineLevel="1"/>
    <col customWidth="1" min="14" max="14" width="17.43" outlineLevel="1"/>
    <col customWidth="1" min="15" max="15" width="17.43"/>
    <col customWidth="1" min="16" max="16" width="19.43" outlineLevel="1"/>
    <col customWidth="1" min="17" max="17" width="12.0" outlineLevel="1"/>
    <col customWidth="1" min="18" max="27" width="7.43" outlineLevel="1"/>
    <col customWidth="1" min="28" max="28" width="8.57"/>
    <col customWidth="1" min="29" max="40" width="7.43" outlineLevel="1"/>
    <col customWidth="1" min="41" max="41" width="8.57"/>
    <col customWidth="1" min="42" max="53" width="7.43" outlineLevel="1"/>
    <col customWidth="1" min="54" max="54" width="8.57"/>
    <col customWidth="1" min="55" max="55" width="8.57" outlineLevel="1"/>
    <col customWidth="1" min="56" max="66" width="7.43" outlineLevel="1"/>
    <col customWidth="1" min="67" max="68" width="8.57"/>
    <col customWidth="1" min="69" max="75" width="8.57" outlineLevel="1"/>
  </cols>
  <sheetData>
    <row r="1" ht="12.75" customHeight="1">
      <c r="A1" s="1" t="str">
        <f>Panel!A1</f>
        <v/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</row>
    <row r="2" ht="12.75" customHeight="1">
      <c r="A2" s="1" t="str">
        <f>Panel!A2</f>
        <v>Строительство ГЭС -5 МВТ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14"/>
      <c r="BQ2" s="214"/>
      <c r="BR2" s="214"/>
      <c r="BS2" s="214"/>
      <c r="BT2" s="214"/>
      <c r="BU2" s="214"/>
      <c r="BV2" s="214"/>
      <c r="BW2" s="214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0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14"/>
      <c r="AD3" s="214"/>
      <c r="AE3" s="214"/>
      <c r="AF3" s="214"/>
      <c r="AG3" s="214"/>
      <c r="AH3" s="214"/>
      <c r="AI3" s="214"/>
      <c r="AJ3" s="214"/>
      <c r="AK3" s="214"/>
      <c r="AL3" s="214"/>
      <c r="AM3" s="214"/>
      <c r="AN3" s="214"/>
      <c r="AO3" s="214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14"/>
      <c r="BQ3" s="214"/>
      <c r="BR3" s="214"/>
      <c r="BS3" s="214"/>
      <c r="BT3" s="214"/>
      <c r="BU3" s="214"/>
      <c r="BV3" s="214"/>
      <c r="BW3" s="214"/>
    </row>
    <row r="4" ht="12.75" customHeight="1">
      <c r="A4" s="1" t="s">
        <v>239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14"/>
      <c r="AD4" s="214"/>
      <c r="AE4" s="214"/>
      <c r="AF4" s="214"/>
      <c r="AG4" s="214"/>
      <c r="AH4" s="214"/>
      <c r="AI4" s="214"/>
      <c r="AJ4" s="214"/>
      <c r="AK4" s="214"/>
      <c r="AL4" s="214"/>
      <c r="AM4" s="214"/>
      <c r="AN4" s="214"/>
      <c r="AO4" s="214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14"/>
      <c r="BQ4" s="214"/>
      <c r="BR4" s="214"/>
      <c r="BS4" s="214"/>
      <c r="BT4" s="214"/>
      <c r="BU4" s="214"/>
      <c r="BV4" s="214"/>
      <c r="BW4" s="214"/>
    </row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15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70"/>
      <c r="BO5" s="70"/>
      <c r="BP5" s="2"/>
      <c r="BQ5" s="2"/>
      <c r="BR5" s="2"/>
      <c r="BS5" s="2"/>
      <c r="BT5" s="2"/>
      <c r="BU5" s="2"/>
      <c r="BV5" s="2"/>
      <c r="BW5" s="2"/>
    </row>
    <row r="6" ht="12.75" customHeight="1">
      <c r="A6" s="34" t="s">
        <v>124</v>
      </c>
      <c r="B6" s="2"/>
      <c r="C6" s="160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16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</row>
    <row r="7" ht="12.75" customHeight="1">
      <c r="A7" s="161" t="s">
        <v>43</v>
      </c>
      <c r="B7" s="161" t="s">
        <v>186</v>
      </c>
      <c r="C7" s="59" t="s">
        <v>59</v>
      </c>
      <c r="D7" s="59" t="s">
        <v>60</v>
      </c>
      <c r="E7" s="59" t="s">
        <v>61</v>
      </c>
      <c r="F7" s="59" t="s">
        <v>62</v>
      </c>
      <c r="G7" s="59" t="s">
        <v>63</v>
      </c>
      <c r="H7" s="59" t="s">
        <v>64</v>
      </c>
      <c r="I7" s="59" t="s">
        <v>65</v>
      </c>
      <c r="J7" s="59" t="s">
        <v>66</v>
      </c>
      <c r="K7" s="59" t="s">
        <v>67</v>
      </c>
      <c r="L7" s="59" t="s">
        <v>68</v>
      </c>
      <c r="M7" s="59" t="s">
        <v>69</v>
      </c>
      <c r="N7" s="59" t="s">
        <v>70</v>
      </c>
      <c r="O7" s="59">
        <v>2026.0</v>
      </c>
      <c r="P7" s="59" t="s">
        <v>59</v>
      </c>
      <c r="Q7" s="59" t="s">
        <v>60</v>
      </c>
      <c r="R7" s="59" t="s">
        <v>61</v>
      </c>
      <c r="S7" s="59" t="s">
        <v>62</v>
      </c>
      <c r="T7" s="59" t="s">
        <v>63</v>
      </c>
      <c r="U7" s="59" t="s">
        <v>64</v>
      </c>
      <c r="V7" s="59" t="s">
        <v>65</v>
      </c>
      <c r="W7" s="59" t="s">
        <v>66</v>
      </c>
      <c r="X7" s="59" t="s">
        <v>67</v>
      </c>
      <c r="Y7" s="59" t="s">
        <v>68</v>
      </c>
      <c r="Z7" s="59" t="s">
        <v>69</v>
      </c>
      <c r="AA7" s="59" t="s">
        <v>70</v>
      </c>
      <c r="AB7" s="59">
        <v>2027.0</v>
      </c>
      <c r="AC7" s="59" t="s">
        <v>59</v>
      </c>
      <c r="AD7" s="59" t="s">
        <v>60</v>
      </c>
      <c r="AE7" s="59" t="s">
        <v>61</v>
      </c>
      <c r="AF7" s="59" t="s">
        <v>62</v>
      </c>
      <c r="AG7" s="59" t="s">
        <v>63</v>
      </c>
      <c r="AH7" s="59" t="s">
        <v>64</v>
      </c>
      <c r="AI7" s="59" t="s">
        <v>65</v>
      </c>
      <c r="AJ7" s="59" t="s">
        <v>66</v>
      </c>
      <c r="AK7" s="59" t="s">
        <v>67</v>
      </c>
      <c r="AL7" s="59" t="s">
        <v>68</v>
      </c>
      <c r="AM7" s="59" t="s">
        <v>69</v>
      </c>
      <c r="AN7" s="59" t="s">
        <v>70</v>
      </c>
      <c r="AO7" s="59">
        <v>2028.0</v>
      </c>
      <c r="AP7" s="59">
        <v>2029.0</v>
      </c>
      <c r="AQ7" s="59">
        <v>2030.0</v>
      </c>
      <c r="AR7" s="59">
        <v>2031.0</v>
      </c>
      <c r="AS7" s="59">
        <v>2032.0</v>
      </c>
      <c r="AT7" s="59">
        <v>2033.0</v>
      </c>
      <c r="AU7" s="59">
        <v>2034.0</v>
      </c>
      <c r="AV7" s="59">
        <v>2035.0</v>
      </c>
      <c r="AW7" s="59">
        <v>2036.0</v>
      </c>
      <c r="AX7" s="59">
        <v>2037.0</v>
      </c>
      <c r="AY7" s="59">
        <v>2038.0</v>
      </c>
      <c r="AZ7" s="59">
        <v>2039.0</v>
      </c>
      <c r="BA7" s="59">
        <v>2040.0</v>
      </c>
      <c r="BB7" s="59">
        <v>2041.0</v>
      </c>
      <c r="BC7" s="59">
        <v>2042.0</v>
      </c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</row>
    <row r="8" ht="12.75" customHeight="1">
      <c r="A8" s="218" t="s">
        <v>187</v>
      </c>
      <c r="B8" s="219" t="s">
        <v>240</v>
      </c>
      <c r="C8" s="26">
        <v>1.3708333333333333</v>
      </c>
      <c r="D8" s="26">
        <v>1.3708333333333333</v>
      </c>
      <c r="E8" s="26">
        <v>1.3708333333333333</v>
      </c>
      <c r="F8" s="26">
        <v>1.3708333333333333</v>
      </c>
      <c r="G8" s="26">
        <v>1.3708333333333333</v>
      </c>
      <c r="H8" s="26">
        <v>1.3708333333333333</v>
      </c>
      <c r="I8" s="26">
        <v>1.3708333333333333</v>
      </c>
      <c r="J8" s="26">
        <v>1.3708333333333333</v>
      </c>
      <c r="K8" s="26">
        <v>1.3708333333333333</v>
      </c>
      <c r="L8" s="26">
        <v>1.3708333333333333</v>
      </c>
      <c r="M8" s="26">
        <v>1.3708333333333333</v>
      </c>
      <c r="N8" s="26">
        <v>1.3708333333333333</v>
      </c>
      <c r="O8" s="26">
        <f t="shared" ref="O8:O23" si="4">SUM(C8:N8)</f>
        <v>16.45</v>
      </c>
      <c r="P8" s="26">
        <f t="shared" ref="P8:P9" si="5">O8/12</f>
        <v>1.370833333</v>
      </c>
      <c r="Q8" s="26">
        <f t="shared" ref="Q8:AA8" si="1">P8</f>
        <v>1.370833333</v>
      </c>
      <c r="R8" s="26">
        <f t="shared" si="1"/>
        <v>1.370833333</v>
      </c>
      <c r="S8" s="26">
        <f t="shared" si="1"/>
        <v>1.370833333</v>
      </c>
      <c r="T8" s="26">
        <f t="shared" si="1"/>
        <v>1.370833333</v>
      </c>
      <c r="U8" s="26">
        <f t="shared" si="1"/>
        <v>1.370833333</v>
      </c>
      <c r="V8" s="26">
        <f t="shared" si="1"/>
        <v>1.370833333</v>
      </c>
      <c r="W8" s="26">
        <f t="shared" si="1"/>
        <v>1.370833333</v>
      </c>
      <c r="X8" s="26">
        <f t="shared" si="1"/>
        <v>1.370833333</v>
      </c>
      <c r="Y8" s="26">
        <f t="shared" si="1"/>
        <v>1.370833333</v>
      </c>
      <c r="Z8" s="26">
        <f t="shared" si="1"/>
        <v>1.370833333</v>
      </c>
      <c r="AA8" s="26">
        <f t="shared" si="1"/>
        <v>1.370833333</v>
      </c>
      <c r="AB8" s="26">
        <f t="shared" ref="AB8:AB23" si="7">SUM(P8:AA8)</f>
        <v>16.45</v>
      </c>
      <c r="AC8" s="26">
        <f t="shared" ref="AC8:AC9" si="8">AB8/12</f>
        <v>1.370833333</v>
      </c>
      <c r="AD8" s="26">
        <f t="shared" ref="AD8:AN8" si="2">AC8</f>
        <v>1.370833333</v>
      </c>
      <c r="AE8" s="26">
        <f t="shared" si="2"/>
        <v>1.370833333</v>
      </c>
      <c r="AF8" s="26">
        <f t="shared" si="2"/>
        <v>1.370833333</v>
      </c>
      <c r="AG8" s="26">
        <f t="shared" si="2"/>
        <v>1.370833333</v>
      </c>
      <c r="AH8" s="26">
        <f t="shared" si="2"/>
        <v>1.370833333</v>
      </c>
      <c r="AI8" s="26">
        <f t="shared" si="2"/>
        <v>1.370833333</v>
      </c>
      <c r="AJ8" s="26">
        <f t="shared" si="2"/>
        <v>1.370833333</v>
      </c>
      <c r="AK8" s="26">
        <f t="shared" si="2"/>
        <v>1.370833333</v>
      </c>
      <c r="AL8" s="26">
        <f t="shared" si="2"/>
        <v>1.370833333</v>
      </c>
      <c r="AM8" s="26">
        <f t="shared" si="2"/>
        <v>1.370833333</v>
      </c>
      <c r="AN8" s="26">
        <f t="shared" si="2"/>
        <v>1.370833333</v>
      </c>
      <c r="AO8" s="26">
        <f t="shared" ref="AO8:AO23" si="10">SUM(AC8:AN8)</f>
        <v>16.45</v>
      </c>
      <c r="AP8" s="26">
        <f t="shared" ref="AP8:BC8" si="3">AO8</f>
        <v>16.45</v>
      </c>
      <c r="AQ8" s="26">
        <f t="shared" si="3"/>
        <v>16.45</v>
      </c>
      <c r="AR8" s="26">
        <f t="shared" si="3"/>
        <v>16.45</v>
      </c>
      <c r="AS8" s="26">
        <f t="shared" si="3"/>
        <v>16.45</v>
      </c>
      <c r="AT8" s="26">
        <f t="shared" si="3"/>
        <v>16.45</v>
      </c>
      <c r="AU8" s="26">
        <f t="shared" si="3"/>
        <v>16.45</v>
      </c>
      <c r="AV8" s="26">
        <f t="shared" si="3"/>
        <v>16.45</v>
      </c>
      <c r="AW8" s="26">
        <f t="shared" si="3"/>
        <v>16.45</v>
      </c>
      <c r="AX8" s="26">
        <f t="shared" si="3"/>
        <v>16.45</v>
      </c>
      <c r="AY8" s="26">
        <f t="shared" si="3"/>
        <v>16.45</v>
      </c>
      <c r="AZ8" s="26">
        <f t="shared" si="3"/>
        <v>16.45</v>
      </c>
      <c r="BA8" s="26">
        <f t="shared" si="3"/>
        <v>16.45</v>
      </c>
      <c r="BB8" s="26">
        <f t="shared" si="3"/>
        <v>16.45</v>
      </c>
      <c r="BC8" s="26">
        <f t="shared" si="3"/>
        <v>16.45</v>
      </c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</row>
    <row r="9" ht="12.75" customHeight="1">
      <c r="A9" s="218" t="s">
        <v>188</v>
      </c>
      <c r="B9" s="219" t="s">
        <v>241</v>
      </c>
      <c r="C9" s="26">
        <v>2.174416666666666</v>
      </c>
      <c r="D9" s="26">
        <v>2.174416666666666</v>
      </c>
      <c r="E9" s="26">
        <v>2.174416666666666</v>
      </c>
      <c r="F9" s="26">
        <v>2.174416666666666</v>
      </c>
      <c r="G9" s="26">
        <v>2.174416666666666</v>
      </c>
      <c r="H9" s="26">
        <v>2.174416666666666</v>
      </c>
      <c r="I9" s="26">
        <v>2.174416666666666</v>
      </c>
      <c r="J9" s="26">
        <v>2.174416666666666</v>
      </c>
      <c r="K9" s="26">
        <v>2.174416666666666</v>
      </c>
      <c r="L9" s="26">
        <v>2.174416666666666</v>
      </c>
      <c r="M9" s="26">
        <v>2.174416666666666</v>
      </c>
      <c r="N9" s="26">
        <v>2.174416666666666</v>
      </c>
      <c r="O9" s="26">
        <f t="shared" si="4"/>
        <v>26.093</v>
      </c>
      <c r="P9" s="26">
        <f t="shared" si="5"/>
        <v>2.174416667</v>
      </c>
      <c r="Q9" s="26">
        <f t="shared" ref="Q9:AA9" si="6">P9</f>
        <v>2.174416667</v>
      </c>
      <c r="R9" s="26">
        <f t="shared" si="6"/>
        <v>2.174416667</v>
      </c>
      <c r="S9" s="26">
        <f t="shared" si="6"/>
        <v>2.174416667</v>
      </c>
      <c r="T9" s="26">
        <f t="shared" si="6"/>
        <v>2.174416667</v>
      </c>
      <c r="U9" s="26">
        <f t="shared" si="6"/>
        <v>2.174416667</v>
      </c>
      <c r="V9" s="26">
        <f t="shared" si="6"/>
        <v>2.174416667</v>
      </c>
      <c r="W9" s="26">
        <f t="shared" si="6"/>
        <v>2.174416667</v>
      </c>
      <c r="X9" s="26">
        <f t="shared" si="6"/>
        <v>2.174416667</v>
      </c>
      <c r="Y9" s="26">
        <f t="shared" si="6"/>
        <v>2.174416667</v>
      </c>
      <c r="Z9" s="26">
        <f t="shared" si="6"/>
        <v>2.174416667</v>
      </c>
      <c r="AA9" s="26">
        <f t="shared" si="6"/>
        <v>2.174416667</v>
      </c>
      <c r="AB9" s="26">
        <f t="shared" si="7"/>
        <v>26.093</v>
      </c>
      <c r="AC9" s="26">
        <f t="shared" si="8"/>
        <v>2.174416667</v>
      </c>
      <c r="AD9" s="26">
        <f t="shared" ref="AD9:AN9" si="9">AC9</f>
        <v>2.174416667</v>
      </c>
      <c r="AE9" s="26">
        <f t="shared" si="9"/>
        <v>2.174416667</v>
      </c>
      <c r="AF9" s="26">
        <f t="shared" si="9"/>
        <v>2.174416667</v>
      </c>
      <c r="AG9" s="26">
        <f t="shared" si="9"/>
        <v>2.174416667</v>
      </c>
      <c r="AH9" s="26">
        <f t="shared" si="9"/>
        <v>2.174416667</v>
      </c>
      <c r="AI9" s="26">
        <f t="shared" si="9"/>
        <v>2.174416667</v>
      </c>
      <c r="AJ9" s="26">
        <f t="shared" si="9"/>
        <v>2.174416667</v>
      </c>
      <c r="AK9" s="26">
        <f t="shared" si="9"/>
        <v>2.174416667</v>
      </c>
      <c r="AL9" s="26">
        <f t="shared" si="9"/>
        <v>2.174416667</v>
      </c>
      <c r="AM9" s="26">
        <f t="shared" si="9"/>
        <v>2.174416667</v>
      </c>
      <c r="AN9" s="26">
        <f t="shared" si="9"/>
        <v>2.174416667</v>
      </c>
      <c r="AO9" s="26">
        <f t="shared" si="10"/>
        <v>26.093</v>
      </c>
      <c r="AP9" s="26">
        <f t="shared" ref="AP9:BC9" si="11">AO9</f>
        <v>26.093</v>
      </c>
      <c r="AQ9" s="26">
        <f t="shared" si="11"/>
        <v>26.093</v>
      </c>
      <c r="AR9" s="26">
        <f t="shared" si="11"/>
        <v>26.093</v>
      </c>
      <c r="AS9" s="26">
        <f t="shared" si="11"/>
        <v>26.093</v>
      </c>
      <c r="AT9" s="26">
        <f t="shared" si="11"/>
        <v>26.093</v>
      </c>
      <c r="AU9" s="26">
        <f t="shared" si="11"/>
        <v>26.093</v>
      </c>
      <c r="AV9" s="26">
        <f t="shared" si="11"/>
        <v>26.093</v>
      </c>
      <c r="AW9" s="26">
        <f t="shared" si="11"/>
        <v>26.093</v>
      </c>
      <c r="AX9" s="26">
        <f t="shared" si="11"/>
        <v>26.093</v>
      </c>
      <c r="AY9" s="26">
        <f t="shared" si="11"/>
        <v>26.093</v>
      </c>
      <c r="AZ9" s="26">
        <f t="shared" si="11"/>
        <v>26.093</v>
      </c>
      <c r="BA9" s="26">
        <f t="shared" si="11"/>
        <v>26.093</v>
      </c>
      <c r="BB9" s="26">
        <f t="shared" si="11"/>
        <v>26.093</v>
      </c>
      <c r="BC9" s="26">
        <f t="shared" si="11"/>
        <v>26.093</v>
      </c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</row>
    <row r="10" ht="12.75" customHeight="1">
      <c r="A10" s="218" t="s">
        <v>189</v>
      </c>
      <c r="B10" s="219" t="s">
        <v>242</v>
      </c>
      <c r="C10" s="26">
        <v>1.6666666666666667</v>
      </c>
      <c r="D10" s="26">
        <v>1.6666666666666667</v>
      </c>
      <c r="E10" s="26">
        <v>1.6666666666666667</v>
      </c>
      <c r="F10" s="26">
        <v>1.6666666666666667</v>
      </c>
      <c r="G10" s="26">
        <v>1.6666666666666667</v>
      </c>
      <c r="H10" s="26">
        <v>1.6666666666666667</v>
      </c>
      <c r="I10" s="26">
        <v>1.6666666666666667</v>
      </c>
      <c r="J10" s="26">
        <v>1.6666666666666667</v>
      </c>
      <c r="K10" s="26">
        <v>1.6666666666666667</v>
      </c>
      <c r="L10" s="26">
        <v>1.6666666666666667</v>
      </c>
      <c r="M10" s="26">
        <v>1.6666666666666667</v>
      </c>
      <c r="N10" s="26">
        <v>1.6666666666666667</v>
      </c>
      <c r="O10" s="26">
        <f t="shared" si="4"/>
        <v>20</v>
      </c>
      <c r="P10" s="26">
        <f>(O10/12)*(1+Panel!$B$43)</f>
        <v>1.861666667</v>
      </c>
      <c r="Q10" s="26">
        <f t="shared" ref="Q10:AA10" si="12">P10</f>
        <v>1.861666667</v>
      </c>
      <c r="R10" s="26">
        <f t="shared" si="12"/>
        <v>1.861666667</v>
      </c>
      <c r="S10" s="26">
        <f t="shared" si="12"/>
        <v>1.861666667</v>
      </c>
      <c r="T10" s="26">
        <f t="shared" si="12"/>
        <v>1.861666667</v>
      </c>
      <c r="U10" s="26">
        <f t="shared" si="12"/>
        <v>1.861666667</v>
      </c>
      <c r="V10" s="26">
        <f t="shared" si="12"/>
        <v>1.861666667</v>
      </c>
      <c r="W10" s="26">
        <f t="shared" si="12"/>
        <v>1.861666667</v>
      </c>
      <c r="X10" s="26">
        <f t="shared" si="12"/>
        <v>1.861666667</v>
      </c>
      <c r="Y10" s="26">
        <f t="shared" si="12"/>
        <v>1.861666667</v>
      </c>
      <c r="Z10" s="26">
        <f t="shared" si="12"/>
        <v>1.861666667</v>
      </c>
      <c r="AA10" s="26">
        <f t="shared" si="12"/>
        <v>1.861666667</v>
      </c>
      <c r="AB10" s="26">
        <f t="shared" si="7"/>
        <v>22.34</v>
      </c>
      <c r="AC10" s="26">
        <f>(AB10/12)*(1+Panel!$B$43)</f>
        <v>2.079481667</v>
      </c>
      <c r="AD10" s="26">
        <f t="shared" ref="AD10:AN10" si="13">AC10</f>
        <v>2.079481667</v>
      </c>
      <c r="AE10" s="26">
        <f t="shared" si="13"/>
        <v>2.079481667</v>
      </c>
      <c r="AF10" s="26">
        <f t="shared" si="13"/>
        <v>2.079481667</v>
      </c>
      <c r="AG10" s="26">
        <f t="shared" si="13"/>
        <v>2.079481667</v>
      </c>
      <c r="AH10" s="26">
        <f t="shared" si="13"/>
        <v>2.079481667</v>
      </c>
      <c r="AI10" s="26">
        <f t="shared" si="13"/>
        <v>2.079481667</v>
      </c>
      <c r="AJ10" s="26">
        <f t="shared" si="13"/>
        <v>2.079481667</v>
      </c>
      <c r="AK10" s="26">
        <f t="shared" si="13"/>
        <v>2.079481667</v>
      </c>
      <c r="AL10" s="26">
        <f t="shared" si="13"/>
        <v>2.079481667</v>
      </c>
      <c r="AM10" s="26">
        <f t="shared" si="13"/>
        <v>2.079481667</v>
      </c>
      <c r="AN10" s="26">
        <f t="shared" si="13"/>
        <v>2.079481667</v>
      </c>
      <c r="AO10" s="26">
        <f t="shared" si="10"/>
        <v>24.95378</v>
      </c>
      <c r="AP10" s="26">
        <f>(AO10)*(1+Panel!$B$43)</f>
        <v>27.87337226</v>
      </c>
      <c r="AQ10" s="26">
        <f>(AP10)*(1+Panel!$B$43)</f>
        <v>31.13455681</v>
      </c>
      <c r="AR10" s="26">
        <f>(AQ10)*(1+Panel!$B$43)</f>
        <v>34.77729996</v>
      </c>
      <c r="AS10" s="26">
        <f>(AR10)*(1+Panel!$B$43)</f>
        <v>38.84624406</v>
      </c>
      <c r="AT10" s="26">
        <f>(AS10)*(1+Panel!$B$43)</f>
        <v>43.39125461</v>
      </c>
      <c r="AU10" s="26">
        <f>(AT10)*(1+Panel!$B$43)</f>
        <v>48.4680314</v>
      </c>
      <c r="AV10" s="26">
        <f>(AU10)*(1+Panel!$B$43)</f>
        <v>54.13879108</v>
      </c>
      <c r="AW10" s="26">
        <f>(AV10)*(1+Panel!$B$43)</f>
        <v>60.47302963</v>
      </c>
      <c r="AX10" s="26">
        <f>(AW10)*(1+Panel!$B$43)</f>
        <v>67.5483741</v>
      </c>
      <c r="AY10" s="26">
        <f>(AX10)*(1+Panel!$B$43)</f>
        <v>75.45153387</v>
      </c>
      <c r="AZ10" s="26">
        <f>(AY10)*(1+Panel!$B$43)</f>
        <v>84.27936333</v>
      </c>
      <c r="BA10" s="26">
        <f>(AZ10)*(1+Panel!$B$43)</f>
        <v>94.14004884</v>
      </c>
      <c r="BB10" s="26">
        <f>(BA10)*(1+Panel!$B$43)</f>
        <v>105.1544346</v>
      </c>
      <c r="BC10" s="26">
        <f>(BB10)*(1+Panel!$B$43)</f>
        <v>117.4575034</v>
      </c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</row>
    <row r="11" ht="12.75" customHeight="1">
      <c r="A11" s="218" t="s">
        <v>190</v>
      </c>
      <c r="B11" s="219" t="s">
        <v>243</v>
      </c>
      <c r="C11" s="26">
        <v>0.2783333333333333</v>
      </c>
      <c r="D11" s="26">
        <v>0.2783333333333333</v>
      </c>
      <c r="E11" s="26">
        <v>0.2783333333333333</v>
      </c>
      <c r="F11" s="26">
        <v>0.2783333333333333</v>
      </c>
      <c r="G11" s="26">
        <v>0.2783333333333333</v>
      </c>
      <c r="H11" s="26">
        <v>0.2783333333333333</v>
      </c>
      <c r="I11" s="26">
        <v>0.2783333333333333</v>
      </c>
      <c r="J11" s="26">
        <v>0.2783333333333333</v>
      </c>
      <c r="K11" s="26">
        <v>0.2783333333333333</v>
      </c>
      <c r="L11" s="26">
        <v>0.2783333333333333</v>
      </c>
      <c r="M11" s="26">
        <v>0.2783333333333333</v>
      </c>
      <c r="N11" s="26">
        <v>0.2783333333333333</v>
      </c>
      <c r="O11" s="26">
        <f t="shared" si="4"/>
        <v>3.34</v>
      </c>
      <c r="P11" s="26">
        <f>(O11/12)*(1+Panel!$B$43)</f>
        <v>0.3108983333</v>
      </c>
      <c r="Q11" s="26">
        <f t="shared" ref="Q11:AA11" si="14">P11</f>
        <v>0.3108983333</v>
      </c>
      <c r="R11" s="26">
        <f t="shared" si="14"/>
        <v>0.3108983333</v>
      </c>
      <c r="S11" s="26">
        <f t="shared" si="14"/>
        <v>0.3108983333</v>
      </c>
      <c r="T11" s="26">
        <f t="shared" si="14"/>
        <v>0.3108983333</v>
      </c>
      <c r="U11" s="26">
        <f t="shared" si="14"/>
        <v>0.3108983333</v>
      </c>
      <c r="V11" s="26">
        <f t="shared" si="14"/>
        <v>0.3108983333</v>
      </c>
      <c r="W11" s="26">
        <f t="shared" si="14"/>
        <v>0.3108983333</v>
      </c>
      <c r="X11" s="26">
        <f t="shared" si="14"/>
        <v>0.3108983333</v>
      </c>
      <c r="Y11" s="26">
        <f t="shared" si="14"/>
        <v>0.3108983333</v>
      </c>
      <c r="Z11" s="26">
        <f t="shared" si="14"/>
        <v>0.3108983333</v>
      </c>
      <c r="AA11" s="26">
        <f t="shared" si="14"/>
        <v>0.3108983333</v>
      </c>
      <c r="AB11" s="26">
        <f t="shared" si="7"/>
        <v>3.73078</v>
      </c>
      <c r="AC11" s="26">
        <f>(AB11/12)*(1+Panel!$B$43)</f>
        <v>0.3472734383</v>
      </c>
      <c r="AD11" s="26">
        <f t="shared" ref="AD11:AN11" si="15">AC11</f>
        <v>0.3472734383</v>
      </c>
      <c r="AE11" s="26">
        <f t="shared" si="15"/>
        <v>0.3472734383</v>
      </c>
      <c r="AF11" s="26">
        <f t="shared" si="15"/>
        <v>0.3472734383</v>
      </c>
      <c r="AG11" s="26">
        <f t="shared" si="15"/>
        <v>0.3472734383</v>
      </c>
      <c r="AH11" s="26">
        <f t="shared" si="15"/>
        <v>0.3472734383</v>
      </c>
      <c r="AI11" s="26">
        <f t="shared" si="15"/>
        <v>0.3472734383</v>
      </c>
      <c r="AJ11" s="26">
        <f t="shared" si="15"/>
        <v>0.3472734383</v>
      </c>
      <c r="AK11" s="26">
        <f t="shared" si="15"/>
        <v>0.3472734383</v>
      </c>
      <c r="AL11" s="26">
        <f t="shared" si="15"/>
        <v>0.3472734383</v>
      </c>
      <c r="AM11" s="26">
        <f t="shared" si="15"/>
        <v>0.3472734383</v>
      </c>
      <c r="AN11" s="26">
        <f t="shared" si="15"/>
        <v>0.3472734383</v>
      </c>
      <c r="AO11" s="26">
        <f t="shared" si="10"/>
        <v>4.16728126</v>
      </c>
      <c r="AP11" s="26">
        <f>(AO11)*(1+Panel!$B$43)</f>
        <v>4.654853167</v>
      </c>
      <c r="AQ11" s="26">
        <f>(AP11)*(1+Panel!$B$43)</f>
        <v>5.199470988</v>
      </c>
      <c r="AR11" s="26">
        <f>(AQ11)*(1+Panel!$B$43)</f>
        <v>5.807809094</v>
      </c>
      <c r="AS11" s="26">
        <f>(AR11)*(1+Panel!$B$43)</f>
        <v>6.487322758</v>
      </c>
      <c r="AT11" s="26">
        <f>(AS11)*(1+Panel!$B$43)</f>
        <v>7.24633952</v>
      </c>
      <c r="AU11" s="26">
        <f>(AT11)*(1+Panel!$B$43)</f>
        <v>8.094161244</v>
      </c>
      <c r="AV11" s="26">
        <f>(AU11)*(1+Panel!$B$43)</f>
        <v>9.04117811</v>
      </c>
      <c r="AW11" s="26">
        <f>(AV11)*(1+Panel!$B$43)</f>
        <v>10.09899595</v>
      </c>
      <c r="AX11" s="26">
        <f>(AW11)*(1+Panel!$B$43)</f>
        <v>11.28057847</v>
      </c>
      <c r="AY11" s="26">
        <f>(AX11)*(1+Panel!$B$43)</f>
        <v>12.60040616</v>
      </c>
      <c r="AZ11" s="26">
        <f>(AY11)*(1+Panel!$B$43)</f>
        <v>14.07465368</v>
      </c>
      <c r="BA11" s="26">
        <f>(AZ11)*(1+Panel!$B$43)</f>
        <v>15.72138816</v>
      </c>
      <c r="BB11" s="26">
        <f>(BA11)*(1+Panel!$B$43)</f>
        <v>17.56079057</v>
      </c>
      <c r="BC11" s="26">
        <f>(BB11)*(1+Panel!$B$43)</f>
        <v>19.61540307</v>
      </c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</row>
    <row r="12" ht="12.75" customHeight="1">
      <c r="A12" s="218" t="s">
        <v>191</v>
      </c>
      <c r="B12" s="219" t="s">
        <v>244</v>
      </c>
      <c r="C12" s="26">
        <v>5.104040833333335</v>
      </c>
      <c r="D12" s="26">
        <v>5.104040833333335</v>
      </c>
      <c r="E12" s="26">
        <v>5.104040833333335</v>
      </c>
      <c r="F12" s="26">
        <v>5.104040833333335</v>
      </c>
      <c r="G12" s="26">
        <v>5.104040833333335</v>
      </c>
      <c r="H12" s="26">
        <v>5.104040833333335</v>
      </c>
      <c r="I12" s="26">
        <v>5.104040833333335</v>
      </c>
      <c r="J12" s="26">
        <v>5.104040833333335</v>
      </c>
      <c r="K12" s="26">
        <v>5.104040833333335</v>
      </c>
      <c r="L12" s="26">
        <v>5.104040833333335</v>
      </c>
      <c r="M12" s="26">
        <v>5.104040833333335</v>
      </c>
      <c r="N12" s="26">
        <v>5.104040833333335</v>
      </c>
      <c r="O12" s="26">
        <f t="shared" si="4"/>
        <v>61.24849</v>
      </c>
      <c r="P12" s="26">
        <f>(O12/12)*(1+Panel!$B$43)</f>
        <v>5.701213611</v>
      </c>
      <c r="Q12" s="26">
        <f t="shared" ref="Q12:AA12" si="16">P12</f>
        <v>5.701213611</v>
      </c>
      <c r="R12" s="26">
        <f t="shared" si="16"/>
        <v>5.701213611</v>
      </c>
      <c r="S12" s="26">
        <f t="shared" si="16"/>
        <v>5.701213611</v>
      </c>
      <c r="T12" s="26">
        <f t="shared" si="16"/>
        <v>5.701213611</v>
      </c>
      <c r="U12" s="26">
        <f t="shared" si="16"/>
        <v>5.701213611</v>
      </c>
      <c r="V12" s="26">
        <f t="shared" si="16"/>
        <v>5.701213611</v>
      </c>
      <c r="W12" s="26">
        <f t="shared" si="16"/>
        <v>5.701213611</v>
      </c>
      <c r="X12" s="26">
        <f t="shared" si="16"/>
        <v>5.701213611</v>
      </c>
      <c r="Y12" s="26">
        <f t="shared" si="16"/>
        <v>5.701213611</v>
      </c>
      <c r="Z12" s="26">
        <f t="shared" si="16"/>
        <v>5.701213611</v>
      </c>
      <c r="AA12" s="26">
        <f t="shared" si="16"/>
        <v>5.701213611</v>
      </c>
      <c r="AB12" s="26">
        <f t="shared" si="7"/>
        <v>68.41456333</v>
      </c>
      <c r="AC12" s="26">
        <f>(AB12/12)*(1+Panel!$B$43)</f>
        <v>6.368255603</v>
      </c>
      <c r="AD12" s="26">
        <f t="shared" ref="AD12:AN12" si="17">AC12</f>
        <v>6.368255603</v>
      </c>
      <c r="AE12" s="26">
        <f t="shared" si="17"/>
        <v>6.368255603</v>
      </c>
      <c r="AF12" s="26">
        <f t="shared" si="17"/>
        <v>6.368255603</v>
      </c>
      <c r="AG12" s="26">
        <f t="shared" si="17"/>
        <v>6.368255603</v>
      </c>
      <c r="AH12" s="26">
        <f t="shared" si="17"/>
        <v>6.368255603</v>
      </c>
      <c r="AI12" s="26">
        <f t="shared" si="17"/>
        <v>6.368255603</v>
      </c>
      <c r="AJ12" s="26">
        <f t="shared" si="17"/>
        <v>6.368255603</v>
      </c>
      <c r="AK12" s="26">
        <f t="shared" si="17"/>
        <v>6.368255603</v>
      </c>
      <c r="AL12" s="26">
        <f t="shared" si="17"/>
        <v>6.368255603</v>
      </c>
      <c r="AM12" s="26">
        <f t="shared" si="17"/>
        <v>6.368255603</v>
      </c>
      <c r="AN12" s="26">
        <f t="shared" si="17"/>
        <v>6.368255603</v>
      </c>
      <c r="AO12" s="26">
        <f t="shared" si="10"/>
        <v>76.41906724</v>
      </c>
      <c r="AP12" s="26">
        <f>(AO12)*(1+Panel!$B$43)</f>
        <v>85.36009811</v>
      </c>
      <c r="AQ12" s="26">
        <f>(AP12)*(1+Panel!$B$43)</f>
        <v>95.34722959</v>
      </c>
      <c r="AR12" s="26">
        <f>(AQ12)*(1+Panel!$B$43)</f>
        <v>106.5028554</v>
      </c>
      <c r="AS12" s="26">
        <f>(AR12)*(1+Panel!$B$43)</f>
        <v>118.9636895</v>
      </c>
      <c r="AT12" s="26">
        <f>(AS12)*(1+Panel!$B$43)</f>
        <v>132.8824412</v>
      </c>
      <c r="AU12" s="26">
        <f>(AT12)*(1+Panel!$B$43)</f>
        <v>148.4296868</v>
      </c>
      <c r="AV12" s="26">
        <f>(AU12)*(1+Panel!$B$43)</f>
        <v>165.7959602</v>
      </c>
      <c r="AW12" s="26">
        <f>(AV12)*(1+Panel!$B$43)</f>
        <v>185.1940875</v>
      </c>
      <c r="AX12" s="26">
        <f>(AW12)*(1+Panel!$B$43)</f>
        <v>206.8617958</v>
      </c>
      <c r="AY12" s="26">
        <f>(AX12)*(1+Panel!$B$43)</f>
        <v>231.0646259</v>
      </c>
      <c r="AZ12" s="26">
        <f>(AY12)*(1+Panel!$B$43)</f>
        <v>258.0991871</v>
      </c>
      <c r="BA12" s="26">
        <f>(AZ12)*(1+Panel!$B$43)</f>
        <v>288.296792</v>
      </c>
      <c r="BB12" s="26">
        <f>(BA12)*(1+Panel!$B$43)</f>
        <v>322.0275167</v>
      </c>
      <c r="BC12" s="26">
        <f>(BB12)*(1+Panel!$B$43)</f>
        <v>359.7047361</v>
      </c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</row>
    <row r="13" ht="12.75" customHeight="1">
      <c r="A13" s="218" t="s">
        <v>192</v>
      </c>
      <c r="B13" s="219" t="s">
        <v>245</v>
      </c>
      <c r="C13" s="26">
        <v>0.5199999999999998</v>
      </c>
      <c r="D13" s="26">
        <v>0.5199999999999998</v>
      </c>
      <c r="E13" s="26">
        <v>0.5199999999999998</v>
      </c>
      <c r="F13" s="26">
        <v>0.5199999999999998</v>
      </c>
      <c r="G13" s="26">
        <v>0.5199999999999998</v>
      </c>
      <c r="H13" s="26">
        <v>0.5199999999999998</v>
      </c>
      <c r="I13" s="26">
        <v>0.5199999999999998</v>
      </c>
      <c r="J13" s="26">
        <v>0.5199999999999998</v>
      </c>
      <c r="K13" s="26">
        <v>0.5199999999999998</v>
      </c>
      <c r="L13" s="26">
        <v>0.5199999999999998</v>
      </c>
      <c r="M13" s="26">
        <v>0.5199999999999998</v>
      </c>
      <c r="N13" s="26">
        <v>0.5199999999999998</v>
      </c>
      <c r="O13" s="26">
        <f t="shared" si="4"/>
        <v>6.24</v>
      </c>
      <c r="P13" s="26">
        <f t="shared" ref="P13:P19" si="21">O13/12</f>
        <v>0.52</v>
      </c>
      <c r="Q13" s="26">
        <f t="shared" ref="Q13:AA13" si="18">P13</f>
        <v>0.52</v>
      </c>
      <c r="R13" s="26">
        <f t="shared" si="18"/>
        <v>0.52</v>
      </c>
      <c r="S13" s="26">
        <f t="shared" si="18"/>
        <v>0.52</v>
      </c>
      <c r="T13" s="26">
        <f t="shared" si="18"/>
        <v>0.52</v>
      </c>
      <c r="U13" s="26">
        <f t="shared" si="18"/>
        <v>0.52</v>
      </c>
      <c r="V13" s="26">
        <f t="shared" si="18"/>
        <v>0.52</v>
      </c>
      <c r="W13" s="26">
        <f t="shared" si="18"/>
        <v>0.52</v>
      </c>
      <c r="X13" s="26">
        <f t="shared" si="18"/>
        <v>0.52</v>
      </c>
      <c r="Y13" s="26">
        <f t="shared" si="18"/>
        <v>0.52</v>
      </c>
      <c r="Z13" s="26">
        <f t="shared" si="18"/>
        <v>0.52</v>
      </c>
      <c r="AA13" s="26">
        <f t="shared" si="18"/>
        <v>0.52</v>
      </c>
      <c r="AB13" s="26">
        <f t="shared" si="7"/>
        <v>6.24</v>
      </c>
      <c r="AC13" s="26">
        <f>AB13/12</f>
        <v>0.52</v>
      </c>
      <c r="AD13" s="26">
        <f t="shared" ref="AD13:AN13" si="19">AC13</f>
        <v>0.52</v>
      </c>
      <c r="AE13" s="26">
        <f t="shared" si="19"/>
        <v>0.52</v>
      </c>
      <c r="AF13" s="26">
        <f t="shared" si="19"/>
        <v>0.52</v>
      </c>
      <c r="AG13" s="26">
        <f t="shared" si="19"/>
        <v>0.52</v>
      </c>
      <c r="AH13" s="26">
        <f t="shared" si="19"/>
        <v>0.52</v>
      </c>
      <c r="AI13" s="26">
        <f t="shared" si="19"/>
        <v>0.52</v>
      </c>
      <c r="AJ13" s="26">
        <f t="shared" si="19"/>
        <v>0.52</v>
      </c>
      <c r="AK13" s="26">
        <f t="shared" si="19"/>
        <v>0.52</v>
      </c>
      <c r="AL13" s="26">
        <f t="shared" si="19"/>
        <v>0.52</v>
      </c>
      <c r="AM13" s="26">
        <f t="shared" si="19"/>
        <v>0.52</v>
      </c>
      <c r="AN13" s="26">
        <f t="shared" si="19"/>
        <v>0.52</v>
      </c>
      <c r="AO13" s="26">
        <f t="shared" si="10"/>
        <v>6.24</v>
      </c>
      <c r="AP13" s="26">
        <f t="shared" ref="AP13:BC13" si="20">AO13</f>
        <v>6.24</v>
      </c>
      <c r="AQ13" s="26">
        <f t="shared" si="20"/>
        <v>6.24</v>
      </c>
      <c r="AR13" s="26">
        <f t="shared" si="20"/>
        <v>6.24</v>
      </c>
      <c r="AS13" s="26">
        <f t="shared" si="20"/>
        <v>6.24</v>
      </c>
      <c r="AT13" s="26">
        <f t="shared" si="20"/>
        <v>6.24</v>
      </c>
      <c r="AU13" s="26">
        <f t="shared" si="20"/>
        <v>6.24</v>
      </c>
      <c r="AV13" s="26">
        <f t="shared" si="20"/>
        <v>6.24</v>
      </c>
      <c r="AW13" s="26">
        <f t="shared" si="20"/>
        <v>6.24</v>
      </c>
      <c r="AX13" s="26">
        <f t="shared" si="20"/>
        <v>6.24</v>
      </c>
      <c r="AY13" s="26">
        <f t="shared" si="20"/>
        <v>6.24</v>
      </c>
      <c r="AZ13" s="26">
        <f t="shared" si="20"/>
        <v>6.24</v>
      </c>
      <c r="BA13" s="26">
        <f t="shared" si="20"/>
        <v>6.24</v>
      </c>
      <c r="BB13" s="26">
        <f t="shared" si="20"/>
        <v>6.24</v>
      </c>
      <c r="BC13" s="26">
        <f t="shared" si="20"/>
        <v>6.24</v>
      </c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</row>
    <row r="14" ht="12.75" customHeight="1">
      <c r="A14" s="218" t="s">
        <v>193</v>
      </c>
      <c r="B14" s="219" t="s">
        <v>246</v>
      </c>
      <c r="C14" s="26">
        <v>11.111111111111112</v>
      </c>
      <c r="D14" s="26">
        <v>11.111111111111112</v>
      </c>
      <c r="E14" s="26">
        <v>11.111111111111112</v>
      </c>
      <c r="F14" s="26">
        <v>11.111111111111112</v>
      </c>
      <c r="G14" s="26">
        <v>11.111111111111112</v>
      </c>
      <c r="H14" s="26">
        <v>11.111111111111112</v>
      </c>
      <c r="I14" s="26">
        <v>11.111111111111112</v>
      </c>
      <c r="J14" s="26">
        <v>11.111111111111112</v>
      </c>
      <c r="K14" s="26">
        <v>11.111111111111112</v>
      </c>
      <c r="L14" s="26">
        <v>11.111111111111112</v>
      </c>
      <c r="M14" s="26">
        <v>11.111111111111112</v>
      </c>
      <c r="N14" s="26">
        <v>11.111111111111112</v>
      </c>
      <c r="O14" s="26">
        <f t="shared" si="4"/>
        <v>133.3333333</v>
      </c>
      <c r="P14" s="26">
        <f t="shared" si="21"/>
        <v>11.11111111</v>
      </c>
      <c r="Q14" s="26">
        <f t="shared" ref="Q14:AA14" si="22">P14</f>
        <v>11.11111111</v>
      </c>
      <c r="R14" s="26">
        <f t="shared" si="22"/>
        <v>11.11111111</v>
      </c>
      <c r="S14" s="26">
        <f t="shared" si="22"/>
        <v>11.11111111</v>
      </c>
      <c r="T14" s="26">
        <f t="shared" si="22"/>
        <v>11.11111111</v>
      </c>
      <c r="U14" s="26">
        <f t="shared" si="22"/>
        <v>11.11111111</v>
      </c>
      <c r="V14" s="26">
        <f t="shared" si="22"/>
        <v>11.11111111</v>
      </c>
      <c r="W14" s="26">
        <f t="shared" si="22"/>
        <v>11.11111111</v>
      </c>
      <c r="X14" s="26">
        <f t="shared" si="22"/>
        <v>11.11111111</v>
      </c>
      <c r="Y14" s="26">
        <f t="shared" si="22"/>
        <v>11.11111111</v>
      </c>
      <c r="Z14" s="26">
        <f t="shared" si="22"/>
        <v>11.11111111</v>
      </c>
      <c r="AA14" s="26">
        <f t="shared" si="22"/>
        <v>11.11111111</v>
      </c>
      <c r="AB14" s="26">
        <f t="shared" si="7"/>
        <v>133.3333333</v>
      </c>
      <c r="AC14" s="26">
        <f>P48/1000</f>
        <v>22.22222222</v>
      </c>
      <c r="AD14" s="26">
        <f t="shared" ref="AD14:AN14" si="23">AC14</f>
        <v>22.22222222</v>
      </c>
      <c r="AE14" s="26">
        <f t="shared" si="23"/>
        <v>22.22222222</v>
      </c>
      <c r="AF14" s="26">
        <f t="shared" si="23"/>
        <v>22.22222222</v>
      </c>
      <c r="AG14" s="26">
        <f t="shared" si="23"/>
        <v>22.22222222</v>
      </c>
      <c r="AH14" s="26">
        <f t="shared" si="23"/>
        <v>22.22222222</v>
      </c>
      <c r="AI14" s="26">
        <f t="shared" si="23"/>
        <v>22.22222222</v>
      </c>
      <c r="AJ14" s="26">
        <f t="shared" si="23"/>
        <v>22.22222222</v>
      </c>
      <c r="AK14" s="26">
        <f t="shared" si="23"/>
        <v>22.22222222</v>
      </c>
      <c r="AL14" s="26">
        <f t="shared" si="23"/>
        <v>22.22222222</v>
      </c>
      <c r="AM14" s="26">
        <f t="shared" si="23"/>
        <v>22.22222222</v>
      </c>
      <c r="AN14" s="26">
        <f t="shared" si="23"/>
        <v>22.22222222</v>
      </c>
      <c r="AO14" s="26">
        <f t="shared" si="10"/>
        <v>266.6666667</v>
      </c>
      <c r="AP14" s="26">
        <f t="shared" ref="AP14:BC14" si="24">AO14</f>
        <v>266.6666667</v>
      </c>
      <c r="AQ14" s="26">
        <f t="shared" si="24"/>
        <v>266.6666667</v>
      </c>
      <c r="AR14" s="26">
        <f t="shared" si="24"/>
        <v>266.6666667</v>
      </c>
      <c r="AS14" s="26">
        <f t="shared" si="24"/>
        <v>266.6666667</v>
      </c>
      <c r="AT14" s="26">
        <f t="shared" si="24"/>
        <v>266.6666667</v>
      </c>
      <c r="AU14" s="26">
        <f t="shared" si="24"/>
        <v>266.6666667</v>
      </c>
      <c r="AV14" s="26">
        <f t="shared" si="24"/>
        <v>266.6666667</v>
      </c>
      <c r="AW14" s="26">
        <f t="shared" si="24"/>
        <v>266.6666667</v>
      </c>
      <c r="AX14" s="26">
        <f t="shared" si="24"/>
        <v>266.6666667</v>
      </c>
      <c r="AY14" s="26">
        <f t="shared" si="24"/>
        <v>266.6666667</v>
      </c>
      <c r="AZ14" s="26">
        <f t="shared" si="24"/>
        <v>266.6666667</v>
      </c>
      <c r="BA14" s="26">
        <f t="shared" si="24"/>
        <v>266.6666667</v>
      </c>
      <c r="BB14" s="26">
        <f t="shared" si="24"/>
        <v>266.6666667</v>
      </c>
      <c r="BC14" s="26">
        <f t="shared" si="24"/>
        <v>266.6666667</v>
      </c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</row>
    <row r="15" ht="12.75" customHeight="1">
      <c r="A15" s="218" t="s">
        <v>194</v>
      </c>
      <c r="B15" s="219" t="s">
        <v>247</v>
      </c>
      <c r="C15" s="26">
        <v>41.66666666666668</v>
      </c>
      <c r="D15" s="26">
        <v>41.66666666666668</v>
      </c>
      <c r="E15" s="26">
        <v>41.66666666666668</v>
      </c>
      <c r="F15" s="26">
        <v>41.66666666666668</v>
      </c>
      <c r="G15" s="26">
        <v>41.66666666666668</v>
      </c>
      <c r="H15" s="26">
        <v>41.66666666666668</v>
      </c>
      <c r="I15" s="26">
        <v>41.66666666666668</v>
      </c>
      <c r="J15" s="26">
        <v>41.66666666666668</v>
      </c>
      <c r="K15" s="26">
        <v>41.66666666666668</v>
      </c>
      <c r="L15" s="26">
        <v>41.66666666666668</v>
      </c>
      <c r="M15" s="26">
        <v>41.66666666666668</v>
      </c>
      <c r="N15" s="26">
        <v>41.66666666666668</v>
      </c>
      <c r="O15" s="26">
        <f t="shared" si="4"/>
        <v>500</v>
      </c>
      <c r="P15" s="26">
        <f t="shared" si="21"/>
        <v>41.66666667</v>
      </c>
      <c r="Q15" s="26">
        <f t="shared" ref="Q15:AA15" si="25">P15</f>
        <v>41.66666667</v>
      </c>
      <c r="R15" s="26">
        <f t="shared" si="25"/>
        <v>41.66666667</v>
      </c>
      <c r="S15" s="26">
        <f t="shared" si="25"/>
        <v>41.66666667</v>
      </c>
      <c r="T15" s="26">
        <f t="shared" si="25"/>
        <v>41.66666667</v>
      </c>
      <c r="U15" s="26">
        <f t="shared" si="25"/>
        <v>41.66666667</v>
      </c>
      <c r="V15" s="26">
        <f t="shared" si="25"/>
        <v>41.66666667</v>
      </c>
      <c r="W15" s="26">
        <f t="shared" si="25"/>
        <v>41.66666667</v>
      </c>
      <c r="X15" s="26">
        <f t="shared" si="25"/>
        <v>41.66666667</v>
      </c>
      <c r="Y15" s="26">
        <f t="shared" si="25"/>
        <v>41.66666667</v>
      </c>
      <c r="Z15" s="26">
        <f t="shared" si="25"/>
        <v>41.66666667</v>
      </c>
      <c r="AA15" s="26">
        <f t="shared" si="25"/>
        <v>41.66666667</v>
      </c>
      <c r="AB15" s="26">
        <f t="shared" si="7"/>
        <v>500</v>
      </c>
      <c r="AC15" s="26">
        <f t="shared" ref="AC15:AC19" si="29">AB15/12</f>
        <v>41.66666667</v>
      </c>
      <c r="AD15" s="26">
        <f t="shared" ref="AD15:AN15" si="26">AC15</f>
        <v>41.66666667</v>
      </c>
      <c r="AE15" s="26">
        <f t="shared" si="26"/>
        <v>41.66666667</v>
      </c>
      <c r="AF15" s="26">
        <f t="shared" si="26"/>
        <v>41.66666667</v>
      </c>
      <c r="AG15" s="26">
        <f t="shared" si="26"/>
        <v>41.66666667</v>
      </c>
      <c r="AH15" s="26">
        <f t="shared" si="26"/>
        <v>41.66666667</v>
      </c>
      <c r="AI15" s="26">
        <f t="shared" si="26"/>
        <v>41.66666667</v>
      </c>
      <c r="AJ15" s="26">
        <f t="shared" si="26"/>
        <v>41.66666667</v>
      </c>
      <c r="AK15" s="26">
        <f t="shared" si="26"/>
        <v>41.66666667</v>
      </c>
      <c r="AL15" s="26">
        <f t="shared" si="26"/>
        <v>41.66666667</v>
      </c>
      <c r="AM15" s="26">
        <f t="shared" si="26"/>
        <v>41.66666667</v>
      </c>
      <c r="AN15" s="26">
        <f t="shared" si="26"/>
        <v>41.66666667</v>
      </c>
      <c r="AO15" s="26">
        <f t="shared" si="10"/>
        <v>500</v>
      </c>
      <c r="AP15" s="26">
        <f t="shared" ref="AP15:BC15" si="27">AO15</f>
        <v>500</v>
      </c>
      <c r="AQ15" s="26">
        <f t="shared" si="27"/>
        <v>500</v>
      </c>
      <c r="AR15" s="26">
        <f t="shared" si="27"/>
        <v>500</v>
      </c>
      <c r="AS15" s="26">
        <f t="shared" si="27"/>
        <v>500</v>
      </c>
      <c r="AT15" s="26">
        <f t="shared" si="27"/>
        <v>500</v>
      </c>
      <c r="AU15" s="26">
        <f t="shared" si="27"/>
        <v>500</v>
      </c>
      <c r="AV15" s="26">
        <f t="shared" si="27"/>
        <v>500</v>
      </c>
      <c r="AW15" s="26">
        <f t="shared" si="27"/>
        <v>500</v>
      </c>
      <c r="AX15" s="26">
        <f t="shared" si="27"/>
        <v>500</v>
      </c>
      <c r="AY15" s="26">
        <f t="shared" si="27"/>
        <v>500</v>
      </c>
      <c r="AZ15" s="26">
        <f t="shared" si="27"/>
        <v>500</v>
      </c>
      <c r="BA15" s="26">
        <f t="shared" si="27"/>
        <v>500</v>
      </c>
      <c r="BB15" s="26">
        <f t="shared" si="27"/>
        <v>500</v>
      </c>
      <c r="BC15" s="26">
        <f t="shared" si="27"/>
        <v>500</v>
      </c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</row>
    <row r="16" ht="12.75" customHeight="1">
      <c r="A16" s="218" t="s">
        <v>195</v>
      </c>
      <c r="B16" s="219" t="s">
        <v>248</v>
      </c>
      <c r="C16" s="26">
        <v>740.7407407407408</v>
      </c>
      <c r="D16" s="26">
        <v>740.7407407407408</v>
      </c>
      <c r="E16" s="26">
        <v>740.7407407407408</v>
      </c>
      <c r="F16" s="26">
        <v>740.7407407407408</v>
      </c>
      <c r="G16" s="26">
        <v>740.7407407407408</v>
      </c>
      <c r="H16" s="26">
        <v>740.7407407407408</v>
      </c>
      <c r="I16" s="26">
        <v>740.7407407407408</v>
      </c>
      <c r="J16" s="26">
        <v>740.7407407407408</v>
      </c>
      <c r="K16" s="26">
        <v>740.7407407407408</v>
      </c>
      <c r="L16" s="26">
        <v>740.7407407407408</v>
      </c>
      <c r="M16" s="26">
        <v>740.7407407407408</v>
      </c>
      <c r="N16" s="26">
        <v>740.7407407407408</v>
      </c>
      <c r="O16" s="26">
        <f t="shared" si="4"/>
        <v>8888.888889</v>
      </c>
      <c r="P16" s="26">
        <f t="shared" si="21"/>
        <v>740.7407407</v>
      </c>
      <c r="Q16" s="26">
        <f t="shared" ref="Q16:AA16" si="28">P16</f>
        <v>740.7407407</v>
      </c>
      <c r="R16" s="26">
        <f t="shared" si="28"/>
        <v>740.7407407</v>
      </c>
      <c r="S16" s="26">
        <f t="shared" si="28"/>
        <v>740.7407407</v>
      </c>
      <c r="T16" s="26">
        <f t="shared" si="28"/>
        <v>740.7407407</v>
      </c>
      <c r="U16" s="26">
        <f t="shared" si="28"/>
        <v>740.7407407</v>
      </c>
      <c r="V16" s="26">
        <f t="shared" si="28"/>
        <v>740.7407407</v>
      </c>
      <c r="W16" s="26">
        <f t="shared" si="28"/>
        <v>740.7407407</v>
      </c>
      <c r="X16" s="26">
        <f t="shared" si="28"/>
        <v>740.7407407</v>
      </c>
      <c r="Y16" s="26">
        <f t="shared" si="28"/>
        <v>740.7407407</v>
      </c>
      <c r="Z16" s="26">
        <f t="shared" si="28"/>
        <v>740.7407407</v>
      </c>
      <c r="AA16" s="26">
        <f t="shared" si="28"/>
        <v>740.7407407</v>
      </c>
      <c r="AB16" s="26">
        <f t="shared" si="7"/>
        <v>8888.888889</v>
      </c>
      <c r="AC16" s="26">
        <f t="shared" si="29"/>
        <v>740.7407407</v>
      </c>
      <c r="AD16" s="26">
        <f t="shared" ref="AD16:AN16" si="30">AC16</f>
        <v>740.7407407</v>
      </c>
      <c r="AE16" s="26">
        <f t="shared" si="30"/>
        <v>740.7407407</v>
      </c>
      <c r="AF16" s="26">
        <f t="shared" si="30"/>
        <v>740.7407407</v>
      </c>
      <c r="AG16" s="26">
        <f t="shared" si="30"/>
        <v>740.7407407</v>
      </c>
      <c r="AH16" s="26">
        <f t="shared" si="30"/>
        <v>740.7407407</v>
      </c>
      <c r="AI16" s="26">
        <f t="shared" si="30"/>
        <v>740.7407407</v>
      </c>
      <c r="AJ16" s="26">
        <f t="shared" si="30"/>
        <v>740.7407407</v>
      </c>
      <c r="AK16" s="26">
        <f t="shared" si="30"/>
        <v>740.7407407</v>
      </c>
      <c r="AL16" s="26">
        <f t="shared" si="30"/>
        <v>740.7407407</v>
      </c>
      <c r="AM16" s="26">
        <f t="shared" si="30"/>
        <v>740.7407407</v>
      </c>
      <c r="AN16" s="26">
        <f t="shared" si="30"/>
        <v>740.7407407</v>
      </c>
      <c r="AO16" s="26">
        <f t="shared" si="10"/>
        <v>8888.888889</v>
      </c>
      <c r="AP16" s="26">
        <f t="shared" ref="AP16:BC16" si="31">AO16</f>
        <v>8888.888889</v>
      </c>
      <c r="AQ16" s="26">
        <f t="shared" si="31"/>
        <v>8888.888889</v>
      </c>
      <c r="AR16" s="26">
        <f t="shared" si="31"/>
        <v>8888.888889</v>
      </c>
      <c r="AS16" s="26">
        <f t="shared" si="31"/>
        <v>8888.888889</v>
      </c>
      <c r="AT16" s="26">
        <f t="shared" si="31"/>
        <v>8888.888889</v>
      </c>
      <c r="AU16" s="26">
        <f t="shared" si="31"/>
        <v>8888.888889</v>
      </c>
      <c r="AV16" s="26">
        <f t="shared" si="31"/>
        <v>8888.888889</v>
      </c>
      <c r="AW16" s="26">
        <f t="shared" si="31"/>
        <v>8888.888889</v>
      </c>
      <c r="AX16" s="26">
        <f t="shared" si="31"/>
        <v>8888.888889</v>
      </c>
      <c r="AY16" s="26">
        <f t="shared" si="31"/>
        <v>8888.888889</v>
      </c>
      <c r="AZ16" s="26">
        <f t="shared" si="31"/>
        <v>8888.888889</v>
      </c>
      <c r="BA16" s="26">
        <f t="shared" si="31"/>
        <v>8888.888889</v>
      </c>
      <c r="BB16" s="26">
        <f t="shared" si="31"/>
        <v>8888.888889</v>
      </c>
      <c r="BC16" s="26">
        <f t="shared" si="31"/>
        <v>8888.888889</v>
      </c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</row>
    <row r="17" ht="12.75" customHeight="1">
      <c r="A17" s="218" t="s">
        <v>249</v>
      </c>
      <c r="B17" s="219" t="s">
        <v>250</v>
      </c>
      <c r="C17" s="26">
        <v>17.677177777777782</v>
      </c>
      <c r="D17" s="26">
        <v>17.677177777777782</v>
      </c>
      <c r="E17" s="26">
        <v>17.677177777777782</v>
      </c>
      <c r="F17" s="26">
        <v>17.677177777777782</v>
      </c>
      <c r="G17" s="26">
        <v>17.677177777777782</v>
      </c>
      <c r="H17" s="26">
        <v>17.677177777777782</v>
      </c>
      <c r="I17" s="26">
        <v>17.677177777777782</v>
      </c>
      <c r="J17" s="26">
        <v>17.677177777777782</v>
      </c>
      <c r="K17" s="26">
        <v>17.677177777777782</v>
      </c>
      <c r="L17" s="26">
        <v>17.677177777777782</v>
      </c>
      <c r="M17" s="26">
        <v>17.677177777777782</v>
      </c>
      <c r="N17" s="26">
        <v>17.677177777777782</v>
      </c>
      <c r="O17" s="26">
        <f t="shared" si="4"/>
        <v>212.1261333</v>
      </c>
      <c r="P17" s="26">
        <f t="shared" si="21"/>
        <v>17.67717778</v>
      </c>
      <c r="Q17" s="26">
        <f t="shared" ref="Q17:AA17" si="32">P17</f>
        <v>17.67717778</v>
      </c>
      <c r="R17" s="26">
        <f t="shared" si="32"/>
        <v>17.67717778</v>
      </c>
      <c r="S17" s="26">
        <f t="shared" si="32"/>
        <v>17.67717778</v>
      </c>
      <c r="T17" s="26">
        <f t="shared" si="32"/>
        <v>17.67717778</v>
      </c>
      <c r="U17" s="26">
        <f t="shared" si="32"/>
        <v>17.67717778</v>
      </c>
      <c r="V17" s="26">
        <f t="shared" si="32"/>
        <v>17.67717778</v>
      </c>
      <c r="W17" s="26">
        <f t="shared" si="32"/>
        <v>17.67717778</v>
      </c>
      <c r="X17" s="26">
        <f t="shared" si="32"/>
        <v>17.67717778</v>
      </c>
      <c r="Y17" s="26">
        <f t="shared" si="32"/>
        <v>17.67717778</v>
      </c>
      <c r="Z17" s="26">
        <f t="shared" si="32"/>
        <v>17.67717778</v>
      </c>
      <c r="AA17" s="26">
        <f t="shared" si="32"/>
        <v>17.67717778</v>
      </c>
      <c r="AB17" s="26">
        <f t="shared" si="7"/>
        <v>212.1261333</v>
      </c>
      <c r="AC17" s="26">
        <f t="shared" si="29"/>
        <v>17.67717778</v>
      </c>
      <c r="AD17" s="26">
        <f t="shared" ref="AD17:AN17" si="33">AC17</f>
        <v>17.67717778</v>
      </c>
      <c r="AE17" s="26">
        <f t="shared" si="33"/>
        <v>17.67717778</v>
      </c>
      <c r="AF17" s="26">
        <f t="shared" si="33"/>
        <v>17.67717778</v>
      </c>
      <c r="AG17" s="26">
        <f t="shared" si="33"/>
        <v>17.67717778</v>
      </c>
      <c r="AH17" s="26">
        <f t="shared" si="33"/>
        <v>17.67717778</v>
      </c>
      <c r="AI17" s="26">
        <f t="shared" si="33"/>
        <v>17.67717778</v>
      </c>
      <c r="AJ17" s="26">
        <f t="shared" si="33"/>
        <v>17.67717778</v>
      </c>
      <c r="AK17" s="26">
        <f t="shared" si="33"/>
        <v>17.67717778</v>
      </c>
      <c r="AL17" s="26">
        <f t="shared" si="33"/>
        <v>17.67717778</v>
      </c>
      <c r="AM17" s="26">
        <f t="shared" si="33"/>
        <v>17.67717778</v>
      </c>
      <c r="AN17" s="26">
        <f t="shared" si="33"/>
        <v>17.67717778</v>
      </c>
      <c r="AO17" s="26">
        <f t="shared" si="10"/>
        <v>212.1261333</v>
      </c>
      <c r="AP17" s="26">
        <f t="shared" ref="AP17:BC17" si="34">AO17</f>
        <v>212.1261333</v>
      </c>
      <c r="AQ17" s="26">
        <f t="shared" si="34"/>
        <v>212.1261333</v>
      </c>
      <c r="AR17" s="26">
        <f t="shared" si="34"/>
        <v>212.1261333</v>
      </c>
      <c r="AS17" s="26">
        <f t="shared" si="34"/>
        <v>212.1261333</v>
      </c>
      <c r="AT17" s="26">
        <f t="shared" si="34"/>
        <v>212.1261333</v>
      </c>
      <c r="AU17" s="26">
        <f t="shared" si="34"/>
        <v>212.1261333</v>
      </c>
      <c r="AV17" s="26">
        <f t="shared" si="34"/>
        <v>212.1261333</v>
      </c>
      <c r="AW17" s="26">
        <f t="shared" si="34"/>
        <v>212.1261333</v>
      </c>
      <c r="AX17" s="26">
        <f t="shared" si="34"/>
        <v>212.1261333</v>
      </c>
      <c r="AY17" s="26">
        <f t="shared" si="34"/>
        <v>212.1261333</v>
      </c>
      <c r="AZ17" s="26">
        <f t="shared" si="34"/>
        <v>212.1261333</v>
      </c>
      <c r="BA17" s="26">
        <f t="shared" si="34"/>
        <v>212.1261333</v>
      </c>
      <c r="BB17" s="26">
        <f t="shared" si="34"/>
        <v>212.1261333</v>
      </c>
      <c r="BC17" s="26">
        <f t="shared" si="34"/>
        <v>212.1261333</v>
      </c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</row>
    <row r="18" ht="12.75" customHeight="1">
      <c r="A18" s="218" t="s">
        <v>251</v>
      </c>
      <c r="B18" s="219" t="s">
        <v>252</v>
      </c>
      <c r="C18" s="26">
        <v>45.656155555555536</v>
      </c>
      <c r="D18" s="26">
        <v>45.656155555555536</v>
      </c>
      <c r="E18" s="26">
        <v>45.656155555555536</v>
      </c>
      <c r="F18" s="26">
        <v>45.656155555555536</v>
      </c>
      <c r="G18" s="26">
        <v>45.656155555555536</v>
      </c>
      <c r="H18" s="26">
        <v>45.656155555555536</v>
      </c>
      <c r="I18" s="26">
        <v>45.656155555555536</v>
      </c>
      <c r="J18" s="26">
        <v>45.656155555555536</v>
      </c>
      <c r="K18" s="26">
        <v>45.656155555555536</v>
      </c>
      <c r="L18" s="26">
        <v>45.656155555555536</v>
      </c>
      <c r="M18" s="26">
        <v>45.656155555555536</v>
      </c>
      <c r="N18" s="26">
        <v>45.656155555555536</v>
      </c>
      <c r="O18" s="26">
        <f t="shared" si="4"/>
        <v>547.8738667</v>
      </c>
      <c r="P18" s="26">
        <f t="shared" si="21"/>
        <v>45.65615556</v>
      </c>
      <c r="Q18" s="26">
        <f t="shared" ref="Q18:AA18" si="35">P18</f>
        <v>45.65615556</v>
      </c>
      <c r="R18" s="26">
        <f t="shared" si="35"/>
        <v>45.65615556</v>
      </c>
      <c r="S18" s="26">
        <f t="shared" si="35"/>
        <v>45.65615556</v>
      </c>
      <c r="T18" s="26">
        <f t="shared" si="35"/>
        <v>45.65615556</v>
      </c>
      <c r="U18" s="26">
        <f t="shared" si="35"/>
        <v>45.65615556</v>
      </c>
      <c r="V18" s="26">
        <f t="shared" si="35"/>
        <v>45.65615556</v>
      </c>
      <c r="W18" s="26">
        <f t="shared" si="35"/>
        <v>45.65615556</v>
      </c>
      <c r="X18" s="26">
        <f t="shared" si="35"/>
        <v>45.65615556</v>
      </c>
      <c r="Y18" s="26">
        <f t="shared" si="35"/>
        <v>45.65615556</v>
      </c>
      <c r="Z18" s="26">
        <f t="shared" si="35"/>
        <v>45.65615556</v>
      </c>
      <c r="AA18" s="26">
        <f t="shared" si="35"/>
        <v>45.65615556</v>
      </c>
      <c r="AB18" s="26">
        <f t="shared" si="7"/>
        <v>547.8738667</v>
      </c>
      <c r="AC18" s="26">
        <f t="shared" si="29"/>
        <v>45.65615556</v>
      </c>
      <c r="AD18" s="26">
        <f t="shared" ref="AD18:AN18" si="36">AC18</f>
        <v>45.65615556</v>
      </c>
      <c r="AE18" s="26">
        <f t="shared" si="36"/>
        <v>45.65615556</v>
      </c>
      <c r="AF18" s="26">
        <f t="shared" si="36"/>
        <v>45.65615556</v>
      </c>
      <c r="AG18" s="26">
        <f t="shared" si="36"/>
        <v>45.65615556</v>
      </c>
      <c r="AH18" s="26">
        <f t="shared" si="36"/>
        <v>45.65615556</v>
      </c>
      <c r="AI18" s="26">
        <f t="shared" si="36"/>
        <v>45.65615556</v>
      </c>
      <c r="AJ18" s="26">
        <f t="shared" si="36"/>
        <v>45.65615556</v>
      </c>
      <c r="AK18" s="26">
        <f t="shared" si="36"/>
        <v>45.65615556</v>
      </c>
      <c r="AL18" s="26">
        <f t="shared" si="36"/>
        <v>45.65615556</v>
      </c>
      <c r="AM18" s="26">
        <f t="shared" si="36"/>
        <v>45.65615556</v>
      </c>
      <c r="AN18" s="26">
        <f t="shared" si="36"/>
        <v>45.65615556</v>
      </c>
      <c r="AO18" s="26">
        <f t="shared" si="10"/>
        <v>547.8738667</v>
      </c>
      <c r="AP18" s="26">
        <f t="shared" ref="AP18:BC18" si="37">AO18</f>
        <v>547.8738667</v>
      </c>
      <c r="AQ18" s="26">
        <f t="shared" si="37"/>
        <v>547.8738667</v>
      </c>
      <c r="AR18" s="26">
        <f t="shared" si="37"/>
        <v>547.8738667</v>
      </c>
      <c r="AS18" s="26">
        <f t="shared" si="37"/>
        <v>547.8738667</v>
      </c>
      <c r="AT18" s="26">
        <f t="shared" si="37"/>
        <v>547.8738667</v>
      </c>
      <c r="AU18" s="26">
        <f t="shared" si="37"/>
        <v>547.8738667</v>
      </c>
      <c r="AV18" s="26">
        <f t="shared" si="37"/>
        <v>547.8738667</v>
      </c>
      <c r="AW18" s="26">
        <f t="shared" si="37"/>
        <v>547.8738667</v>
      </c>
      <c r="AX18" s="26">
        <f t="shared" si="37"/>
        <v>547.8738667</v>
      </c>
      <c r="AY18" s="26">
        <f t="shared" si="37"/>
        <v>547.8738667</v>
      </c>
      <c r="AZ18" s="26">
        <f t="shared" si="37"/>
        <v>547.8738667</v>
      </c>
      <c r="BA18" s="26">
        <f t="shared" si="37"/>
        <v>547.8738667</v>
      </c>
      <c r="BB18" s="26">
        <f t="shared" si="37"/>
        <v>547.8738667</v>
      </c>
      <c r="BC18" s="26">
        <f t="shared" si="37"/>
        <v>547.8738667</v>
      </c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</row>
    <row r="19" ht="12.75" customHeight="1">
      <c r="A19" s="218" t="s">
        <v>253</v>
      </c>
      <c r="B19" s="219" t="s">
        <v>254</v>
      </c>
      <c r="C19" s="26">
        <v>66.66666666666664</v>
      </c>
      <c r="D19" s="26">
        <v>66.66666666666664</v>
      </c>
      <c r="E19" s="26">
        <v>66.66666666666664</v>
      </c>
      <c r="F19" s="26">
        <v>66.66666666666664</v>
      </c>
      <c r="G19" s="26">
        <v>66.66666666666664</v>
      </c>
      <c r="H19" s="26">
        <v>66.66666666666664</v>
      </c>
      <c r="I19" s="26">
        <v>66.66666666666664</v>
      </c>
      <c r="J19" s="26">
        <v>66.66666666666664</v>
      </c>
      <c r="K19" s="26">
        <v>66.66666666666664</v>
      </c>
      <c r="L19" s="26">
        <v>66.66666666666664</v>
      </c>
      <c r="M19" s="26">
        <v>66.66666666666664</v>
      </c>
      <c r="N19" s="26">
        <v>66.66666666666664</v>
      </c>
      <c r="O19" s="26">
        <f t="shared" si="4"/>
        <v>800</v>
      </c>
      <c r="P19" s="26">
        <f t="shared" si="21"/>
        <v>66.66666667</v>
      </c>
      <c r="Q19" s="26">
        <f t="shared" ref="Q19:AA19" si="38">P19</f>
        <v>66.66666667</v>
      </c>
      <c r="R19" s="26">
        <f t="shared" si="38"/>
        <v>66.66666667</v>
      </c>
      <c r="S19" s="26">
        <f t="shared" si="38"/>
        <v>66.66666667</v>
      </c>
      <c r="T19" s="26">
        <f t="shared" si="38"/>
        <v>66.66666667</v>
      </c>
      <c r="U19" s="26">
        <f t="shared" si="38"/>
        <v>66.66666667</v>
      </c>
      <c r="V19" s="26">
        <f t="shared" si="38"/>
        <v>66.66666667</v>
      </c>
      <c r="W19" s="26">
        <f t="shared" si="38"/>
        <v>66.66666667</v>
      </c>
      <c r="X19" s="26">
        <f t="shared" si="38"/>
        <v>66.66666667</v>
      </c>
      <c r="Y19" s="26">
        <f t="shared" si="38"/>
        <v>66.66666667</v>
      </c>
      <c r="Z19" s="26">
        <f t="shared" si="38"/>
        <v>66.66666667</v>
      </c>
      <c r="AA19" s="26">
        <f t="shared" si="38"/>
        <v>66.66666667</v>
      </c>
      <c r="AB19" s="26">
        <f t="shared" si="7"/>
        <v>800</v>
      </c>
      <c r="AC19" s="26">
        <f t="shared" si="29"/>
        <v>66.66666667</v>
      </c>
      <c r="AD19" s="26">
        <f t="shared" ref="AD19:AN19" si="39">AC19</f>
        <v>66.66666667</v>
      </c>
      <c r="AE19" s="26">
        <f t="shared" si="39"/>
        <v>66.66666667</v>
      </c>
      <c r="AF19" s="26">
        <f t="shared" si="39"/>
        <v>66.66666667</v>
      </c>
      <c r="AG19" s="26">
        <f t="shared" si="39"/>
        <v>66.66666667</v>
      </c>
      <c r="AH19" s="26">
        <f t="shared" si="39"/>
        <v>66.66666667</v>
      </c>
      <c r="AI19" s="26">
        <f t="shared" si="39"/>
        <v>66.66666667</v>
      </c>
      <c r="AJ19" s="26">
        <f t="shared" si="39"/>
        <v>66.66666667</v>
      </c>
      <c r="AK19" s="26">
        <f t="shared" si="39"/>
        <v>66.66666667</v>
      </c>
      <c r="AL19" s="26">
        <f t="shared" si="39"/>
        <v>66.66666667</v>
      </c>
      <c r="AM19" s="26">
        <f t="shared" si="39"/>
        <v>66.66666667</v>
      </c>
      <c r="AN19" s="26">
        <f t="shared" si="39"/>
        <v>66.66666667</v>
      </c>
      <c r="AO19" s="26">
        <f t="shared" si="10"/>
        <v>800</v>
      </c>
      <c r="AP19" s="26">
        <f t="shared" ref="AP19:BC19" si="40">AO19</f>
        <v>800</v>
      </c>
      <c r="AQ19" s="26">
        <f t="shared" si="40"/>
        <v>800</v>
      </c>
      <c r="AR19" s="26">
        <f t="shared" si="40"/>
        <v>800</v>
      </c>
      <c r="AS19" s="26">
        <f t="shared" si="40"/>
        <v>800</v>
      </c>
      <c r="AT19" s="26">
        <f t="shared" si="40"/>
        <v>800</v>
      </c>
      <c r="AU19" s="26">
        <f t="shared" si="40"/>
        <v>800</v>
      </c>
      <c r="AV19" s="26">
        <f t="shared" si="40"/>
        <v>800</v>
      </c>
      <c r="AW19" s="26">
        <f t="shared" si="40"/>
        <v>800</v>
      </c>
      <c r="AX19" s="26">
        <f t="shared" si="40"/>
        <v>800</v>
      </c>
      <c r="AY19" s="26">
        <f t="shared" si="40"/>
        <v>800</v>
      </c>
      <c r="AZ19" s="26">
        <f t="shared" si="40"/>
        <v>800</v>
      </c>
      <c r="BA19" s="26">
        <f t="shared" si="40"/>
        <v>800</v>
      </c>
      <c r="BB19" s="26">
        <f t="shared" si="40"/>
        <v>800</v>
      </c>
      <c r="BC19" s="26">
        <f t="shared" si="40"/>
        <v>800</v>
      </c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</row>
    <row r="20" ht="12.75" customHeight="1">
      <c r="A20" s="218" t="s">
        <v>255</v>
      </c>
      <c r="B20" s="219" t="s">
        <v>256</v>
      </c>
      <c r="C20" s="26">
        <v>892.857142857143</v>
      </c>
      <c r="D20" s="26">
        <v>892.857142857143</v>
      </c>
      <c r="E20" s="26">
        <v>892.857142857143</v>
      </c>
      <c r="F20" s="26">
        <v>892.857142857143</v>
      </c>
      <c r="G20" s="26">
        <v>892.857142857143</v>
      </c>
      <c r="H20" s="26">
        <v>892.857142857143</v>
      </c>
      <c r="I20" s="26">
        <v>892.857142857143</v>
      </c>
      <c r="J20" s="26">
        <v>892.857142857143</v>
      </c>
      <c r="K20" s="26">
        <v>892.857142857143</v>
      </c>
      <c r="L20" s="26">
        <v>892.857142857143</v>
      </c>
      <c r="M20" s="26">
        <v>892.857142857143</v>
      </c>
      <c r="N20" s="26">
        <v>892.857142857143</v>
      </c>
      <c r="O20" s="26">
        <f t="shared" si="4"/>
        <v>10714.28571</v>
      </c>
      <c r="P20" s="26">
        <f>(O20/12)*(1+Panel!$B$43)</f>
        <v>997.3214286</v>
      </c>
      <c r="Q20" s="26">
        <f t="shared" ref="Q20:AA20" si="41">P20</f>
        <v>997.3214286</v>
      </c>
      <c r="R20" s="26">
        <f t="shared" si="41"/>
        <v>997.3214286</v>
      </c>
      <c r="S20" s="26">
        <f t="shared" si="41"/>
        <v>997.3214286</v>
      </c>
      <c r="T20" s="26">
        <f t="shared" si="41"/>
        <v>997.3214286</v>
      </c>
      <c r="U20" s="26">
        <f t="shared" si="41"/>
        <v>997.3214286</v>
      </c>
      <c r="V20" s="26">
        <f t="shared" si="41"/>
        <v>997.3214286</v>
      </c>
      <c r="W20" s="26">
        <f t="shared" si="41"/>
        <v>997.3214286</v>
      </c>
      <c r="X20" s="26">
        <f t="shared" si="41"/>
        <v>997.3214286</v>
      </c>
      <c r="Y20" s="26">
        <f t="shared" si="41"/>
        <v>997.3214286</v>
      </c>
      <c r="Z20" s="26">
        <f t="shared" si="41"/>
        <v>997.3214286</v>
      </c>
      <c r="AA20" s="26">
        <f t="shared" si="41"/>
        <v>997.3214286</v>
      </c>
      <c r="AB20" s="26">
        <f t="shared" si="7"/>
        <v>11967.85714</v>
      </c>
      <c r="AC20" s="26">
        <f>(AB20/12)*(1+Panel!$B$43)</f>
        <v>1114.008036</v>
      </c>
      <c r="AD20" s="26">
        <f t="shared" ref="AD20:AN20" si="42">AC20</f>
        <v>1114.008036</v>
      </c>
      <c r="AE20" s="26">
        <f t="shared" si="42"/>
        <v>1114.008036</v>
      </c>
      <c r="AF20" s="26">
        <f t="shared" si="42"/>
        <v>1114.008036</v>
      </c>
      <c r="AG20" s="26">
        <f t="shared" si="42"/>
        <v>1114.008036</v>
      </c>
      <c r="AH20" s="26">
        <f t="shared" si="42"/>
        <v>1114.008036</v>
      </c>
      <c r="AI20" s="26">
        <f t="shared" si="42"/>
        <v>1114.008036</v>
      </c>
      <c r="AJ20" s="26">
        <f t="shared" si="42"/>
        <v>1114.008036</v>
      </c>
      <c r="AK20" s="26">
        <f t="shared" si="42"/>
        <v>1114.008036</v>
      </c>
      <c r="AL20" s="26">
        <f t="shared" si="42"/>
        <v>1114.008036</v>
      </c>
      <c r="AM20" s="26">
        <f t="shared" si="42"/>
        <v>1114.008036</v>
      </c>
      <c r="AN20" s="26">
        <f t="shared" si="42"/>
        <v>1114.008036</v>
      </c>
      <c r="AO20" s="26">
        <f t="shared" si="10"/>
        <v>13368.09643</v>
      </c>
      <c r="AP20" s="26">
        <f>(AO20)*(1+Panel!$B$43)</f>
        <v>14932.16371</v>
      </c>
      <c r="AQ20" s="26">
        <f>(AP20)*(1+Panel!$B$43)</f>
        <v>16679.22686</v>
      </c>
      <c r="AR20" s="26">
        <f>(AQ20)*(1+Panel!$B$43)</f>
        <v>18630.69641</v>
      </c>
      <c r="AS20" s="26">
        <f>(AR20)*(1+Panel!$B$43)</f>
        <v>20810.48789</v>
      </c>
      <c r="AT20" s="26">
        <f>(AS20)*(1+Panel!$B$43)</f>
        <v>23245.31497</v>
      </c>
      <c r="AU20" s="26">
        <f>(AT20)*(1+Panel!$B$43)</f>
        <v>25965.01682</v>
      </c>
      <c r="AV20" s="26">
        <f>(AU20)*(1+Panel!$B$43)</f>
        <v>29002.92379</v>
      </c>
      <c r="AW20" s="26">
        <f>(AV20)*(1+Panel!$B$43)</f>
        <v>32396.26587</v>
      </c>
      <c r="AX20" s="26">
        <f>(AW20)*(1+Panel!$B$43)</f>
        <v>36186.62898</v>
      </c>
      <c r="AY20" s="26">
        <f>(AX20)*(1+Panel!$B$43)</f>
        <v>40420.46457</v>
      </c>
      <c r="AZ20" s="26">
        <f>(AY20)*(1+Panel!$B$43)</f>
        <v>45149.65893</v>
      </c>
      <c r="BA20" s="26">
        <f>(AZ20)*(1+Panel!$B$43)</f>
        <v>50432.16902</v>
      </c>
      <c r="BB20" s="26">
        <f>(BA20)*(1+Panel!$B$43)</f>
        <v>56332.7328</v>
      </c>
      <c r="BC20" s="26">
        <f>(BB20)*(1+Panel!$B$43)</f>
        <v>62923.66253</v>
      </c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</row>
    <row r="21" ht="12.75" customHeight="1">
      <c r="A21" s="218" t="s">
        <v>257</v>
      </c>
      <c r="B21" s="219" t="s">
        <v>258</v>
      </c>
      <c r="C21" s="26">
        <v>83.33333333333336</v>
      </c>
      <c r="D21" s="26">
        <v>83.33333333333336</v>
      </c>
      <c r="E21" s="26">
        <v>83.33333333333336</v>
      </c>
      <c r="F21" s="26">
        <v>83.33333333333336</v>
      </c>
      <c r="G21" s="26">
        <v>83.33333333333336</v>
      </c>
      <c r="H21" s="26">
        <v>83.33333333333336</v>
      </c>
      <c r="I21" s="26">
        <v>83.33333333333336</v>
      </c>
      <c r="J21" s="26">
        <v>83.33333333333336</v>
      </c>
      <c r="K21" s="26">
        <v>83.33333333333336</v>
      </c>
      <c r="L21" s="26">
        <v>83.33333333333336</v>
      </c>
      <c r="M21" s="26">
        <v>83.33333333333336</v>
      </c>
      <c r="N21" s="26">
        <v>83.33333333333336</v>
      </c>
      <c r="O21" s="26">
        <f t="shared" si="4"/>
        <v>1000</v>
      </c>
      <c r="P21" s="26">
        <f>(O21/12)*(1+Panel!$B$43)</f>
        <v>93.08333333</v>
      </c>
      <c r="Q21" s="26">
        <f t="shared" ref="Q21:AA21" si="43">P21</f>
        <v>93.08333333</v>
      </c>
      <c r="R21" s="26">
        <f t="shared" si="43"/>
        <v>93.08333333</v>
      </c>
      <c r="S21" s="26">
        <f t="shared" si="43"/>
        <v>93.08333333</v>
      </c>
      <c r="T21" s="26">
        <f t="shared" si="43"/>
        <v>93.08333333</v>
      </c>
      <c r="U21" s="26">
        <f t="shared" si="43"/>
        <v>93.08333333</v>
      </c>
      <c r="V21" s="26">
        <f t="shared" si="43"/>
        <v>93.08333333</v>
      </c>
      <c r="W21" s="26">
        <f t="shared" si="43"/>
        <v>93.08333333</v>
      </c>
      <c r="X21" s="26">
        <f t="shared" si="43"/>
        <v>93.08333333</v>
      </c>
      <c r="Y21" s="26">
        <f t="shared" si="43"/>
        <v>93.08333333</v>
      </c>
      <c r="Z21" s="26">
        <f t="shared" si="43"/>
        <v>93.08333333</v>
      </c>
      <c r="AA21" s="26">
        <f t="shared" si="43"/>
        <v>93.08333333</v>
      </c>
      <c r="AB21" s="26">
        <f t="shared" si="7"/>
        <v>1117</v>
      </c>
      <c r="AC21" s="26">
        <f>(AB21/12)*(1+Panel!$B$43)</f>
        <v>103.9740833</v>
      </c>
      <c r="AD21" s="26">
        <f t="shared" ref="AD21:AN21" si="44">AC21</f>
        <v>103.9740833</v>
      </c>
      <c r="AE21" s="26">
        <f t="shared" si="44"/>
        <v>103.9740833</v>
      </c>
      <c r="AF21" s="26">
        <f t="shared" si="44"/>
        <v>103.9740833</v>
      </c>
      <c r="AG21" s="26">
        <f t="shared" si="44"/>
        <v>103.9740833</v>
      </c>
      <c r="AH21" s="26">
        <f t="shared" si="44"/>
        <v>103.9740833</v>
      </c>
      <c r="AI21" s="26">
        <f t="shared" si="44"/>
        <v>103.9740833</v>
      </c>
      <c r="AJ21" s="26">
        <f t="shared" si="44"/>
        <v>103.9740833</v>
      </c>
      <c r="AK21" s="26">
        <f t="shared" si="44"/>
        <v>103.9740833</v>
      </c>
      <c r="AL21" s="26">
        <f t="shared" si="44"/>
        <v>103.9740833</v>
      </c>
      <c r="AM21" s="26">
        <f t="shared" si="44"/>
        <v>103.9740833</v>
      </c>
      <c r="AN21" s="26">
        <f t="shared" si="44"/>
        <v>103.9740833</v>
      </c>
      <c r="AO21" s="26">
        <f t="shared" si="10"/>
        <v>1247.689</v>
      </c>
      <c r="AP21" s="26">
        <f>(AO21)*(1+Panel!$B$43)</f>
        <v>1393.668613</v>
      </c>
      <c r="AQ21" s="26">
        <f>(AP21)*(1+Panel!$B$43)</f>
        <v>1556.727841</v>
      </c>
      <c r="AR21" s="26">
        <f>(AQ21)*(1+Panel!$B$43)</f>
        <v>1738.864998</v>
      </c>
      <c r="AS21" s="26">
        <f>(AR21)*(1+Panel!$B$43)</f>
        <v>1942.312203</v>
      </c>
      <c r="AT21" s="26">
        <f>(AS21)*(1+Panel!$B$43)</f>
        <v>2169.562731</v>
      </c>
      <c r="AU21" s="26">
        <f>(AT21)*(1+Panel!$B$43)</f>
        <v>2423.40157</v>
      </c>
      <c r="AV21" s="26">
        <f>(AU21)*(1+Panel!$B$43)</f>
        <v>2706.939554</v>
      </c>
      <c r="AW21" s="26">
        <f>(AV21)*(1+Panel!$B$43)</f>
        <v>3023.651482</v>
      </c>
      <c r="AX21" s="26">
        <f>(AW21)*(1+Panel!$B$43)</f>
        <v>3377.418705</v>
      </c>
      <c r="AY21" s="26">
        <f>(AX21)*(1+Panel!$B$43)</f>
        <v>3772.576693</v>
      </c>
      <c r="AZ21" s="26">
        <f>(AY21)*(1+Panel!$B$43)</f>
        <v>4213.968167</v>
      </c>
      <c r="BA21" s="26">
        <f>(AZ21)*(1+Panel!$B$43)</f>
        <v>4707.002442</v>
      </c>
      <c r="BB21" s="26">
        <f>(BA21)*(1+Panel!$B$43)</f>
        <v>5257.721728</v>
      </c>
      <c r="BC21" s="26">
        <f>(BB21)*(1+Panel!$B$43)</f>
        <v>5872.87517</v>
      </c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</row>
    <row r="22" ht="12.75" customHeight="1">
      <c r="A22" s="218" t="s">
        <v>259</v>
      </c>
      <c r="B22" s="219" t="s">
        <v>260</v>
      </c>
      <c r="C22" s="26">
        <v>4.011792499999999</v>
      </c>
      <c r="D22" s="26">
        <v>4.011792499999999</v>
      </c>
      <c r="E22" s="26">
        <v>4.011792499999999</v>
      </c>
      <c r="F22" s="26">
        <v>4.011792499999999</v>
      </c>
      <c r="G22" s="26">
        <v>4.011792499999999</v>
      </c>
      <c r="H22" s="26">
        <v>4.011792499999999</v>
      </c>
      <c r="I22" s="26">
        <v>4.011792499999999</v>
      </c>
      <c r="J22" s="26">
        <v>4.011792499999999</v>
      </c>
      <c r="K22" s="26">
        <v>4.011792499999999</v>
      </c>
      <c r="L22" s="26">
        <v>4.011792499999999</v>
      </c>
      <c r="M22" s="26">
        <v>4.011792499999999</v>
      </c>
      <c r="N22" s="26">
        <v>4.011792499999999</v>
      </c>
      <c r="O22" s="26">
        <f t="shared" si="4"/>
        <v>48.14151</v>
      </c>
      <c r="P22" s="26">
        <f>(O22/12)*(1+Panel!$B$43)</f>
        <v>4.481172223</v>
      </c>
      <c r="Q22" s="26">
        <f t="shared" ref="Q22:AA22" si="45">P22</f>
        <v>4.481172223</v>
      </c>
      <c r="R22" s="26">
        <f t="shared" si="45"/>
        <v>4.481172223</v>
      </c>
      <c r="S22" s="26">
        <f t="shared" si="45"/>
        <v>4.481172223</v>
      </c>
      <c r="T22" s="26">
        <f t="shared" si="45"/>
        <v>4.481172223</v>
      </c>
      <c r="U22" s="26">
        <f t="shared" si="45"/>
        <v>4.481172223</v>
      </c>
      <c r="V22" s="26">
        <f t="shared" si="45"/>
        <v>4.481172223</v>
      </c>
      <c r="W22" s="26">
        <f t="shared" si="45"/>
        <v>4.481172223</v>
      </c>
      <c r="X22" s="26">
        <f t="shared" si="45"/>
        <v>4.481172223</v>
      </c>
      <c r="Y22" s="26">
        <f t="shared" si="45"/>
        <v>4.481172223</v>
      </c>
      <c r="Z22" s="26">
        <f t="shared" si="45"/>
        <v>4.481172223</v>
      </c>
      <c r="AA22" s="26">
        <f t="shared" si="45"/>
        <v>4.481172223</v>
      </c>
      <c r="AB22" s="26">
        <f t="shared" si="7"/>
        <v>53.77406667</v>
      </c>
      <c r="AC22" s="26">
        <f>(AB22/12)*(1+Panel!$B$43)</f>
        <v>5.005469373</v>
      </c>
      <c r="AD22" s="26">
        <f t="shared" ref="AD22:AN22" si="46">AC22</f>
        <v>5.005469373</v>
      </c>
      <c r="AE22" s="26">
        <f t="shared" si="46"/>
        <v>5.005469373</v>
      </c>
      <c r="AF22" s="26">
        <f t="shared" si="46"/>
        <v>5.005469373</v>
      </c>
      <c r="AG22" s="26">
        <f t="shared" si="46"/>
        <v>5.005469373</v>
      </c>
      <c r="AH22" s="26">
        <f t="shared" si="46"/>
        <v>5.005469373</v>
      </c>
      <c r="AI22" s="26">
        <f t="shared" si="46"/>
        <v>5.005469373</v>
      </c>
      <c r="AJ22" s="26">
        <f t="shared" si="46"/>
        <v>5.005469373</v>
      </c>
      <c r="AK22" s="26">
        <f t="shared" si="46"/>
        <v>5.005469373</v>
      </c>
      <c r="AL22" s="26">
        <f t="shared" si="46"/>
        <v>5.005469373</v>
      </c>
      <c r="AM22" s="26">
        <f t="shared" si="46"/>
        <v>5.005469373</v>
      </c>
      <c r="AN22" s="26">
        <f t="shared" si="46"/>
        <v>5.005469373</v>
      </c>
      <c r="AO22" s="26">
        <f t="shared" si="10"/>
        <v>60.06563247</v>
      </c>
      <c r="AP22" s="26">
        <f>(AO22)*(1+Panel!$B$43)</f>
        <v>67.09331147</v>
      </c>
      <c r="AQ22" s="26">
        <f>(AP22)*(1+Panel!$B$43)</f>
        <v>74.94322891</v>
      </c>
      <c r="AR22" s="26">
        <f>(AQ22)*(1+Panel!$B$43)</f>
        <v>83.71158669</v>
      </c>
      <c r="AS22" s="26">
        <f>(AR22)*(1+Panel!$B$43)</f>
        <v>93.50584234</v>
      </c>
      <c r="AT22" s="26">
        <f>(AS22)*(1+Panel!$B$43)</f>
        <v>104.4460259</v>
      </c>
      <c r="AU22" s="26">
        <f>(AT22)*(1+Panel!$B$43)</f>
        <v>116.6662109</v>
      </c>
      <c r="AV22" s="26">
        <f>(AU22)*(1+Panel!$B$43)</f>
        <v>130.3161576</v>
      </c>
      <c r="AW22" s="26">
        <f>(AV22)*(1+Panel!$B$43)</f>
        <v>145.563148</v>
      </c>
      <c r="AX22" s="26">
        <f>(AW22)*(1+Panel!$B$43)</f>
        <v>162.5940364</v>
      </c>
      <c r="AY22" s="26">
        <f>(AX22)*(1+Panel!$B$43)</f>
        <v>181.6175386</v>
      </c>
      <c r="AZ22" s="26">
        <f>(AY22)*(1+Panel!$B$43)</f>
        <v>202.8667906</v>
      </c>
      <c r="BA22" s="26">
        <f>(AZ22)*(1+Panel!$B$43)</f>
        <v>226.6022051</v>
      </c>
      <c r="BB22" s="26">
        <f>(BA22)*(1+Panel!$B$43)</f>
        <v>253.1146631</v>
      </c>
      <c r="BC22" s="26">
        <f>(BB22)*(1+Panel!$B$43)</f>
        <v>282.7290787</v>
      </c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</row>
    <row r="23" ht="12.0" customHeight="1">
      <c r="A23" s="218" t="s">
        <v>261</v>
      </c>
      <c r="B23" s="219" t="s">
        <v>262</v>
      </c>
      <c r="C23" s="26">
        <v>89.28571428571423</v>
      </c>
      <c r="D23" s="26">
        <v>89.28571428571423</v>
      </c>
      <c r="E23" s="26">
        <v>89.28571428571423</v>
      </c>
      <c r="F23" s="26">
        <v>89.28571428571423</v>
      </c>
      <c r="G23" s="26">
        <v>89.28571428571423</v>
      </c>
      <c r="H23" s="26">
        <v>89.28571428571423</v>
      </c>
      <c r="I23" s="26">
        <v>89.28571428571423</v>
      </c>
      <c r="J23" s="26">
        <v>89.28571428571423</v>
      </c>
      <c r="K23" s="26">
        <v>89.28571428571423</v>
      </c>
      <c r="L23" s="26">
        <v>89.28571428571423</v>
      </c>
      <c r="M23" s="26">
        <v>89.28571428571423</v>
      </c>
      <c r="N23" s="26">
        <v>89.28571428571423</v>
      </c>
      <c r="O23" s="26">
        <f t="shared" si="4"/>
        <v>1071.428571</v>
      </c>
      <c r="P23" s="26">
        <f>(O23/12)*(1+Panel!$B$43)</f>
        <v>99.73214286</v>
      </c>
      <c r="Q23" s="26">
        <f t="shared" ref="Q23:AA23" si="47">P23</f>
        <v>99.73214286</v>
      </c>
      <c r="R23" s="26">
        <f t="shared" si="47"/>
        <v>99.73214286</v>
      </c>
      <c r="S23" s="26">
        <f t="shared" si="47"/>
        <v>99.73214286</v>
      </c>
      <c r="T23" s="26">
        <f t="shared" si="47"/>
        <v>99.73214286</v>
      </c>
      <c r="U23" s="26">
        <f t="shared" si="47"/>
        <v>99.73214286</v>
      </c>
      <c r="V23" s="26">
        <f t="shared" si="47"/>
        <v>99.73214286</v>
      </c>
      <c r="W23" s="26">
        <f t="shared" si="47"/>
        <v>99.73214286</v>
      </c>
      <c r="X23" s="26">
        <f t="shared" si="47"/>
        <v>99.73214286</v>
      </c>
      <c r="Y23" s="26">
        <f t="shared" si="47"/>
        <v>99.73214286</v>
      </c>
      <c r="Z23" s="26">
        <f t="shared" si="47"/>
        <v>99.73214286</v>
      </c>
      <c r="AA23" s="26">
        <f t="shared" si="47"/>
        <v>99.73214286</v>
      </c>
      <c r="AB23" s="26">
        <f t="shared" si="7"/>
        <v>1196.785714</v>
      </c>
      <c r="AC23" s="26">
        <f>(AB23/12)*(1+Panel!$B$43)</f>
        <v>111.4008036</v>
      </c>
      <c r="AD23" s="26">
        <f t="shared" ref="AD23:AN23" si="48">AC23</f>
        <v>111.4008036</v>
      </c>
      <c r="AE23" s="26">
        <f t="shared" si="48"/>
        <v>111.4008036</v>
      </c>
      <c r="AF23" s="26">
        <f t="shared" si="48"/>
        <v>111.4008036</v>
      </c>
      <c r="AG23" s="26">
        <f t="shared" si="48"/>
        <v>111.4008036</v>
      </c>
      <c r="AH23" s="26">
        <f t="shared" si="48"/>
        <v>111.4008036</v>
      </c>
      <c r="AI23" s="26">
        <f t="shared" si="48"/>
        <v>111.4008036</v>
      </c>
      <c r="AJ23" s="26">
        <f t="shared" si="48"/>
        <v>111.4008036</v>
      </c>
      <c r="AK23" s="26">
        <f t="shared" si="48"/>
        <v>111.4008036</v>
      </c>
      <c r="AL23" s="26">
        <f t="shared" si="48"/>
        <v>111.4008036</v>
      </c>
      <c r="AM23" s="26">
        <f t="shared" si="48"/>
        <v>111.4008036</v>
      </c>
      <c r="AN23" s="26">
        <f t="shared" si="48"/>
        <v>111.4008036</v>
      </c>
      <c r="AO23" s="26">
        <f t="shared" si="10"/>
        <v>1336.809643</v>
      </c>
      <c r="AP23" s="26">
        <f>(AO23)*(1+Panel!$B$43)</f>
        <v>1493.216371</v>
      </c>
      <c r="AQ23" s="26">
        <f>(AP23)*(1+Panel!$B$43)</f>
        <v>1667.922686</v>
      </c>
      <c r="AR23" s="26">
        <f>(AQ23)*(1+Panel!$B$43)</f>
        <v>1863.069641</v>
      </c>
      <c r="AS23" s="26">
        <f>(AR23)*(1+Panel!$B$43)</f>
        <v>2081.048789</v>
      </c>
      <c r="AT23" s="26">
        <f>(AS23)*(1+Panel!$B$43)</f>
        <v>2324.531497</v>
      </c>
      <c r="AU23" s="26">
        <f>(AT23)*(1+Panel!$B$43)</f>
        <v>2596.501682</v>
      </c>
      <c r="AV23" s="26">
        <f>(AU23)*(1+Panel!$B$43)</f>
        <v>2900.292379</v>
      </c>
      <c r="AW23" s="26">
        <f>(AV23)*(1+Panel!$B$43)</f>
        <v>3239.626587</v>
      </c>
      <c r="AX23" s="26">
        <f>(AW23)*(1+Panel!$B$43)</f>
        <v>3618.662898</v>
      </c>
      <c r="AY23" s="26">
        <f>(AX23)*(1+Panel!$B$43)</f>
        <v>4042.046457</v>
      </c>
      <c r="AZ23" s="26">
        <f>(AY23)*(1+Panel!$B$43)</f>
        <v>4514.965893</v>
      </c>
      <c r="BA23" s="26">
        <f>(AZ23)*(1+Panel!$B$43)</f>
        <v>5043.216902</v>
      </c>
      <c r="BB23" s="26">
        <f>(BA23)*(1+Panel!$B$43)</f>
        <v>5633.27328</v>
      </c>
      <c r="BC23" s="26">
        <f>(BB23)*(1+Panel!$B$43)</f>
        <v>6292.366253</v>
      </c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</row>
    <row r="24" ht="12.75" customHeight="1">
      <c r="A24" s="265"/>
      <c r="B24" s="266" t="s">
        <v>56</v>
      </c>
      <c r="C24" s="236">
        <f t="shared" ref="C24:BC24" si="49">SUM(C8:C23)</f>
        <v>2004.120792</v>
      </c>
      <c r="D24" s="236">
        <f t="shared" si="49"/>
        <v>2004.120792</v>
      </c>
      <c r="E24" s="236">
        <f t="shared" si="49"/>
        <v>2004.120792</v>
      </c>
      <c r="F24" s="236">
        <f t="shared" si="49"/>
        <v>2004.120792</v>
      </c>
      <c r="G24" s="236">
        <f t="shared" si="49"/>
        <v>2004.120792</v>
      </c>
      <c r="H24" s="236">
        <f t="shared" si="49"/>
        <v>2004.120792</v>
      </c>
      <c r="I24" s="236">
        <f t="shared" si="49"/>
        <v>2004.120792</v>
      </c>
      <c r="J24" s="236">
        <f t="shared" si="49"/>
        <v>2004.120792</v>
      </c>
      <c r="K24" s="236">
        <f t="shared" si="49"/>
        <v>2004.120792</v>
      </c>
      <c r="L24" s="236">
        <f t="shared" si="49"/>
        <v>2004.120792</v>
      </c>
      <c r="M24" s="236">
        <f t="shared" si="49"/>
        <v>2004.120792</v>
      </c>
      <c r="N24" s="236">
        <f t="shared" si="49"/>
        <v>2004.120792</v>
      </c>
      <c r="O24" s="236">
        <f t="shared" si="49"/>
        <v>24049.44951</v>
      </c>
      <c r="P24" s="236">
        <f t="shared" si="49"/>
        <v>2130.075624</v>
      </c>
      <c r="Q24" s="236">
        <f t="shared" si="49"/>
        <v>2130.075624</v>
      </c>
      <c r="R24" s="236">
        <f t="shared" si="49"/>
        <v>2130.075624</v>
      </c>
      <c r="S24" s="236">
        <f t="shared" si="49"/>
        <v>2130.075624</v>
      </c>
      <c r="T24" s="236">
        <f t="shared" si="49"/>
        <v>2130.075624</v>
      </c>
      <c r="U24" s="236">
        <f t="shared" si="49"/>
        <v>2130.075624</v>
      </c>
      <c r="V24" s="236">
        <f t="shared" si="49"/>
        <v>2130.075624</v>
      </c>
      <c r="W24" s="236">
        <f t="shared" si="49"/>
        <v>2130.075624</v>
      </c>
      <c r="X24" s="236">
        <f t="shared" si="49"/>
        <v>2130.075624</v>
      </c>
      <c r="Y24" s="236">
        <f t="shared" si="49"/>
        <v>2130.075624</v>
      </c>
      <c r="Z24" s="236">
        <f t="shared" si="49"/>
        <v>2130.075624</v>
      </c>
      <c r="AA24" s="236">
        <f t="shared" si="49"/>
        <v>2130.075624</v>
      </c>
      <c r="AB24" s="236">
        <f t="shared" si="49"/>
        <v>25560.90749</v>
      </c>
      <c r="AC24" s="236">
        <f t="shared" si="49"/>
        <v>2281.878282</v>
      </c>
      <c r="AD24" s="236">
        <f t="shared" si="49"/>
        <v>2281.878282</v>
      </c>
      <c r="AE24" s="236">
        <f t="shared" si="49"/>
        <v>2281.878282</v>
      </c>
      <c r="AF24" s="236">
        <f t="shared" si="49"/>
        <v>2281.878282</v>
      </c>
      <c r="AG24" s="236">
        <f t="shared" si="49"/>
        <v>2281.878282</v>
      </c>
      <c r="AH24" s="236">
        <f t="shared" si="49"/>
        <v>2281.878282</v>
      </c>
      <c r="AI24" s="236">
        <f t="shared" si="49"/>
        <v>2281.878282</v>
      </c>
      <c r="AJ24" s="236">
        <f t="shared" si="49"/>
        <v>2281.878282</v>
      </c>
      <c r="AK24" s="236">
        <f t="shared" si="49"/>
        <v>2281.878282</v>
      </c>
      <c r="AL24" s="236">
        <f t="shared" si="49"/>
        <v>2281.878282</v>
      </c>
      <c r="AM24" s="236">
        <f t="shared" si="49"/>
        <v>2281.878282</v>
      </c>
      <c r="AN24" s="236">
        <f t="shared" si="49"/>
        <v>2281.878282</v>
      </c>
      <c r="AO24" s="236">
        <f t="shared" si="49"/>
        <v>27382.53939</v>
      </c>
      <c r="AP24" s="236">
        <f t="shared" si="49"/>
        <v>29268.36889</v>
      </c>
      <c r="AQ24" s="236">
        <f t="shared" si="49"/>
        <v>31374.84043</v>
      </c>
      <c r="AR24" s="236">
        <f t="shared" si="49"/>
        <v>33727.76915</v>
      </c>
      <c r="AS24" s="236">
        <f t="shared" si="49"/>
        <v>36355.99053</v>
      </c>
      <c r="AT24" s="236">
        <f t="shared" si="49"/>
        <v>39291.71382</v>
      </c>
      <c r="AU24" s="236">
        <f t="shared" si="49"/>
        <v>42570.91672</v>
      </c>
      <c r="AV24" s="236">
        <f t="shared" si="49"/>
        <v>46233.78637</v>
      </c>
      <c r="AW24" s="236">
        <f t="shared" si="49"/>
        <v>50325.21176</v>
      </c>
      <c r="AX24" s="236">
        <f t="shared" si="49"/>
        <v>54895.33392</v>
      </c>
      <c r="AY24" s="236">
        <f t="shared" si="49"/>
        <v>60000.16038</v>
      </c>
      <c r="AZ24" s="236">
        <f t="shared" si="49"/>
        <v>65702.25154</v>
      </c>
      <c r="BA24" s="236">
        <f t="shared" si="49"/>
        <v>72071.48736</v>
      </c>
      <c r="BB24" s="236">
        <f t="shared" si="49"/>
        <v>79185.92376</v>
      </c>
      <c r="BC24" s="236">
        <f t="shared" si="49"/>
        <v>87132.74923</v>
      </c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</row>
    <row r="27" ht="12.75" customHeight="1">
      <c r="A27" s="1" t="s">
        <v>263</v>
      </c>
      <c r="B27" s="2"/>
      <c r="C27" s="2"/>
      <c r="D27" s="2"/>
      <c r="E27" s="2"/>
      <c r="F27" s="70"/>
      <c r="G27" s="70"/>
      <c r="H27" s="70"/>
      <c r="I27" s="70"/>
      <c r="J27" s="70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6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</row>
    <row r="28" ht="12.75" customHeight="1">
      <c r="A28" s="1" t="s">
        <v>264</v>
      </c>
      <c r="B28" s="2"/>
      <c r="C28" s="2"/>
      <c r="D28" s="2"/>
      <c r="E28" s="2"/>
      <c r="F28" s="70"/>
      <c r="G28" s="70"/>
      <c r="H28" s="70"/>
      <c r="I28" s="70"/>
      <c r="J28" s="70"/>
      <c r="K28" s="2"/>
      <c r="L28" s="2"/>
      <c r="M28" s="2"/>
      <c r="N28" s="2"/>
      <c r="O28" s="2"/>
      <c r="P28" s="2"/>
      <c r="Q28" s="2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"/>
      <c r="BQ28" s="2"/>
      <c r="BR28" s="2"/>
      <c r="BS28" s="2"/>
      <c r="BT28" s="2"/>
      <c r="BU28" s="2"/>
      <c r="BV28" s="2"/>
      <c r="BW28" s="2"/>
    </row>
    <row r="29" ht="12.75" customHeight="1">
      <c r="A29" s="1"/>
      <c r="B29" s="2"/>
      <c r="C29" s="2"/>
      <c r="D29" s="2"/>
      <c r="E29" s="2"/>
      <c r="F29" s="70"/>
      <c r="G29" s="70"/>
      <c r="H29" s="70"/>
      <c r="I29" s="70"/>
      <c r="J29" s="70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</row>
    <row r="30" ht="12.75" customHeight="1">
      <c r="A30" s="16" t="s">
        <v>265</v>
      </c>
      <c r="B30" s="2"/>
      <c r="C30" s="2"/>
      <c r="D30" s="2"/>
      <c r="E30" s="2"/>
      <c r="F30" s="70"/>
      <c r="G30" s="267"/>
      <c r="H30" s="70"/>
      <c r="I30" s="70"/>
      <c r="J30" s="70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</row>
    <row r="31" ht="12.75" customHeight="1">
      <c r="A31" s="1"/>
      <c r="B31" s="2"/>
      <c r="C31" s="2"/>
      <c r="D31" s="2"/>
      <c r="E31" s="2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</row>
    <row r="32" ht="12.75" customHeight="1">
      <c r="A32" s="2" t="s">
        <v>24</v>
      </c>
      <c r="B32" s="2"/>
      <c r="C32" s="26">
        <f>Panel!B30</f>
        <v>85000</v>
      </c>
      <c r="D32" s="2" t="s">
        <v>266</v>
      </c>
      <c r="E32" s="2"/>
      <c r="F32" s="70" t="s">
        <v>267</v>
      </c>
      <c r="G32" s="268"/>
      <c r="H32" s="70"/>
      <c r="I32" s="70"/>
      <c r="J32" s="70"/>
      <c r="K32" s="70"/>
      <c r="L32" s="70"/>
      <c r="M32" s="70"/>
      <c r="N32" s="70"/>
      <c r="O32" s="70"/>
      <c r="P32" s="70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</row>
    <row r="33" ht="12.75" customHeight="1">
      <c r="A33" s="2" t="s">
        <v>26</v>
      </c>
      <c r="B33" s="2"/>
      <c r="C33" s="26">
        <f>Panel!B31</f>
        <v>4325</v>
      </c>
      <c r="D33" s="2" t="s">
        <v>266</v>
      </c>
      <c r="E33" s="2"/>
      <c r="F33" s="70"/>
      <c r="G33" s="268"/>
      <c r="H33" s="2"/>
      <c r="I33" s="70"/>
      <c r="J33" s="70"/>
      <c r="K33" s="70"/>
      <c r="L33" s="70"/>
      <c r="M33" s="70"/>
      <c r="N33" s="70"/>
      <c r="O33" s="70"/>
      <c r="P33" s="70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</row>
    <row r="34" ht="12.75" customHeight="1">
      <c r="A34" s="2" t="s">
        <v>27</v>
      </c>
      <c r="B34" s="2"/>
      <c r="C34" s="28">
        <f>Panel!B32</f>
        <v>0.06</v>
      </c>
      <c r="D34" s="2"/>
      <c r="E34" s="2"/>
      <c r="F34" s="70"/>
      <c r="G34" s="269"/>
      <c r="H34" s="70"/>
      <c r="I34" s="70"/>
      <c r="J34" s="70"/>
      <c r="K34" s="70"/>
      <c r="L34" s="70"/>
      <c r="M34" s="70"/>
      <c r="N34" s="70"/>
      <c r="O34" s="70"/>
      <c r="P34" s="70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</row>
    <row r="35" ht="12.75" customHeight="1">
      <c r="A35" s="2" t="s">
        <v>28</v>
      </c>
      <c r="B35" s="2"/>
      <c r="C35" s="28">
        <f>Panel!B33</f>
        <v>0.05</v>
      </c>
      <c r="D35" s="2"/>
      <c r="E35" s="2"/>
      <c r="F35" s="70"/>
      <c r="G35" s="269"/>
      <c r="H35" s="70"/>
      <c r="I35" s="70"/>
      <c r="J35" s="70"/>
      <c r="K35" s="70"/>
      <c r="L35" s="70"/>
      <c r="M35" s="70"/>
      <c r="N35" s="70"/>
      <c r="O35" s="70"/>
      <c r="P35" s="70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</row>
    <row r="36" ht="12.75" customHeight="1">
      <c r="A36" s="2" t="s">
        <v>29</v>
      </c>
      <c r="B36" s="2"/>
      <c r="C36" s="26">
        <f>Panel!B34</f>
        <v>4250</v>
      </c>
      <c r="D36" s="2" t="s">
        <v>266</v>
      </c>
      <c r="E36" s="2"/>
      <c r="F36" s="70"/>
      <c r="G36" s="269"/>
      <c r="H36" s="70"/>
      <c r="I36" s="70"/>
      <c r="J36" s="70"/>
      <c r="K36" s="24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</row>
    <row r="37" ht="12.75" customHeight="1">
      <c r="A37" s="2" t="s">
        <v>30</v>
      </c>
      <c r="B37" s="2"/>
      <c r="C37" s="26">
        <f>Panel!B35</f>
        <v>29750</v>
      </c>
      <c r="D37" s="2" t="s">
        <v>266</v>
      </c>
      <c r="E37" s="2"/>
      <c r="F37" s="2"/>
      <c r="G37" s="269"/>
      <c r="H37" s="70"/>
      <c r="I37" s="70"/>
      <c r="J37" s="70"/>
      <c r="K37" s="24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</row>
    <row r="38" ht="12.75" customHeight="1">
      <c r="A38" s="2" t="s">
        <v>31</v>
      </c>
      <c r="B38" s="2"/>
      <c r="C38" s="26">
        <f>Panel!B36</f>
        <v>5100</v>
      </c>
      <c r="D38" s="2" t="s">
        <v>266</v>
      </c>
      <c r="E38" s="2"/>
      <c r="F38" s="70"/>
      <c r="G38" s="270"/>
      <c r="H38" s="70"/>
      <c r="I38" s="70"/>
      <c r="J38" s="70"/>
      <c r="K38" s="9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</row>
    <row r="39" ht="12.75" customHeight="1">
      <c r="A39" s="2" t="s">
        <v>35</v>
      </c>
      <c r="B39" s="2"/>
      <c r="C39" s="28">
        <f>Panel!B39</f>
        <v>0.015</v>
      </c>
      <c r="D39" s="2"/>
      <c r="E39" s="2"/>
      <c r="F39" s="70"/>
      <c r="G39" s="270"/>
      <c r="H39" s="70"/>
      <c r="I39" s="70"/>
      <c r="J39" s="70"/>
      <c r="K39" s="9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</row>
    <row r="40" ht="12.75" customHeight="1">
      <c r="A40" s="30" t="s">
        <v>36</v>
      </c>
      <c r="B40" s="2"/>
      <c r="C40" s="28">
        <f>Panel!B40</f>
        <v>0.02</v>
      </c>
      <c r="D40" s="2"/>
      <c r="E40" s="2"/>
      <c r="F40" s="70"/>
      <c r="G40" s="270"/>
      <c r="H40" s="70"/>
      <c r="I40" s="70"/>
      <c r="J40" s="70"/>
      <c r="K40" s="9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</row>
    <row r="41" ht="12.75" customHeight="1">
      <c r="A41" s="30" t="s">
        <v>37</v>
      </c>
      <c r="B41" s="2"/>
      <c r="C41" s="28">
        <f>Panel!B41</f>
        <v>0.03</v>
      </c>
      <c r="D41" s="2"/>
      <c r="E41" s="2"/>
      <c r="F41" s="70"/>
      <c r="G41" s="270"/>
      <c r="H41" s="70"/>
      <c r="I41" s="70"/>
      <c r="J41" s="70"/>
      <c r="K41" s="9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</row>
    <row r="42" ht="12.75" customHeight="1">
      <c r="A42" s="2"/>
      <c r="B42" s="2"/>
      <c r="C42" s="2"/>
      <c r="D42" s="2"/>
      <c r="E42" s="2"/>
      <c r="F42" s="70"/>
      <c r="G42" s="70"/>
      <c r="H42" s="70"/>
      <c r="I42" s="70"/>
      <c r="J42" s="70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</row>
    <row r="43" ht="12.75" customHeight="1">
      <c r="A43" s="34" t="s">
        <v>268</v>
      </c>
      <c r="B43" s="2"/>
      <c r="C43" s="2"/>
      <c r="D43" s="2"/>
      <c r="E43" s="2"/>
      <c r="F43" s="70"/>
      <c r="G43" s="70"/>
      <c r="H43" s="70"/>
      <c r="I43" s="70"/>
      <c r="J43" s="70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</row>
    <row r="44" ht="12.75" customHeight="1">
      <c r="A44" s="36" t="s">
        <v>269</v>
      </c>
      <c r="B44" s="36" t="s">
        <v>125</v>
      </c>
      <c r="C44" s="271" t="s">
        <v>270</v>
      </c>
      <c r="D44" s="56"/>
      <c r="E44" s="56"/>
      <c r="F44" s="56"/>
      <c r="G44" s="56"/>
      <c r="H44" s="57"/>
      <c r="I44" s="37" t="s">
        <v>271</v>
      </c>
      <c r="J44" s="56"/>
      <c r="K44" s="57"/>
      <c r="L44" s="37" t="s">
        <v>272</v>
      </c>
      <c r="M44" s="57"/>
      <c r="N44" s="36" t="s">
        <v>273</v>
      </c>
      <c r="O44" s="272" t="s">
        <v>274</v>
      </c>
      <c r="P44" s="272" t="s">
        <v>275</v>
      </c>
      <c r="Q44" s="273" t="s">
        <v>276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</row>
    <row r="45" ht="12.75" customHeight="1">
      <c r="A45" s="41"/>
      <c r="B45" s="41"/>
      <c r="C45" s="42" t="s">
        <v>277</v>
      </c>
      <c r="D45" s="42" t="s">
        <v>278</v>
      </c>
      <c r="E45" s="42" t="s">
        <v>279</v>
      </c>
      <c r="F45" s="42" t="s">
        <v>280</v>
      </c>
      <c r="G45" s="274" t="s">
        <v>281</v>
      </c>
      <c r="H45" s="274" t="s">
        <v>282</v>
      </c>
      <c r="I45" s="274" t="s">
        <v>283</v>
      </c>
      <c r="J45" s="274" t="s">
        <v>284</v>
      </c>
      <c r="K45" s="274" t="s">
        <v>285</v>
      </c>
      <c r="L45" s="275" t="s">
        <v>286</v>
      </c>
      <c r="M45" s="275" t="s">
        <v>287</v>
      </c>
      <c r="N45" s="41"/>
      <c r="O45" s="41"/>
      <c r="P45" s="41"/>
      <c r="Q45" s="276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</row>
    <row r="46" ht="12.75" customHeight="1">
      <c r="A46" s="277" t="s">
        <v>187</v>
      </c>
      <c r="B46" s="163" t="s">
        <v>288</v>
      </c>
      <c r="C46" s="26">
        <v>1.0</v>
      </c>
      <c r="D46" s="26" t="s">
        <v>289</v>
      </c>
      <c r="E46" s="181">
        <v>1.0</v>
      </c>
      <c r="F46" s="26">
        <f t="shared" ref="F46:F47" si="50">C46*E46</f>
        <v>1</v>
      </c>
      <c r="G46" s="26">
        <f>400000/0.81</f>
        <v>493827.1605</v>
      </c>
      <c r="H46" s="278">
        <f t="shared" ref="H46:H47" si="51">F46*G46</f>
        <v>493827.1605</v>
      </c>
      <c r="I46" s="278">
        <f t="shared" ref="I46:I47" si="52">IF((90%*G46*$C$34)&lt;($C$38),($C$38),((90%*G46)*$C$34))*F46-J46</f>
        <v>4444.444444</v>
      </c>
      <c r="J46" s="278">
        <f t="shared" ref="J46:J47" si="53">IF((G46*90%*$C$35)&lt;($C$36),($C$36),IF((G46*90%*$C$35)&gt;($C$37),($C$37),(G46*90%*$C$35)))*F46</f>
        <v>22222.22222</v>
      </c>
      <c r="K46" s="278">
        <f t="shared" ref="K46:K47" si="54">SUM(I46,J46)</f>
        <v>26666.66667</v>
      </c>
      <c r="L46" s="278">
        <f t="shared" ref="L46:L47" si="55">H46*10%</f>
        <v>49382.71605</v>
      </c>
      <c r="M46" s="278">
        <f t="shared" ref="M46:M47" si="56">(G46*90%-$C$34)*10%*F46</f>
        <v>44444.43844</v>
      </c>
      <c r="N46" s="278">
        <f t="shared" ref="N46:N47" si="57">H46*$C$39</f>
        <v>7407.407407</v>
      </c>
      <c r="O46" s="278">
        <f t="shared" ref="O46:O47" si="58">H46*$C$40</f>
        <v>9876.54321</v>
      </c>
      <c r="P46" s="278">
        <f t="shared" ref="P46:P47" si="59">H46*$C$41</f>
        <v>14814.81481</v>
      </c>
      <c r="Q46" s="278">
        <f t="shared" ref="Q46:Q47" si="60">H46-L46-M46</f>
        <v>400000.006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</row>
    <row r="47" ht="12.75" customHeight="1">
      <c r="A47" s="277" t="s">
        <v>188</v>
      </c>
      <c r="B47" s="163" t="s">
        <v>290</v>
      </c>
      <c r="C47" s="26">
        <v>1.0</v>
      </c>
      <c r="D47" s="26" t="s">
        <v>289</v>
      </c>
      <c r="E47" s="181">
        <v>1.0</v>
      </c>
      <c r="F47" s="26">
        <f t="shared" si="50"/>
        <v>1</v>
      </c>
      <c r="G47" s="26">
        <f>200000/0.81</f>
        <v>246913.5802</v>
      </c>
      <c r="H47" s="278">
        <f t="shared" si="51"/>
        <v>246913.5802</v>
      </c>
      <c r="I47" s="278">
        <f t="shared" si="52"/>
        <v>2222.222222</v>
      </c>
      <c r="J47" s="278">
        <f t="shared" si="53"/>
        <v>11111.11111</v>
      </c>
      <c r="K47" s="278">
        <f t="shared" si="54"/>
        <v>13333.33333</v>
      </c>
      <c r="L47" s="278">
        <f t="shared" si="55"/>
        <v>24691.35802</v>
      </c>
      <c r="M47" s="278">
        <f t="shared" si="56"/>
        <v>22222.21622</v>
      </c>
      <c r="N47" s="278">
        <f t="shared" si="57"/>
        <v>3703.703704</v>
      </c>
      <c r="O47" s="278">
        <f t="shared" si="58"/>
        <v>4938.271605</v>
      </c>
      <c r="P47" s="278">
        <f t="shared" si="59"/>
        <v>7407.407407</v>
      </c>
      <c r="Q47" s="278">
        <f t="shared" si="60"/>
        <v>200000.006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</row>
    <row r="48" ht="12.75" customHeight="1">
      <c r="A48" s="279"/>
      <c r="B48" s="280" t="s">
        <v>56</v>
      </c>
      <c r="C48" s="281">
        <f>SUM(C46:C47)</f>
        <v>2</v>
      </c>
      <c r="D48" s="281"/>
      <c r="E48" s="232"/>
      <c r="F48" s="281"/>
      <c r="G48" s="281"/>
      <c r="H48" s="281">
        <f t="shared" ref="H48:Q48" si="61">SUM(H46:H47)</f>
        <v>740740.7407</v>
      </c>
      <c r="I48" s="281">
        <f t="shared" si="61"/>
        <v>6666.666667</v>
      </c>
      <c r="J48" s="281">
        <f t="shared" si="61"/>
        <v>33333.33333</v>
      </c>
      <c r="K48" s="281">
        <f t="shared" si="61"/>
        <v>40000</v>
      </c>
      <c r="L48" s="281">
        <f t="shared" si="61"/>
        <v>74074.07407</v>
      </c>
      <c r="M48" s="281">
        <f t="shared" si="61"/>
        <v>66666.65467</v>
      </c>
      <c r="N48" s="281">
        <f t="shared" si="61"/>
        <v>11111.11111</v>
      </c>
      <c r="O48" s="281">
        <f t="shared" si="61"/>
        <v>14814.81481</v>
      </c>
      <c r="P48" s="281">
        <f t="shared" si="61"/>
        <v>22222.22222</v>
      </c>
      <c r="Q48" s="281">
        <f t="shared" si="61"/>
        <v>600000.012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</row>
  </sheetData>
  <mergeCells count="9">
    <mergeCell ref="P44:P45"/>
    <mergeCell ref="Q44:Q45"/>
    <mergeCell ref="A44:A45"/>
    <mergeCell ref="B44:B45"/>
    <mergeCell ref="C44:H44"/>
    <mergeCell ref="I44:K44"/>
    <mergeCell ref="L44:M44"/>
    <mergeCell ref="N44:N45"/>
    <mergeCell ref="O44:O45"/>
  </mergeCells>
  <printOptions/>
  <pageMargins bottom="0.52" footer="0.0" header="0.0" left="0.75" right="0.75" top="0.48"/>
  <pageSetup paperSize="9" scale="5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 outlineLevelCol="1"/>
  <cols>
    <col customWidth="1" min="1" max="1" width="10.86"/>
    <col customWidth="1" min="2" max="2" width="21.14"/>
    <col customWidth="1" min="3" max="3" width="20.29"/>
    <col customWidth="1" min="4" max="4" width="15.0"/>
    <col customWidth="1" min="5" max="5" width="11.71" outlineLevel="1"/>
    <col customWidth="1" min="6" max="6" width="11.71"/>
    <col customWidth="1" min="7" max="7" width="18.0" outlineLevel="1"/>
    <col customWidth="1" min="8" max="8" width="15.14"/>
    <col customWidth="1" min="9" max="9" width="11.71" outlineLevel="1"/>
    <col customWidth="1" min="10" max="11" width="11.71"/>
    <col customWidth="1" min="12" max="12" width="8.86"/>
    <col customWidth="1" min="13" max="13" width="29.29"/>
    <col customWidth="1" min="14" max="14" width="8.86"/>
    <col customWidth="1" min="15" max="15" width="11.71"/>
    <col customWidth="1" min="16" max="16" width="13.86"/>
    <col customWidth="1" min="17" max="26" width="8.86"/>
  </cols>
  <sheetData>
    <row r="1" ht="12.75" customHeight="1">
      <c r="A1" s="1" t="str">
        <f>Panel!A1</f>
        <v/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 t="str">
        <f>Panel!A2</f>
        <v>Строительство ГЭС -5 МВТ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" t="s">
        <v>291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2"/>
      <c r="B5" s="2"/>
      <c r="C5" s="2"/>
      <c r="D5" s="28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233" t="s">
        <v>292</v>
      </c>
      <c r="B6" s="26"/>
      <c r="C6" s="26"/>
      <c r="D6" s="283"/>
      <c r="E6" s="26"/>
      <c r="F6" s="26"/>
      <c r="G6" s="26"/>
      <c r="H6" s="26"/>
      <c r="I6" s="26"/>
      <c r="J6" s="26"/>
      <c r="K6" s="2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6" t="s">
        <v>293</v>
      </c>
      <c r="B8" s="2"/>
      <c r="C8" s="284">
        <f>C9*60%</f>
        <v>0.084</v>
      </c>
      <c r="D8" s="2"/>
      <c r="E8" s="26"/>
      <c r="F8" s="26"/>
      <c r="G8" s="24"/>
      <c r="H8" s="26"/>
      <c r="I8" s="26"/>
      <c r="J8" s="26"/>
      <c r="K8" s="2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6" t="s">
        <v>294</v>
      </c>
      <c r="B9" s="2"/>
      <c r="C9" s="284">
        <v>0.14</v>
      </c>
      <c r="D9" s="2"/>
      <c r="E9" s="26"/>
      <c r="F9" s="26"/>
      <c r="G9" s="26"/>
      <c r="H9" s="26"/>
      <c r="I9" s="26"/>
      <c r="J9" s="26"/>
      <c r="K9" s="2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6" t="s">
        <v>295</v>
      </c>
      <c r="B10" s="2"/>
      <c r="C10" s="29">
        <v>81.0</v>
      </c>
      <c r="D10" s="2" t="s">
        <v>296</v>
      </c>
      <c r="E10" s="26"/>
      <c r="F10" s="26"/>
      <c r="G10" s="26"/>
      <c r="H10" s="26"/>
      <c r="I10" s="26"/>
      <c r="J10" s="26"/>
      <c r="K10" s="2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4"/>
      <c r="B11" s="2"/>
      <c r="C11" s="26"/>
      <c r="D11" s="2"/>
      <c r="E11" s="26"/>
      <c r="F11" s="26"/>
      <c r="G11" s="26"/>
      <c r="H11" s="26"/>
      <c r="I11" s="26"/>
      <c r="J11" s="26"/>
      <c r="K11" s="2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34" t="s">
        <v>42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85" t="s">
        <v>231</v>
      </c>
      <c r="B13" s="285" t="s">
        <v>297</v>
      </c>
      <c r="C13" s="285" t="s">
        <v>298</v>
      </c>
      <c r="D13" s="285" t="s">
        <v>299</v>
      </c>
      <c r="E13" s="285" t="s">
        <v>300</v>
      </c>
      <c r="F13" s="285" t="s">
        <v>300</v>
      </c>
      <c r="G13" s="285" t="s">
        <v>301</v>
      </c>
      <c r="H13" s="285" t="s">
        <v>302</v>
      </c>
      <c r="I13" s="285" t="s">
        <v>303</v>
      </c>
      <c r="J13" s="285" t="s">
        <v>303</v>
      </c>
      <c r="K13" s="285" t="s">
        <v>304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86">
        <v>2026.0</v>
      </c>
      <c r="B14" s="26">
        <v>1.0</v>
      </c>
      <c r="C14" s="26"/>
      <c r="D14" s="26">
        <f>'Займ 776'!D14+'Займ 1 578'!D14</f>
        <v>228834.5794</v>
      </c>
      <c r="E14" s="26">
        <f>'Займ 776'!E14+'Займ 1 578'!E14</f>
        <v>0</v>
      </c>
      <c r="F14" s="26">
        <f>'Займ 776'!F14+'Займ 1 578'!F14</f>
        <v>0</v>
      </c>
      <c r="G14" s="26">
        <f>'Займ 776'!G14+'Займ 1 578'!G14</f>
        <v>0</v>
      </c>
      <c r="H14" s="287">
        <f>'Займ 776'!H14+'Займ 1 578'!H14</f>
        <v>228834.5794</v>
      </c>
      <c r="I14" s="26">
        <f>'Займ 776'!I14+'Займ 1 578'!I14</f>
        <v>0</v>
      </c>
      <c r="J14" s="26">
        <f>'Займ 776'!J14+'Займ 1 578'!J14</f>
        <v>0</v>
      </c>
      <c r="K14" s="26">
        <f>'Займ 776'!K14+'Займ 1 578'!K14</f>
        <v>0</v>
      </c>
      <c r="L14" s="2"/>
      <c r="M14" s="6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B15" s="26">
        <v>2.0</v>
      </c>
      <c r="C15" s="26"/>
      <c r="D15" s="26">
        <f>'Займ 776'!D15+'Займ 1 578'!D15</f>
        <v>193338.7741</v>
      </c>
      <c r="E15" s="26">
        <f>'Займ 776'!E15+'Займ 1 578'!E15</f>
        <v>0</v>
      </c>
      <c r="F15" s="26">
        <f>'Займ 776'!F15+'Займ 1 578'!F15</f>
        <v>0</v>
      </c>
      <c r="G15" s="26">
        <f>'Займ 776'!G15+'Займ 1 578'!G15</f>
        <v>0</v>
      </c>
      <c r="H15" s="26">
        <f>'Займ 776'!H15+'Займ 1 578'!H15</f>
        <v>422173.3535</v>
      </c>
      <c r="I15" s="26">
        <f>'Займ 776'!I15+'Займ 1 578'!I15</f>
        <v>0</v>
      </c>
      <c r="J15" s="26">
        <f>'Займ 776'!J15+'Займ 1 578'!J15</f>
        <v>0</v>
      </c>
      <c r="K15" s="26">
        <f>'Займ 776'!K15+'Займ 1 578'!K15</f>
        <v>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B16" s="26">
        <v>3.0</v>
      </c>
      <c r="C16" s="26"/>
      <c r="D16" s="26">
        <f>'Займ 776'!D16+'Займ 1 578'!D16</f>
        <v>193338.7741</v>
      </c>
      <c r="E16" s="26">
        <f>'Займ 776'!E16+'Займ 1 578'!E16</f>
        <v>0</v>
      </c>
      <c r="F16" s="26">
        <f>'Займ 776'!F16+'Займ 1 578'!F16</f>
        <v>0</v>
      </c>
      <c r="G16" s="26">
        <f>'Займ 776'!G16+'Займ 1 578'!G16</f>
        <v>0</v>
      </c>
      <c r="H16" s="26">
        <f>'Займ 776'!H16+'Займ 1 578'!H16</f>
        <v>615512.1276</v>
      </c>
      <c r="I16" s="26">
        <f>'Займ 776'!I16+'Займ 1 578'!I16</f>
        <v>0</v>
      </c>
      <c r="J16" s="26">
        <f>'Займ 776'!J16+'Займ 1 578'!J16</f>
        <v>0</v>
      </c>
      <c r="K16" s="26">
        <f>'Займ 776'!K16+'Займ 1 578'!K16</f>
        <v>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B17" s="26">
        <v>4.0</v>
      </c>
      <c r="C17" s="26"/>
      <c r="D17" s="26">
        <f>'Займ 776'!D17+'Займ 1 578'!D17</f>
        <v>193338.7741</v>
      </c>
      <c r="E17" s="26">
        <f>'Займ 776'!E17+'Займ 1 578'!E17</f>
        <v>0</v>
      </c>
      <c r="F17" s="26">
        <f>'Займ 776'!F17+'Займ 1 578'!F17</f>
        <v>0</v>
      </c>
      <c r="G17" s="26">
        <f>'Займ 776'!G17+'Займ 1 578'!G17</f>
        <v>4718.296926</v>
      </c>
      <c r="H17" s="26">
        <f>'Займ 776'!H17+'Займ 1 578'!H17</f>
        <v>808850.9017</v>
      </c>
      <c r="I17" s="26">
        <f>'Займ 776'!I17+'Займ 1 578'!I17</f>
        <v>4718.296926</v>
      </c>
      <c r="J17" s="26">
        <f>'Займ 776'!J17+'Займ 1 578'!J17</f>
        <v>4718.296926</v>
      </c>
      <c r="K17" s="26">
        <f>'Займ 776'!K17+'Займ 1 578'!K17</f>
        <v>4718.296926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B18" s="26">
        <v>5.0</v>
      </c>
      <c r="C18" s="26"/>
      <c r="D18" s="26">
        <f>'Займ 776'!D18+'Займ 1 578'!D18</f>
        <v>193338.7741</v>
      </c>
      <c r="E18" s="26">
        <f>'Займ 776'!E18+'Займ 1 578'!E18</f>
        <v>0</v>
      </c>
      <c r="F18" s="26">
        <f>'Займ 776'!F18+'Займ 1 578'!F18</f>
        <v>0</v>
      </c>
      <c r="G18" s="26">
        <f>'Займ 776'!G18+'Займ 1 578'!G18</f>
        <v>5846.106442</v>
      </c>
      <c r="H18" s="26">
        <f>'Займ 776'!H18+'Займ 1 578'!H18</f>
        <v>1002189.676</v>
      </c>
      <c r="I18" s="26">
        <f>'Займ 776'!I18+'Займ 1 578'!I18</f>
        <v>5846.106442</v>
      </c>
      <c r="J18" s="26">
        <f>'Займ 776'!J18+'Займ 1 578'!J18</f>
        <v>5846.106442</v>
      </c>
      <c r="K18" s="26">
        <f>'Займ 776'!K18+'Займ 1 578'!K18</f>
        <v>5846.106442</v>
      </c>
      <c r="L18" s="2"/>
      <c r="M18" s="2"/>
      <c r="N18" s="2"/>
      <c r="O18" s="2"/>
      <c r="P18" s="26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B19" s="26">
        <v>6.0</v>
      </c>
      <c r="C19" s="26"/>
      <c r="D19" s="26">
        <f>'Займ 776'!D19+'Займ 1 578'!D19</f>
        <v>193338.7741</v>
      </c>
      <c r="E19" s="26">
        <f>'Займ 776'!E19+'Займ 1 578'!E19</f>
        <v>0</v>
      </c>
      <c r="F19" s="26">
        <f>'Займ 776'!F19+'Займ 1 578'!F19</f>
        <v>0</v>
      </c>
      <c r="G19" s="26">
        <f>'Займ 776'!G19+'Займ 1 578'!G19</f>
        <v>6973.915957</v>
      </c>
      <c r="H19" s="26">
        <f>'Займ 776'!H19+'Займ 1 578'!H19</f>
        <v>1195528.45</v>
      </c>
      <c r="I19" s="26">
        <f>'Займ 776'!I19+'Займ 1 578'!I19</f>
        <v>6973.915957</v>
      </c>
      <c r="J19" s="26">
        <f>'Займ 776'!J19+'Займ 1 578'!J19</f>
        <v>6973.915957</v>
      </c>
      <c r="K19" s="26">
        <f>'Займ 776'!K19+'Займ 1 578'!K19</f>
        <v>6973.915957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B20" s="26">
        <v>7.0</v>
      </c>
      <c r="C20" s="26"/>
      <c r="D20" s="26">
        <f>'Займ 776'!D20+'Займ 1 578'!D20</f>
        <v>193338.7741</v>
      </c>
      <c r="E20" s="26">
        <f>'Займ 776'!E20+'Займ 1 578'!E20</f>
        <v>0</v>
      </c>
      <c r="F20" s="26">
        <f>'Займ 776'!F20+'Займ 1 578'!F20</f>
        <v>0</v>
      </c>
      <c r="G20" s="26">
        <f>'Займ 776'!G20+'Займ 1 578'!G20</f>
        <v>8101.725473</v>
      </c>
      <c r="H20" s="26">
        <f>'Займ 776'!H20+'Займ 1 578'!H20</f>
        <v>1388867.224</v>
      </c>
      <c r="I20" s="26">
        <f>'Займ 776'!I20+'Займ 1 578'!I20</f>
        <v>8101.725473</v>
      </c>
      <c r="J20" s="26">
        <f>'Займ 776'!J20+'Займ 1 578'!J20</f>
        <v>8101.725473</v>
      </c>
      <c r="K20" s="26">
        <f>'Займ 776'!K20+'Займ 1 578'!K20</f>
        <v>8101.725473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B21" s="26">
        <v>8.0</v>
      </c>
      <c r="C21" s="26"/>
      <c r="D21" s="26">
        <f>'Займ 776'!D21+'Займ 1 578'!D21</f>
        <v>193338.7741</v>
      </c>
      <c r="E21" s="26">
        <f>'Займ 776'!E21+'Займ 1 578'!E21</f>
        <v>0</v>
      </c>
      <c r="F21" s="26">
        <f>'Займ 776'!F21+'Займ 1 578'!F21</f>
        <v>0</v>
      </c>
      <c r="G21" s="26">
        <f>'Займ 776'!G21+'Займ 1 578'!G21</f>
        <v>9229.534988</v>
      </c>
      <c r="H21" s="26">
        <f>'Займ 776'!H21+'Займ 1 578'!H21</f>
        <v>1582205.998</v>
      </c>
      <c r="I21" s="26">
        <f>'Займ 776'!I21+'Займ 1 578'!I21</f>
        <v>9229.534988</v>
      </c>
      <c r="J21" s="26">
        <f>'Займ 776'!J21+'Займ 1 578'!J21</f>
        <v>9229.534988</v>
      </c>
      <c r="K21" s="26">
        <f>'Займ 776'!K21+'Займ 1 578'!K21</f>
        <v>9229.534988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B22" s="26">
        <v>9.0</v>
      </c>
      <c r="C22" s="26"/>
      <c r="D22" s="26">
        <f>'Займ 776'!D22+'Займ 1 578'!D22</f>
        <v>193338.7741</v>
      </c>
      <c r="E22" s="26">
        <f>'Займ 776'!E22+'Займ 1 578'!E22</f>
        <v>0</v>
      </c>
      <c r="F22" s="26">
        <f>'Займ 776'!F22+'Займ 1 578'!F22</f>
        <v>0</v>
      </c>
      <c r="G22" s="26">
        <f>'Займ 776'!G22+'Займ 1 578'!G22</f>
        <v>10357.3445</v>
      </c>
      <c r="H22" s="26">
        <f>'Займ 776'!H22+'Займ 1 578'!H22</f>
        <v>1775544.772</v>
      </c>
      <c r="I22" s="26">
        <f>'Займ 776'!I22+'Займ 1 578'!I22</f>
        <v>10357.3445</v>
      </c>
      <c r="J22" s="26">
        <f>'Займ 776'!J22+'Займ 1 578'!J22</f>
        <v>10357.3445</v>
      </c>
      <c r="K22" s="26">
        <f>'Займ 776'!K22+'Займ 1 578'!K22</f>
        <v>10357.3445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B23" s="26">
        <v>10.0</v>
      </c>
      <c r="C23" s="26"/>
      <c r="D23" s="26">
        <f>'Займ 776'!D23+'Займ 1 578'!D23</f>
        <v>193338.7741</v>
      </c>
      <c r="E23" s="26">
        <f>'Займ 776'!E23+'Займ 1 578'!E23</f>
        <v>0</v>
      </c>
      <c r="F23" s="26">
        <f>'Займ 776'!F23+'Займ 1 578'!F23</f>
        <v>0</v>
      </c>
      <c r="G23" s="26">
        <f>'Займ 776'!G23+'Займ 1 578'!G23</f>
        <v>11485.15402</v>
      </c>
      <c r="H23" s="26">
        <f>'Займ 776'!H23+'Займ 1 578'!H23</f>
        <v>1968883.546</v>
      </c>
      <c r="I23" s="26">
        <f>'Займ 776'!I23+'Займ 1 578'!I23</f>
        <v>11485.15402</v>
      </c>
      <c r="J23" s="26">
        <f>'Займ 776'!J23+'Займ 1 578'!J23</f>
        <v>11485.15402</v>
      </c>
      <c r="K23" s="26">
        <f>'Займ 776'!K23+'Займ 1 578'!K23</f>
        <v>11485.15402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B24" s="26">
        <v>11.0</v>
      </c>
      <c r="C24" s="26"/>
      <c r="D24" s="26">
        <f>'Займ 776'!D24+'Займ 1 578'!D24</f>
        <v>193338.7741</v>
      </c>
      <c r="E24" s="26">
        <f>'Займ 776'!E24+'Займ 1 578'!E24</f>
        <v>0</v>
      </c>
      <c r="F24" s="26">
        <f>'Займ 776'!F24+'Займ 1 578'!F24</f>
        <v>0</v>
      </c>
      <c r="G24" s="26">
        <f>'Займ 776'!G24+'Займ 1 578'!G24</f>
        <v>12612.96353</v>
      </c>
      <c r="H24" s="26">
        <f>'Займ 776'!H24+'Займ 1 578'!H24</f>
        <v>2162222.32</v>
      </c>
      <c r="I24" s="26">
        <f>'Займ 776'!I24+'Займ 1 578'!I24</f>
        <v>12612.96353</v>
      </c>
      <c r="J24" s="26">
        <f>'Займ 776'!J24+'Займ 1 578'!J24</f>
        <v>12612.96353</v>
      </c>
      <c r="K24" s="26">
        <f>'Займ 776'!K24+'Займ 1 578'!K24</f>
        <v>12612.96353</v>
      </c>
      <c r="L24" s="2"/>
      <c r="M24" s="2"/>
      <c r="N24" s="2"/>
      <c r="O24" s="2"/>
      <c r="P24" s="2"/>
      <c r="Q24" s="24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98"/>
      <c r="B25" s="26">
        <v>12.0</v>
      </c>
      <c r="C25" s="26"/>
      <c r="D25" s="72">
        <f>'Займ 776'!D25+'Займ 1 578'!D25</f>
        <v>193338.7741</v>
      </c>
      <c r="E25" s="72">
        <f>'Займ 776'!E25+'Займ 1 578'!E25</f>
        <v>0</v>
      </c>
      <c r="F25" s="72">
        <f>'Займ 776'!F25+'Займ 1 578'!F25</f>
        <v>0</v>
      </c>
      <c r="G25" s="72">
        <f>'Займ 776'!G25+'Займ 1 578'!G25</f>
        <v>13740.77305</v>
      </c>
      <c r="H25" s="72">
        <f>'Займ 776'!H25+'Займ 1 578'!H25</f>
        <v>2355561.094</v>
      </c>
      <c r="I25" s="72">
        <f>'Займ 776'!I25+'Займ 1 578'!I25</f>
        <v>13740.77305</v>
      </c>
      <c r="J25" s="72">
        <f>'Займ 776'!J25+'Займ 1 578'!J25</f>
        <v>13740.77305</v>
      </c>
      <c r="K25" s="72">
        <f>'Займ 776'!K25+'Займ 1 578'!K25</f>
        <v>13740.77305</v>
      </c>
      <c r="L25" s="26"/>
      <c r="M25" s="26"/>
      <c r="N25" s="26"/>
      <c r="O25" s="26"/>
      <c r="P25" s="26"/>
      <c r="Q25" s="24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86">
        <v>2027.0</v>
      </c>
      <c r="B26" s="287">
        <v>1.0</v>
      </c>
      <c r="C26" s="287"/>
      <c r="D26" s="26">
        <f>'Займ 776'!D26+'Займ 1 578'!D26</f>
        <v>0</v>
      </c>
      <c r="E26" s="26">
        <f>'Займ 776'!E26+'Займ 1 578'!E26</f>
        <v>0</v>
      </c>
      <c r="F26" s="26">
        <f>'Займ 776'!F26+'Займ 1 578'!F26</f>
        <v>0</v>
      </c>
      <c r="G26" s="26">
        <f>'Займ 776'!G26+'Займ 1 578'!G26</f>
        <v>13740.77305</v>
      </c>
      <c r="H26" s="26">
        <f>'Займ 776'!H26+'Займ 1 578'!H26</f>
        <v>2355561.094</v>
      </c>
      <c r="I26" s="26">
        <f>'Займ 776'!I26+'Займ 1 578'!I26</f>
        <v>13740.77305</v>
      </c>
      <c r="J26" s="26">
        <f>'Займ 776'!J26+'Займ 1 578'!J26</f>
        <v>0</v>
      </c>
      <c r="K26" s="26">
        <f>'Займ 776'!K26+'Займ 1 578'!K26</f>
        <v>13740.77305</v>
      </c>
      <c r="L26" s="2"/>
      <c r="M26" s="2"/>
      <c r="N26" s="2"/>
      <c r="O26" s="2"/>
      <c r="P26" s="2"/>
      <c r="Q26" s="24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B27" s="26">
        <v>2.0</v>
      </c>
      <c r="C27" s="26"/>
      <c r="D27" s="26">
        <f>'Займ 776'!D27+'Займ 1 578'!D27</f>
        <v>0</v>
      </c>
      <c r="E27" s="26">
        <f>'Займ 776'!E27+'Займ 1 578'!E27</f>
        <v>0</v>
      </c>
      <c r="F27" s="26">
        <f>'Займ 776'!F27+'Займ 1 578'!F27</f>
        <v>0</v>
      </c>
      <c r="G27" s="26">
        <f>'Займ 776'!G27+'Займ 1 578'!G27</f>
        <v>13740.77305</v>
      </c>
      <c r="H27" s="26">
        <f>'Займ 776'!H27+'Займ 1 578'!H27</f>
        <v>2355561.094</v>
      </c>
      <c r="I27" s="26">
        <f>'Займ 776'!I27+'Займ 1 578'!I27</f>
        <v>13740.77305</v>
      </c>
      <c r="J27" s="26">
        <f>'Займ 776'!J27+'Займ 1 578'!J27</f>
        <v>0</v>
      </c>
      <c r="K27" s="26">
        <f>'Займ 776'!K27+'Займ 1 578'!K27</f>
        <v>13740.77305</v>
      </c>
      <c r="L27" s="2"/>
      <c r="M27" s="2"/>
      <c r="N27" s="2"/>
      <c r="O27" s="2"/>
      <c r="P27" s="2"/>
      <c r="Q27" s="24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B28" s="26">
        <v>3.0</v>
      </c>
      <c r="C28" s="26"/>
      <c r="D28" s="26">
        <f>'Займ 776'!D28+'Займ 1 578'!D28</f>
        <v>0</v>
      </c>
      <c r="E28" s="26">
        <f>'Займ 776'!E28+'Займ 1 578'!E28</f>
        <v>0</v>
      </c>
      <c r="F28" s="26">
        <f>'Займ 776'!F28+'Займ 1 578'!F28</f>
        <v>0</v>
      </c>
      <c r="G28" s="26">
        <f>'Займ 776'!G28+'Займ 1 578'!G28</f>
        <v>13740.77305</v>
      </c>
      <c r="H28" s="26">
        <f>'Займ 776'!H28+'Займ 1 578'!H28</f>
        <v>2355561.094</v>
      </c>
      <c r="I28" s="26">
        <f>'Займ 776'!I28+'Займ 1 578'!I28</f>
        <v>13740.77305</v>
      </c>
      <c r="J28" s="26">
        <f>'Займ 776'!J28+'Займ 1 578'!J28</f>
        <v>0</v>
      </c>
      <c r="K28" s="26">
        <f>'Займ 776'!K28+'Займ 1 578'!K28</f>
        <v>13740.77305</v>
      </c>
      <c r="L28" s="2"/>
      <c r="M28" s="2"/>
      <c r="N28" s="2"/>
      <c r="O28" s="2"/>
      <c r="P28" s="2"/>
      <c r="Q28" s="24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B29" s="26">
        <v>4.0</v>
      </c>
      <c r="C29" s="26"/>
      <c r="D29" s="26">
        <f>'Займ 776'!D29+'Займ 1 578'!D29</f>
        <v>0</v>
      </c>
      <c r="E29" s="26">
        <f>'Займ 776'!E29+'Займ 1 578'!E29</f>
        <v>22832.83781</v>
      </c>
      <c r="F29" s="26">
        <f>'Займ 776'!F29+'Займ 1 578'!F29</f>
        <v>0</v>
      </c>
      <c r="G29" s="26">
        <f>'Займ 776'!G29+'Займ 1 578'!G29</f>
        <v>13740.77305</v>
      </c>
      <c r="H29" s="26">
        <f>'Займ 776'!H29+'Займ 1 578'!H29</f>
        <v>2332728.257</v>
      </c>
      <c r="I29" s="26">
        <f>'Займ 776'!I29+'Займ 1 578'!I29</f>
        <v>13740.77305</v>
      </c>
      <c r="J29" s="26">
        <f>'Займ 776'!J29+'Займ 1 578'!J29</f>
        <v>0</v>
      </c>
      <c r="K29" s="26">
        <f>'Займ 776'!K29+'Займ 1 578'!K29</f>
        <v>36573.61086</v>
      </c>
      <c r="L29" s="2"/>
      <c r="M29" s="2"/>
      <c r="N29" s="2"/>
      <c r="O29" s="2"/>
      <c r="P29" s="2"/>
      <c r="Q29" s="24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B30" s="26">
        <v>5.0</v>
      </c>
      <c r="C30" s="26"/>
      <c r="D30" s="26">
        <f>'Займ 776'!D30+'Займ 1 578'!D30</f>
        <v>0</v>
      </c>
      <c r="E30" s="26">
        <f>'Займ 776'!E30+'Займ 1 578'!E30</f>
        <v>22966.02936</v>
      </c>
      <c r="F30" s="26">
        <f>'Займ 776'!F30+'Займ 1 578'!F30</f>
        <v>0</v>
      </c>
      <c r="G30" s="26">
        <f>'Займ 776'!G30+'Займ 1 578'!G30</f>
        <v>13607.5815</v>
      </c>
      <c r="H30" s="26">
        <f>'Займ 776'!H30+'Займ 1 578'!H30</f>
        <v>2309762.227</v>
      </c>
      <c r="I30" s="26">
        <f>'Займ 776'!I30+'Займ 1 578'!I30</f>
        <v>13607.5815</v>
      </c>
      <c r="J30" s="26">
        <f>'Займ 776'!J30+'Займ 1 578'!J30</f>
        <v>0</v>
      </c>
      <c r="K30" s="26">
        <f>'Займ 776'!K30+'Займ 1 578'!K30</f>
        <v>36573.61086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B31" s="26">
        <v>6.0</v>
      </c>
      <c r="C31" s="26"/>
      <c r="D31" s="26">
        <f>'Займ 776'!D31+'Займ 1 578'!D31</f>
        <v>0</v>
      </c>
      <c r="E31" s="26">
        <f>'Займ 776'!E31+'Займ 1 578'!E31</f>
        <v>23099.99787</v>
      </c>
      <c r="F31" s="26">
        <f>'Займ 776'!F31+'Займ 1 578'!F31</f>
        <v>0</v>
      </c>
      <c r="G31" s="26">
        <f>'Займ 776'!G31+'Займ 1 578'!G31</f>
        <v>13473.61299</v>
      </c>
      <c r="H31" s="26">
        <f>'Займ 776'!H31+'Займ 1 578'!H31</f>
        <v>2286662.229</v>
      </c>
      <c r="I31" s="26">
        <f>'Займ 776'!I31+'Займ 1 578'!I31</f>
        <v>13473.61299</v>
      </c>
      <c r="J31" s="26">
        <f>'Займ 776'!J31+'Займ 1 578'!J31</f>
        <v>0</v>
      </c>
      <c r="K31" s="26">
        <f>'Займ 776'!K31+'Займ 1 578'!K31</f>
        <v>36573.61086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B32" s="26">
        <v>7.0</v>
      </c>
      <c r="C32" s="26"/>
      <c r="D32" s="26">
        <f>'Займ 776'!D32+'Займ 1 578'!D32</f>
        <v>0</v>
      </c>
      <c r="E32" s="26">
        <f>'Займ 776'!E32+'Займ 1 578'!E32</f>
        <v>23234.74785</v>
      </c>
      <c r="F32" s="26">
        <f>'Займ 776'!F32+'Займ 1 578'!F32</f>
        <v>24541.56535</v>
      </c>
      <c r="G32" s="26">
        <f>'Займ 776'!G32+'Займ 1 578'!G32</f>
        <v>13338.863</v>
      </c>
      <c r="H32" s="26">
        <f>'Займ 776'!H32+'Займ 1 578'!H32</f>
        <v>2263427.481</v>
      </c>
      <c r="I32" s="26">
        <f>'Займ 776'!I32+'Займ 1 578'!I32</f>
        <v>13338.863</v>
      </c>
      <c r="J32" s="26">
        <f>'Займ 776'!J32+'Займ 1 578'!J32</f>
        <v>18669.99661</v>
      </c>
      <c r="K32" s="26">
        <f>'Займ 776'!K32+'Займ 1 578'!K32</f>
        <v>36573.61086</v>
      </c>
      <c r="L32" s="2"/>
      <c r="M32" s="2" t="s">
        <v>305</v>
      </c>
      <c r="N32" s="24">
        <v>0.7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B33" s="26">
        <v>8.0</v>
      </c>
      <c r="C33" s="26"/>
      <c r="D33" s="26">
        <f>'Займ 776'!D33+'Займ 1 578'!D33</f>
        <v>0</v>
      </c>
      <c r="E33" s="26">
        <f>'Займ 776'!E33+'Займ 1 578'!E33</f>
        <v>23370.28388</v>
      </c>
      <c r="F33" s="26">
        <f>'Займ 776'!F33+'Займ 1 578'!F33</f>
        <v>24541.56535</v>
      </c>
      <c r="G33" s="26">
        <f>'Займ 776'!G33+'Займ 1 578'!G33</f>
        <v>13203.32698</v>
      </c>
      <c r="H33" s="26">
        <f>'Займ 776'!H33+'Займ 1 578'!H33</f>
        <v>2240057.198</v>
      </c>
      <c r="I33" s="26">
        <f>'Займ 776'!I33+'Займ 1 578'!I33</f>
        <v>13203.32698</v>
      </c>
      <c r="J33" s="26">
        <f>'Займ 776'!J33+'Займ 1 578'!J33</f>
        <v>18669.99661</v>
      </c>
      <c r="K33" s="26">
        <f>'Займ 776'!K33+'Займ 1 578'!K33</f>
        <v>36573.61086</v>
      </c>
      <c r="L33" s="2"/>
      <c r="M33" s="2" t="s">
        <v>306</v>
      </c>
      <c r="N33" s="24">
        <v>0.7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B34" s="26">
        <v>9.0</v>
      </c>
      <c r="C34" s="26"/>
      <c r="D34" s="26">
        <f>'Займ 776'!D34+'Займ 1 578'!D34</f>
        <v>0</v>
      </c>
      <c r="E34" s="26">
        <f>'Займ 776'!E34+'Займ 1 578'!E34</f>
        <v>23506.61054</v>
      </c>
      <c r="F34" s="26">
        <f>'Займ 776'!F34+'Займ 1 578'!F34</f>
        <v>24541.56535</v>
      </c>
      <c r="G34" s="26">
        <f>'Займ 776'!G34+'Займ 1 578'!G34</f>
        <v>13067.00032</v>
      </c>
      <c r="H34" s="26">
        <f>'Займ 776'!H34+'Займ 1 578'!H34</f>
        <v>2216550.587</v>
      </c>
      <c r="I34" s="26">
        <f>'Займ 776'!I34+'Займ 1 578'!I34</f>
        <v>13067.00032</v>
      </c>
      <c r="J34" s="26">
        <f>'Займ 776'!J34+'Займ 1 578'!J34</f>
        <v>18669.99661</v>
      </c>
      <c r="K34" s="26">
        <f>'Займ 776'!K34+'Займ 1 578'!K34</f>
        <v>36573.61086</v>
      </c>
      <c r="L34" s="2"/>
      <c r="M34" s="2" t="s">
        <v>307</v>
      </c>
      <c r="N34" s="24">
        <v>0.7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B35" s="26">
        <v>10.0</v>
      </c>
      <c r="C35" s="26"/>
      <c r="D35" s="26">
        <f>'Займ 776'!D35+'Займ 1 578'!D35</f>
        <v>0</v>
      </c>
      <c r="E35" s="26">
        <f>'Займ 776'!E35+'Займ 1 578'!E35</f>
        <v>23643.73243</v>
      </c>
      <c r="F35" s="26">
        <f>'Займ 776'!F35+'Займ 1 578'!F35</f>
        <v>24541.56535</v>
      </c>
      <c r="G35" s="26">
        <f>'Займ 776'!G35+'Займ 1 578'!G35</f>
        <v>12929.87842</v>
      </c>
      <c r="H35" s="26">
        <f>'Займ 776'!H35+'Займ 1 578'!H35</f>
        <v>2192906.855</v>
      </c>
      <c r="I35" s="26">
        <f>'Займ 776'!I35+'Займ 1 578'!I35</f>
        <v>12929.87842</v>
      </c>
      <c r="J35" s="26">
        <f>'Займ 776'!J35+'Займ 1 578'!J35</f>
        <v>18669.99661</v>
      </c>
      <c r="K35" s="26">
        <f>'Займ 776'!K35+'Займ 1 578'!K35</f>
        <v>36573.61086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B36" s="26">
        <v>11.0</v>
      </c>
      <c r="C36" s="26"/>
      <c r="D36" s="26">
        <f>'Займ 776'!D36+'Займ 1 578'!D36</f>
        <v>0</v>
      </c>
      <c r="E36" s="26">
        <f>'Займ 776'!E36+'Займ 1 578'!E36</f>
        <v>23781.65421</v>
      </c>
      <c r="F36" s="26">
        <f>'Займ 776'!F36+'Займ 1 578'!F36</f>
        <v>24541.56535</v>
      </c>
      <c r="G36" s="26">
        <f>'Займ 776'!G36+'Займ 1 578'!G36</f>
        <v>12791.95665</v>
      </c>
      <c r="H36" s="26">
        <f>'Займ 776'!H36+'Займ 1 578'!H36</f>
        <v>2169125.2</v>
      </c>
      <c r="I36" s="26">
        <f>'Займ 776'!I36+'Займ 1 578'!I36</f>
        <v>12791.95665</v>
      </c>
      <c r="J36" s="26">
        <f>'Займ 776'!J36+'Займ 1 578'!J36</f>
        <v>18669.99661</v>
      </c>
      <c r="K36" s="26">
        <f>'Займ 776'!K36+'Займ 1 578'!K36</f>
        <v>36573.61086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98"/>
      <c r="B37" s="72">
        <v>12.0</v>
      </c>
      <c r="C37" s="72"/>
      <c r="D37" s="72">
        <f>'Займ 776'!D37+'Займ 1 578'!D37</f>
        <v>0</v>
      </c>
      <c r="E37" s="72">
        <f>'Займ 776'!E37+'Займ 1 578'!E37</f>
        <v>23920.38052</v>
      </c>
      <c r="F37" s="72">
        <f>'Займ 776'!F37+'Займ 1 578'!F37</f>
        <v>24541.56535</v>
      </c>
      <c r="G37" s="72">
        <f>'Займ 776'!G37+'Займ 1 578'!G37</f>
        <v>12653.23034</v>
      </c>
      <c r="H37" s="72">
        <f>'Займ 776'!H37+'Займ 1 578'!H37</f>
        <v>2145204.82</v>
      </c>
      <c r="I37" s="72">
        <f>'Займ 776'!I37+'Займ 1 578'!I37</f>
        <v>12653.23034</v>
      </c>
      <c r="J37" s="72">
        <f>'Займ 776'!J37+'Займ 1 578'!J37</f>
        <v>18669.99661</v>
      </c>
      <c r="K37" s="72">
        <f>'Займ 776'!K37+'Займ 1 578'!K37</f>
        <v>36573.61086</v>
      </c>
      <c r="L37" s="26"/>
      <c r="M37" s="26"/>
      <c r="N37" s="26"/>
      <c r="O37" s="26"/>
      <c r="P37" s="26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86">
        <v>2028.0</v>
      </c>
      <c r="B38" s="26">
        <v>1.0</v>
      </c>
      <c r="C38" s="287"/>
      <c r="D38" s="26">
        <f>'Займ 776'!D38+'Займ 1 578'!D38</f>
        <v>0</v>
      </c>
      <c r="E38" s="26">
        <f>'Займ 776'!E38+'Займ 1 578'!E38</f>
        <v>24059.91608</v>
      </c>
      <c r="F38" s="26">
        <f>'Займ 776'!F38+'Займ 1 578'!F38</f>
        <v>0</v>
      </c>
      <c r="G38" s="26">
        <f>'Займ 776'!G38+'Займ 1 578'!G38</f>
        <v>12513.69478</v>
      </c>
      <c r="H38" s="26">
        <f>'Займ 776'!H38+'Займ 1 578'!H38</f>
        <v>2121144.904</v>
      </c>
      <c r="I38" s="26">
        <f>'Займ 776'!I38+'Займ 1 578'!I38</f>
        <v>12513.69478</v>
      </c>
      <c r="J38" s="26">
        <f>'Займ 776'!J38+'Займ 1 578'!J38</f>
        <v>0</v>
      </c>
      <c r="K38" s="26">
        <f>'Займ 776'!K38+'Займ 1 578'!K38</f>
        <v>36573.61086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B39" s="26">
        <v>2.0</v>
      </c>
      <c r="C39" s="26"/>
      <c r="D39" s="26">
        <f>'Займ 776'!D39+'Займ 1 578'!D39</f>
        <v>0</v>
      </c>
      <c r="E39" s="26">
        <f>'Займ 776'!E39+'Займ 1 578'!E39</f>
        <v>24200.26559</v>
      </c>
      <c r="F39" s="26">
        <f>'Займ 776'!F39+'Займ 1 578'!F39</f>
        <v>0</v>
      </c>
      <c r="G39" s="26">
        <f>'Займ 776'!G39+'Займ 1 578'!G39</f>
        <v>12373.34527</v>
      </c>
      <c r="H39" s="26">
        <f>'Займ 776'!H39+'Займ 1 578'!H39</f>
        <v>2096944.638</v>
      </c>
      <c r="I39" s="26">
        <f>'Займ 776'!I39+'Займ 1 578'!I39</f>
        <v>12373.34527</v>
      </c>
      <c r="J39" s="26">
        <f>'Займ 776'!J39+'Займ 1 578'!J39</f>
        <v>0</v>
      </c>
      <c r="K39" s="26">
        <f>'Займ 776'!K39+'Займ 1 578'!K39</f>
        <v>36573.61086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B40" s="26">
        <v>3.0</v>
      </c>
      <c r="C40" s="26"/>
      <c r="D40" s="26">
        <f>'Займ 776'!D40+'Займ 1 578'!D40</f>
        <v>0</v>
      </c>
      <c r="E40" s="26">
        <f>'Займ 776'!E40+'Займ 1 578'!E40</f>
        <v>24341.4338</v>
      </c>
      <c r="F40" s="26">
        <f>'Займ 776'!F40+'Займ 1 578'!F40</f>
        <v>0</v>
      </c>
      <c r="G40" s="26">
        <f>'Займ 776'!G40+'Займ 1 578'!G40</f>
        <v>12232.17706</v>
      </c>
      <c r="H40" s="26">
        <f>'Займ 776'!H40+'Займ 1 578'!H40</f>
        <v>2072603.204</v>
      </c>
      <c r="I40" s="26">
        <f>'Займ 776'!I40+'Займ 1 578'!I40</f>
        <v>12232.17706</v>
      </c>
      <c r="J40" s="26">
        <f>'Займ 776'!J40+'Займ 1 578'!J40</f>
        <v>0</v>
      </c>
      <c r="K40" s="26">
        <f>'Займ 776'!K40+'Займ 1 578'!K40</f>
        <v>36573.61086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B41" s="26">
        <v>4.0</v>
      </c>
      <c r="C41" s="26"/>
      <c r="D41" s="26">
        <f>'Займ 776'!D41+'Займ 1 578'!D41</f>
        <v>0</v>
      </c>
      <c r="E41" s="26">
        <f>'Займ 776'!E41+'Займ 1 578'!E41</f>
        <v>24483.4255</v>
      </c>
      <c r="F41" s="26">
        <f>'Займ 776'!F41+'Займ 1 578'!F41</f>
        <v>0</v>
      </c>
      <c r="G41" s="26">
        <f>'Займ 776'!G41+'Займ 1 578'!G41</f>
        <v>12090.18536</v>
      </c>
      <c r="H41" s="26">
        <f>'Займ 776'!H41+'Займ 1 578'!H41</f>
        <v>2048119.779</v>
      </c>
      <c r="I41" s="26">
        <f>'Займ 776'!I41+'Займ 1 578'!I41</f>
        <v>12090.18536</v>
      </c>
      <c r="J41" s="26">
        <f>'Займ 776'!J41+'Займ 1 578'!J41</f>
        <v>0</v>
      </c>
      <c r="K41" s="26">
        <f>'Займ 776'!K41+'Займ 1 578'!K41</f>
        <v>36573.61086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B42" s="26">
        <v>5.0</v>
      </c>
      <c r="C42" s="26"/>
      <c r="D42" s="26">
        <f>'Займ 776'!D42+'Займ 1 578'!D42</f>
        <v>0</v>
      </c>
      <c r="E42" s="26">
        <f>'Займ 776'!E42+'Займ 1 578'!E42</f>
        <v>24626.24548</v>
      </c>
      <c r="F42" s="26">
        <f>'Займ 776'!F42+'Займ 1 578'!F42</f>
        <v>0</v>
      </c>
      <c r="G42" s="26">
        <f>'Займ 776'!G42+'Займ 1 578'!G42</f>
        <v>11947.36538</v>
      </c>
      <c r="H42" s="26">
        <f>'Займ 776'!H42+'Займ 1 578'!H42</f>
        <v>2023493.533</v>
      </c>
      <c r="I42" s="26">
        <f>'Займ 776'!I42+'Займ 1 578'!I42</f>
        <v>11947.36538</v>
      </c>
      <c r="J42" s="26">
        <f>'Займ 776'!J42+'Займ 1 578'!J42</f>
        <v>0</v>
      </c>
      <c r="K42" s="26">
        <f>'Займ 776'!K42+'Займ 1 578'!K42</f>
        <v>36573.61086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B43" s="26">
        <v>6.0</v>
      </c>
      <c r="C43" s="26"/>
      <c r="D43" s="26">
        <f>'Займ 776'!D43+'Займ 1 578'!D43</f>
        <v>0</v>
      </c>
      <c r="E43" s="26">
        <f>'Займ 776'!E43+'Займ 1 578'!E43</f>
        <v>24769.89858</v>
      </c>
      <c r="F43" s="26">
        <f>'Займ 776'!F43+'Займ 1 578'!F43</f>
        <v>0</v>
      </c>
      <c r="G43" s="26">
        <f>'Займ 776'!G43+'Займ 1 578'!G43</f>
        <v>11803.71228</v>
      </c>
      <c r="H43" s="26">
        <f>'Займ 776'!H43+'Займ 1 578'!H43</f>
        <v>1998723.635</v>
      </c>
      <c r="I43" s="26">
        <f>'Займ 776'!I43+'Займ 1 578'!I43</f>
        <v>11803.71228</v>
      </c>
      <c r="J43" s="26">
        <f>'Займ 776'!J43+'Займ 1 578'!J43</f>
        <v>0</v>
      </c>
      <c r="K43" s="26">
        <f>'Займ 776'!K43+'Займ 1 578'!K43</f>
        <v>36573.61086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B44" s="26">
        <v>7.0</v>
      </c>
      <c r="C44" s="26"/>
      <c r="D44" s="26">
        <f>'Займ 776'!D44+'Займ 1 578'!D44</f>
        <v>0</v>
      </c>
      <c r="E44" s="26">
        <f>'Займ 776'!E44+'Займ 1 578'!E44</f>
        <v>24914.38965</v>
      </c>
      <c r="F44" s="26">
        <f>'Займ 776'!F44+'Займ 1 578'!F44</f>
        <v>34785.86557</v>
      </c>
      <c r="G44" s="26">
        <f>'Займ 776'!G44+'Займ 1 578'!G44</f>
        <v>11659.2212</v>
      </c>
      <c r="H44" s="26">
        <f>'Займ 776'!H44+'Займ 1 578'!H44</f>
        <v>1973809.245</v>
      </c>
      <c r="I44" s="26">
        <f>'Займ 776'!I44+'Займ 1 578'!I44</f>
        <v>11659.2212</v>
      </c>
      <c r="J44" s="26">
        <f>'Займ 776'!J44+'Займ 1 578'!J44</f>
        <v>16417.18963</v>
      </c>
      <c r="K44" s="26">
        <f>'Займ 776'!K44+'Займ 1 578'!K44</f>
        <v>36573.61086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B45" s="26">
        <v>8.0</v>
      </c>
      <c r="C45" s="26"/>
      <c r="D45" s="26">
        <f>'Займ 776'!D45+'Займ 1 578'!D45</f>
        <v>0</v>
      </c>
      <c r="E45" s="26">
        <f>'Займ 776'!E45+'Займ 1 578'!E45</f>
        <v>25059.72359</v>
      </c>
      <c r="F45" s="26">
        <f>'Займ 776'!F45+'Займ 1 578'!F45</f>
        <v>34785.86557</v>
      </c>
      <c r="G45" s="26">
        <f>'Займ 776'!G45+'Займ 1 578'!G45</f>
        <v>11513.88726</v>
      </c>
      <c r="H45" s="26">
        <f>'Займ 776'!H45+'Займ 1 578'!H45</f>
        <v>1948749.522</v>
      </c>
      <c r="I45" s="26">
        <f>'Займ 776'!I45+'Займ 1 578'!I45</f>
        <v>11513.88726</v>
      </c>
      <c r="J45" s="26">
        <f>'Займ 776'!J45+'Займ 1 578'!J45</f>
        <v>16417.18963</v>
      </c>
      <c r="K45" s="26">
        <f>'Займ 776'!K45+'Займ 1 578'!K45</f>
        <v>36573.61086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B46" s="26">
        <v>9.0</v>
      </c>
      <c r="C46" s="26"/>
      <c r="D46" s="26">
        <f>'Займ 776'!D46+'Займ 1 578'!D46</f>
        <v>0</v>
      </c>
      <c r="E46" s="26">
        <f>'Займ 776'!E46+'Займ 1 578'!E46</f>
        <v>25205.90531</v>
      </c>
      <c r="F46" s="26">
        <f>'Займ 776'!F46+'Займ 1 578'!F46</f>
        <v>34785.86557</v>
      </c>
      <c r="G46" s="26">
        <f>'Займ 776'!G46+'Займ 1 578'!G46</f>
        <v>11367.70554</v>
      </c>
      <c r="H46" s="26">
        <f>'Займ 776'!H46+'Займ 1 578'!H46</f>
        <v>1923543.616</v>
      </c>
      <c r="I46" s="26">
        <f>'Займ 776'!I46+'Займ 1 578'!I46</f>
        <v>11367.70554</v>
      </c>
      <c r="J46" s="26">
        <f>'Займ 776'!J46+'Займ 1 578'!J46</f>
        <v>16417.18963</v>
      </c>
      <c r="K46" s="26">
        <f>'Займ 776'!K46+'Займ 1 578'!K46</f>
        <v>36573.61086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B47" s="26">
        <v>10.0</v>
      </c>
      <c r="C47" s="26"/>
      <c r="D47" s="26">
        <f>'Займ 776'!D47+'Займ 1 578'!D47</f>
        <v>0</v>
      </c>
      <c r="E47" s="26">
        <f>'Займ 776'!E47+'Займ 1 578'!E47</f>
        <v>25352.93976</v>
      </c>
      <c r="F47" s="26">
        <f>'Займ 776'!F47+'Займ 1 578'!F47</f>
        <v>34785.86557</v>
      </c>
      <c r="G47" s="26">
        <f>'Займ 776'!G47+'Займ 1 578'!G47</f>
        <v>11220.67109</v>
      </c>
      <c r="H47" s="26">
        <f>'Займ 776'!H47+'Займ 1 578'!H47</f>
        <v>1898190.677</v>
      </c>
      <c r="I47" s="26">
        <f>'Займ 776'!I47+'Займ 1 578'!I47</f>
        <v>11220.67109</v>
      </c>
      <c r="J47" s="26">
        <f>'Займ 776'!J47+'Займ 1 578'!J47</f>
        <v>16417.18963</v>
      </c>
      <c r="K47" s="26">
        <f>'Займ 776'!K47+'Займ 1 578'!K47</f>
        <v>36573.61086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B48" s="26">
        <v>11.0</v>
      </c>
      <c r="C48" s="26"/>
      <c r="D48" s="26">
        <f>'Займ 776'!D48+'Займ 1 578'!D48</f>
        <v>0</v>
      </c>
      <c r="E48" s="26">
        <f>'Займ 776'!E48+'Займ 1 578'!E48</f>
        <v>25500.83191</v>
      </c>
      <c r="F48" s="26">
        <f>'Займ 776'!F48+'Займ 1 578'!F48</f>
        <v>34785.86557</v>
      </c>
      <c r="G48" s="26">
        <f>'Займ 776'!G48+'Займ 1 578'!G48</f>
        <v>11072.77895</v>
      </c>
      <c r="H48" s="26">
        <f>'Займ 776'!H48+'Займ 1 578'!H48</f>
        <v>1872689.845</v>
      </c>
      <c r="I48" s="26">
        <f>'Займ 776'!I48+'Займ 1 578'!I48</f>
        <v>11072.77895</v>
      </c>
      <c r="J48" s="26">
        <f>'Займ 776'!J48+'Займ 1 578'!J48</f>
        <v>16417.18963</v>
      </c>
      <c r="K48" s="26">
        <f>'Займ 776'!K48+'Займ 1 578'!K48</f>
        <v>36573.61086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98"/>
      <c r="B49" s="26">
        <v>12.0</v>
      </c>
      <c r="C49" s="72"/>
      <c r="D49" s="72">
        <f>'Займ 776'!D49+'Займ 1 578'!D49</f>
        <v>0</v>
      </c>
      <c r="E49" s="72">
        <f>'Займ 776'!E49+'Займ 1 578'!E49</f>
        <v>25649.58676</v>
      </c>
      <c r="F49" s="72">
        <f>'Займ 776'!F49+'Займ 1 578'!F49</f>
        <v>34785.86557</v>
      </c>
      <c r="G49" s="72">
        <f>'Займ 776'!G49+'Займ 1 578'!G49</f>
        <v>10924.02409</v>
      </c>
      <c r="H49" s="72">
        <f>'Займ 776'!H49+'Займ 1 578'!H49</f>
        <v>1847040.258</v>
      </c>
      <c r="I49" s="72">
        <f>'Займ 776'!I49+'Займ 1 578'!I49</f>
        <v>10924.02409</v>
      </c>
      <c r="J49" s="72">
        <f>'Займ 776'!J49+'Займ 1 578'!J49</f>
        <v>16417.18963</v>
      </c>
      <c r="K49" s="72">
        <f>'Займ 776'!K49+'Займ 1 578'!K49</f>
        <v>36573.61086</v>
      </c>
      <c r="L49" s="26"/>
      <c r="M49" s="26"/>
      <c r="N49" s="26"/>
      <c r="O49" s="26"/>
      <c r="P49" s="26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86">
        <v>2029.0</v>
      </c>
      <c r="B50" s="287">
        <v>1.0</v>
      </c>
      <c r="C50" s="287"/>
      <c r="D50" s="26">
        <f>'Займ 776'!D50+'Займ 1 578'!D50</f>
        <v>0</v>
      </c>
      <c r="E50" s="26">
        <f>'Займ 776'!E50+'Займ 1 578'!E50</f>
        <v>25799.20935</v>
      </c>
      <c r="F50" s="26">
        <f>'Займ 776'!F50+'Займ 1 578'!F50</f>
        <v>0</v>
      </c>
      <c r="G50" s="26">
        <f>'Займ 776'!G50+'Займ 1 578'!G50</f>
        <v>10774.4015</v>
      </c>
      <c r="H50" s="26">
        <f>'Займ 776'!H50+'Займ 1 578'!H50</f>
        <v>1821241.048</v>
      </c>
      <c r="I50" s="26">
        <f>'Займ 776'!I50+'Займ 1 578'!I50</f>
        <v>10774.4015</v>
      </c>
      <c r="J50" s="26">
        <f>'Займ 776'!J50+'Займ 1 578'!J50</f>
        <v>0</v>
      </c>
      <c r="K50" s="26">
        <f>'Займ 776'!K50+'Займ 1 578'!K50</f>
        <v>36573.61086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B51" s="26">
        <v>2.0</v>
      </c>
      <c r="C51" s="26"/>
      <c r="D51" s="26">
        <f>'Займ 776'!D51+'Займ 1 578'!D51</f>
        <v>0</v>
      </c>
      <c r="E51" s="26">
        <f>'Займ 776'!E51+'Займ 1 578'!E51</f>
        <v>25949.70474</v>
      </c>
      <c r="F51" s="26">
        <f>'Займ 776'!F51+'Займ 1 578'!F51</f>
        <v>0</v>
      </c>
      <c r="G51" s="26">
        <f>'Займ 776'!G51+'Займ 1 578'!G51</f>
        <v>10623.90612</v>
      </c>
      <c r="H51" s="26">
        <f>'Займ 776'!H51+'Займ 1 578'!H51</f>
        <v>1795291.344</v>
      </c>
      <c r="I51" s="26">
        <f>'Займ 776'!I51+'Займ 1 578'!I51</f>
        <v>10623.90612</v>
      </c>
      <c r="J51" s="26">
        <f>'Займ 776'!J51+'Займ 1 578'!J51</f>
        <v>0</v>
      </c>
      <c r="K51" s="26">
        <f>'Займ 776'!K51+'Займ 1 578'!K51</f>
        <v>36573.61086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B52" s="26">
        <v>3.0</v>
      </c>
      <c r="C52" s="26"/>
      <c r="D52" s="26">
        <f>'Займ 776'!D52+'Займ 1 578'!D52</f>
        <v>0</v>
      </c>
      <c r="E52" s="26">
        <f>'Займ 776'!E52+'Займ 1 578'!E52</f>
        <v>26101.07802</v>
      </c>
      <c r="F52" s="26">
        <f>'Займ 776'!F52+'Займ 1 578'!F52</f>
        <v>0</v>
      </c>
      <c r="G52" s="26">
        <f>'Займ 776'!G52+'Займ 1 578'!G52</f>
        <v>10472.53284</v>
      </c>
      <c r="H52" s="26">
        <f>'Займ 776'!H52+'Займ 1 578'!H52</f>
        <v>1769190.266</v>
      </c>
      <c r="I52" s="26">
        <f>'Займ 776'!I52+'Займ 1 578'!I52</f>
        <v>10472.53284</v>
      </c>
      <c r="J52" s="26">
        <f>'Займ 776'!J52+'Займ 1 578'!J52</f>
        <v>0</v>
      </c>
      <c r="K52" s="26">
        <f>'Займ 776'!K52+'Займ 1 578'!K52</f>
        <v>36573.61086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B53" s="26">
        <v>4.0</v>
      </c>
      <c r="C53" s="26"/>
      <c r="D53" s="26">
        <f>'Займ 776'!D53+'Займ 1 578'!D53</f>
        <v>0</v>
      </c>
      <c r="E53" s="26">
        <f>'Займ 776'!E53+'Займ 1 578'!E53</f>
        <v>26253.33431</v>
      </c>
      <c r="F53" s="26">
        <f>'Займ 776'!F53+'Займ 1 578'!F53</f>
        <v>0</v>
      </c>
      <c r="G53" s="26">
        <f>'Займ 776'!G53+'Займ 1 578'!G53</f>
        <v>10320.27655</v>
      </c>
      <c r="H53" s="26">
        <f>'Займ 776'!H53+'Займ 1 578'!H53</f>
        <v>1742936.931</v>
      </c>
      <c r="I53" s="26">
        <f>'Займ 776'!I53+'Займ 1 578'!I53</f>
        <v>10320.27655</v>
      </c>
      <c r="J53" s="26">
        <f>'Займ 776'!J53+'Займ 1 578'!J53</f>
        <v>0</v>
      </c>
      <c r="K53" s="26">
        <f>'Займ 776'!K53+'Займ 1 578'!K53</f>
        <v>36573.61086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B54" s="26">
        <v>5.0</v>
      </c>
      <c r="C54" s="26"/>
      <c r="D54" s="26">
        <f>'Займ 776'!D54+'Займ 1 578'!D54</f>
        <v>0</v>
      </c>
      <c r="E54" s="26">
        <f>'Займ 776'!E54+'Займ 1 578'!E54</f>
        <v>26406.47876</v>
      </c>
      <c r="F54" s="26">
        <f>'Займ 776'!F54+'Займ 1 578'!F54</f>
        <v>0</v>
      </c>
      <c r="G54" s="26">
        <f>'Займ 776'!G54+'Займ 1 578'!G54</f>
        <v>10167.1321</v>
      </c>
      <c r="H54" s="26">
        <f>'Займ 776'!H54+'Займ 1 578'!H54</f>
        <v>1716530.453</v>
      </c>
      <c r="I54" s="26">
        <f>'Займ 776'!I54+'Займ 1 578'!I54</f>
        <v>10167.1321</v>
      </c>
      <c r="J54" s="26">
        <f>'Займ 776'!J54+'Займ 1 578'!J54</f>
        <v>0</v>
      </c>
      <c r="K54" s="26">
        <f>'Займ 776'!K54+'Займ 1 578'!K54</f>
        <v>36573.61086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B55" s="26">
        <v>6.0</v>
      </c>
      <c r="C55" s="26"/>
      <c r="D55" s="26">
        <f>'Займ 776'!D55+'Займ 1 578'!D55</f>
        <v>0</v>
      </c>
      <c r="E55" s="26">
        <f>'Займ 776'!E55+'Займ 1 578'!E55</f>
        <v>26560.51655</v>
      </c>
      <c r="F55" s="26">
        <f>'Займ 776'!F55+'Займ 1 578'!F55</f>
        <v>0</v>
      </c>
      <c r="G55" s="26">
        <f>'Займ 776'!G55+'Займ 1 578'!G55</f>
        <v>10013.09431</v>
      </c>
      <c r="H55" s="26">
        <f>'Займ 776'!H55+'Займ 1 578'!H55</f>
        <v>1689969.936</v>
      </c>
      <c r="I55" s="26">
        <f>'Займ 776'!I55+'Займ 1 578'!I55</f>
        <v>10013.09431</v>
      </c>
      <c r="J55" s="26">
        <f>'Займ 776'!J55+'Займ 1 578'!J55</f>
        <v>0</v>
      </c>
      <c r="K55" s="26">
        <f>'Займ 776'!K55+'Займ 1 578'!K55</f>
        <v>36573.61086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B56" s="26">
        <v>7.0</v>
      </c>
      <c r="C56" s="26"/>
      <c r="D56" s="26">
        <f>'Займ 776'!D56+'Займ 1 578'!D56</f>
        <v>0</v>
      </c>
      <c r="E56" s="26">
        <f>'Займ 776'!E56+'Займ 1 578'!E56</f>
        <v>26715.4529</v>
      </c>
      <c r="F56" s="26">
        <f>'Займ 776'!F56+'Займ 1 578'!F56</f>
        <v>37300.5386</v>
      </c>
      <c r="G56" s="26">
        <f>'Займ 776'!G56+'Займ 1 578'!G56</f>
        <v>9858.157961</v>
      </c>
      <c r="H56" s="26">
        <f>'Займ 776'!H56+'Займ 1 578'!H56</f>
        <v>1663254.483</v>
      </c>
      <c r="I56" s="26">
        <f>'Займ 776'!I56+'Займ 1 578'!I56</f>
        <v>9858.157961</v>
      </c>
      <c r="J56" s="26">
        <f>'Займ 776'!J56+'Займ 1 578'!J56</f>
        <v>13902.5166</v>
      </c>
      <c r="K56" s="26">
        <f>'Займ 776'!K56+'Займ 1 578'!K56</f>
        <v>36573.61086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B57" s="26">
        <v>8.0</v>
      </c>
      <c r="C57" s="26"/>
      <c r="D57" s="26">
        <f>'Займ 776'!D57+'Займ 1 578'!D57</f>
        <v>0</v>
      </c>
      <c r="E57" s="26">
        <f>'Займ 776'!E57+'Займ 1 578'!E57</f>
        <v>26871.29304</v>
      </c>
      <c r="F57" s="26">
        <f>'Займ 776'!F57+'Займ 1 578'!F57</f>
        <v>37300.5386</v>
      </c>
      <c r="G57" s="26">
        <f>'Займ 776'!G57+'Займ 1 578'!G57</f>
        <v>9702.317819</v>
      </c>
      <c r="H57" s="26">
        <f>'Займ 776'!H57+'Займ 1 578'!H57</f>
        <v>1636383.19</v>
      </c>
      <c r="I57" s="26">
        <f>'Займ 776'!I57+'Займ 1 578'!I57</f>
        <v>9702.317819</v>
      </c>
      <c r="J57" s="26">
        <f>'Займ 776'!J57+'Займ 1 578'!J57</f>
        <v>13902.5166</v>
      </c>
      <c r="K57" s="26">
        <f>'Займ 776'!K57+'Займ 1 578'!K57</f>
        <v>36573.61086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B58" s="26">
        <v>9.0</v>
      </c>
      <c r="C58" s="26"/>
      <c r="D58" s="26">
        <f>'Займ 776'!D58+'Займ 1 578'!D58</f>
        <v>0</v>
      </c>
      <c r="E58" s="26">
        <f>'Займ 776'!E58+'Займ 1 578'!E58</f>
        <v>27028.04225</v>
      </c>
      <c r="F58" s="26">
        <f>'Займ 776'!F58+'Займ 1 578'!F58</f>
        <v>37300.5386</v>
      </c>
      <c r="G58" s="26">
        <f>'Займ 776'!G58+'Займ 1 578'!G58</f>
        <v>9545.568609</v>
      </c>
      <c r="H58" s="26">
        <f>'Займ 776'!H58+'Займ 1 578'!H58</f>
        <v>1609355.148</v>
      </c>
      <c r="I58" s="26">
        <f>'Займ 776'!I58+'Займ 1 578'!I58</f>
        <v>9545.568609</v>
      </c>
      <c r="J58" s="26">
        <f>'Займ 776'!J58+'Займ 1 578'!J58</f>
        <v>13902.5166</v>
      </c>
      <c r="K58" s="26">
        <f>'Займ 776'!K58+'Займ 1 578'!K58</f>
        <v>36573.61086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B59" s="26">
        <v>10.0</v>
      </c>
      <c r="C59" s="26"/>
      <c r="D59" s="26">
        <f>'Займ 776'!D59+'Займ 1 578'!D59</f>
        <v>0</v>
      </c>
      <c r="E59" s="26">
        <f>'Займ 776'!E59+'Займ 1 578'!E59</f>
        <v>27185.70583</v>
      </c>
      <c r="F59" s="26">
        <f>'Займ 776'!F59+'Займ 1 578'!F59</f>
        <v>37300.5386</v>
      </c>
      <c r="G59" s="26">
        <f>'Займ 776'!G59+'Займ 1 578'!G59</f>
        <v>9387.90503</v>
      </c>
      <c r="H59" s="26">
        <f>'Займ 776'!H59+'Займ 1 578'!H59</f>
        <v>1582169.442</v>
      </c>
      <c r="I59" s="26">
        <f>'Займ 776'!I59+'Займ 1 578'!I59</f>
        <v>9387.90503</v>
      </c>
      <c r="J59" s="26">
        <f>'Займ 776'!J59+'Займ 1 578'!J59</f>
        <v>13902.5166</v>
      </c>
      <c r="K59" s="26">
        <f>'Займ 776'!K59+'Займ 1 578'!K59</f>
        <v>36573.61086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B60" s="26">
        <v>11.0</v>
      </c>
      <c r="C60" s="26"/>
      <c r="D60" s="26">
        <f>'Займ 776'!D60+'Займ 1 578'!D60</f>
        <v>0</v>
      </c>
      <c r="E60" s="26">
        <f>'Займ 776'!E60+'Займ 1 578'!E60</f>
        <v>27344.28911</v>
      </c>
      <c r="F60" s="26">
        <f>'Займ 776'!F60+'Займ 1 578'!F60</f>
        <v>37300.5386</v>
      </c>
      <c r="G60" s="26">
        <f>'Займ 776'!G60+'Займ 1 578'!G60</f>
        <v>9229.321746</v>
      </c>
      <c r="H60" s="26">
        <f>'Займ 776'!H60+'Займ 1 578'!H60</f>
        <v>1554825.153</v>
      </c>
      <c r="I60" s="26">
        <f>'Займ 776'!I60+'Займ 1 578'!I60</f>
        <v>9229.321746</v>
      </c>
      <c r="J60" s="26">
        <f>'Займ 776'!J60+'Займ 1 578'!J60</f>
        <v>13902.5166</v>
      </c>
      <c r="K60" s="26">
        <f>'Займ 776'!K60+'Займ 1 578'!K60</f>
        <v>36573.61086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98"/>
      <c r="B61" s="72">
        <v>12.0</v>
      </c>
      <c r="C61" s="72"/>
      <c r="D61" s="72">
        <f>'Займ 776'!D61+'Займ 1 578'!D61</f>
        <v>0</v>
      </c>
      <c r="E61" s="72">
        <f>'Займ 776'!E61+'Займ 1 578'!E61</f>
        <v>27503.79747</v>
      </c>
      <c r="F61" s="72">
        <f>'Займ 776'!F61+'Займ 1 578'!F61</f>
        <v>37300.5386</v>
      </c>
      <c r="G61" s="72">
        <f>'Займ 776'!G61+'Займ 1 578'!G61</f>
        <v>9069.813392</v>
      </c>
      <c r="H61" s="72">
        <f>'Займ 776'!H61+'Займ 1 578'!H61</f>
        <v>1527321.356</v>
      </c>
      <c r="I61" s="72">
        <f>'Займ 776'!I61+'Займ 1 578'!I61</f>
        <v>9069.813392</v>
      </c>
      <c r="J61" s="72">
        <f>'Займ 776'!J61+'Займ 1 578'!J61</f>
        <v>13902.5166</v>
      </c>
      <c r="K61" s="72">
        <f>'Займ 776'!K61+'Займ 1 578'!K61</f>
        <v>36573.61086</v>
      </c>
      <c r="L61" s="26"/>
      <c r="M61" s="26"/>
      <c r="N61" s="26"/>
      <c r="O61" s="26"/>
      <c r="P61" s="26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86">
        <v>2030.0</v>
      </c>
      <c r="B62" s="26">
        <v>1.0</v>
      </c>
      <c r="C62" s="287"/>
      <c r="D62" s="26">
        <f>'Займ 776'!D62+'Займ 1 578'!D62</f>
        <v>0</v>
      </c>
      <c r="E62" s="26">
        <f>'Займ 776'!E62+'Займ 1 578'!E62</f>
        <v>27664.23628</v>
      </c>
      <c r="F62" s="26">
        <f>'Займ 776'!F62+'Займ 1 578'!F62</f>
        <v>0</v>
      </c>
      <c r="G62" s="26">
        <f>'Займ 776'!G62+'Займ 1 578'!G62</f>
        <v>8909.374574</v>
      </c>
      <c r="H62" s="26">
        <f>'Займ 776'!H62+'Займ 1 578'!H62</f>
        <v>1499657.119</v>
      </c>
      <c r="I62" s="26">
        <f>'Займ 776'!I62+'Займ 1 578'!I62</f>
        <v>8909.374574</v>
      </c>
      <c r="J62" s="26">
        <f>'Займ 776'!J62+'Займ 1 578'!J62</f>
        <v>0</v>
      </c>
      <c r="K62" s="26">
        <f>'Займ 776'!K62+'Займ 1 578'!K62</f>
        <v>36573.61086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B63" s="26">
        <v>2.0</v>
      </c>
      <c r="C63" s="26"/>
      <c r="D63" s="26">
        <f>'Займ 776'!D63+'Займ 1 578'!D63</f>
        <v>0</v>
      </c>
      <c r="E63" s="26">
        <f>'Займ 776'!E63+'Займ 1 578'!E63</f>
        <v>27825.611</v>
      </c>
      <c r="F63" s="26">
        <f>'Займ 776'!F63+'Займ 1 578'!F63</f>
        <v>0</v>
      </c>
      <c r="G63" s="26">
        <f>'Займ 776'!G63+'Займ 1 578'!G63</f>
        <v>8747.999862</v>
      </c>
      <c r="H63" s="26">
        <f>'Займ 776'!H63+'Займ 1 578'!H63</f>
        <v>1471831.508</v>
      </c>
      <c r="I63" s="26">
        <f>'Займ 776'!I63+'Займ 1 578'!I63</f>
        <v>8747.999862</v>
      </c>
      <c r="J63" s="26">
        <f>'Займ 776'!J63+'Займ 1 578'!J63</f>
        <v>0</v>
      </c>
      <c r="K63" s="26">
        <f>'Займ 776'!K63+'Займ 1 578'!K63</f>
        <v>36573.61086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B64" s="26">
        <v>3.0</v>
      </c>
      <c r="C64" s="26"/>
      <c r="D64" s="26">
        <f>'Займ 776'!D64+'Займ 1 578'!D64</f>
        <v>0</v>
      </c>
      <c r="E64" s="26">
        <f>'Займ 776'!E64+'Займ 1 578'!E64</f>
        <v>27987.92706</v>
      </c>
      <c r="F64" s="26">
        <f>'Займ 776'!F64+'Займ 1 578'!F64</f>
        <v>0</v>
      </c>
      <c r="G64" s="26">
        <f>'Займ 776'!G64+'Займ 1 578'!G64</f>
        <v>8585.683798</v>
      </c>
      <c r="H64" s="26">
        <f>'Займ 776'!H64+'Займ 1 578'!H64</f>
        <v>1443843.581</v>
      </c>
      <c r="I64" s="26">
        <f>'Займ 776'!I64+'Займ 1 578'!I64</f>
        <v>8585.683798</v>
      </c>
      <c r="J64" s="26">
        <f>'Займ 776'!J64+'Займ 1 578'!J64</f>
        <v>0</v>
      </c>
      <c r="K64" s="26">
        <f>'Займ 776'!K64+'Займ 1 578'!K64</f>
        <v>36573.61086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B65" s="26">
        <v>4.0</v>
      </c>
      <c r="C65" s="26"/>
      <c r="D65" s="26">
        <f>'Займ 776'!D65+'Займ 1 578'!D65</f>
        <v>0</v>
      </c>
      <c r="E65" s="26">
        <f>'Займ 776'!E65+'Займ 1 578'!E65</f>
        <v>28151.18997</v>
      </c>
      <c r="F65" s="26">
        <f>'Займ 776'!F65+'Займ 1 578'!F65</f>
        <v>0</v>
      </c>
      <c r="G65" s="26">
        <f>'Займ 776'!G65+'Займ 1 578'!G65</f>
        <v>8422.42089</v>
      </c>
      <c r="H65" s="26">
        <f>'Займ 776'!H65+'Займ 1 578'!H65</f>
        <v>1415692.391</v>
      </c>
      <c r="I65" s="26">
        <f>'Займ 776'!I65+'Займ 1 578'!I65</f>
        <v>8422.42089</v>
      </c>
      <c r="J65" s="26">
        <f>'Займ 776'!J65+'Займ 1 578'!J65</f>
        <v>0</v>
      </c>
      <c r="K65" s="26">
        <f>'Займ 776'!K65+'Займ 1 578'!K65</f>
        <v>36573.61086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B66" s="26">
        <v>5.0</v>
      </c>
      <c r="C66" s="26"/>
      <c r="D66" s="26">
        <f>'Займ 776'!D66+'Займ 1 578'!D66</f>
        <v>0</v>
      </c>
      <c r="E66" s="26">
        <f>'Займ 776'!E66+'Займ 1 578'!E66</f>
        <v>28315.40524</v>
      </c>
      <c r="F66" s="26">
        <f>'Займ 776'!F66+'Займ 1 578'!F66</f>
        <v>0</v>
      </c>
      <c r="G66" s="26">
        <f>'Займ 776'!G66+'Займ 1 578'!G66</f>
        <v>8258.205615</v>
      </c>
      <c r="H66" s="26">
        <f>'Займ 776'!H66+'Займ 1 578'!H66</f>
        <v>1387376.986</v>
      </c>
      <c r="I66" s="26">
        <f>'Займ 776'!I66+'Займ 1 578'!I66</f>
        <v>8258.205615</v>
      </c>
      <c r="J66" s="26">
        <f>'Займ 776'!J66+'Займ 1 578'!J66</f>
        <v>0</v>
      </c>
      <c r="K66" s="26">
        <f>'Займ 776'!K66+'Займ 1 578'!K66</f>
        <v>36573.61086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B67" s="26">
        <v>6.0</v>
      </c>
      <c r="C67" s="26"/>
      <c r="D67" s="26">
        <f>'Займ 776'!D67+'Займ 1 578'!D67</f>
        <v>0</v>
      </c>
      <c r="E67" s="26">
        <f>'Займ 776'!E67+'Займ 1 578'!E67</f>
        <v>28480.57844</v>
      </c>
      <c r="F67" s="26">
        <f>'Займ 776'!F67+'Займ 1 578'!F67</f>
        <v>0</v>
      </c>
      <c r="G67" s="26">
        <f>'Займ 776'!G67+'Займ 1 578'!G67</f>
        <v>8093.032418</v>
      </c>
      <c r="H67" s="26">
        <f>'Займ 776'!H67+'Займ 1 578'!H67</f>
        <v>1358896.408</v>
      </c>
      <c r="I67" s="26">
        <f>'Займ 776'!I67+'Займ 1 578'!I67</f>
        <v>8093.032418</v>
      </c>
      <c r="J67" s="26">
        <f>'Займ 776'!J67+'Займ 1 578'!J67</f>
        <v>0</v>
      </c>
      <c r="K67" s="26">
        <f>'Займ 776'!K67+'Займ 1 578'!K67</f>
        <v>36573.61086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B68" s="26">
        <v>7.0</v>
      </c>
      <c r="C68" s="26"/>
      <c r="D68" s="26">
        <f>'Займ 776'!D68+'Займ 1 578'!D68</f>
        <v>0</v>
      </c>
      <c r="E68" s="26">
        <f>'Займ 776'!E68+'Займ 1 578'!E68</f>
        <v>28646.71515</v>
      </c>
      <c r="F68" s="26">
        <f>'Займ 776'!F68+'Займ 1 578'!F68</f>
        <v>67656.38166</v>
      </c>
      <c r="G68" s="26">
        <f>'Займ 776'!G68+'Займ 1 578'!G68</f>
        <v>7926.895711</v>
      </c>
      <c r="H68" s="26">
        <f>'Займ 776'!H68+'Займ 1 578'!H68</f>
        <v>1330249.692</v>
      </c>
      <c r="I68" s="26">
        <f>'Займ 776'!I68+'Займ 1 578'!I68</f>
        <v>7926.895711</v>
      </c>
      <c r="J68" s="26">
        <f>'Займ 776'!J68+'Займ 1 578'!J68</f>
        <v>24010.0809</v>
      </c>
      <c r="K68" s="26">
        <f>'Займ 776'!K68+'Займ 1 578'!K68</f>
        <v>36573.61086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B69" s="26">
        <v>8.0</v>
      </c>
      <c r="C69" s="26"/>
      <c r="D69" s="26">
        <f>'Займ 776'!D69+'Займ 1 578'!D69</f>
        <v>0</v>
      </c>
      <c r="E69" s="26">
        <f>'Займ 776'!E69+'Займ 1 578'!E69</f>
        <v>28813.82099</v>
      </c>
      <c r="F69" s="26">
        <f>'Займ 776'!F69+'Займ 1 578'!F69</f>
        <v>67656.38166</v>
      </c>
      <c r="G69" s="26">
        <f>'Займ 776'!G69+'Займ 1 578'!G69</f>
        <v>7759.789872</v>
      </c>
      <c r="H69" s="26">
        <f>'Займ 776'!H69+'Займ 1 578'!H69</f>
        <v>1301435.871</v>
      </c>
      <c r="I69" s="26">
        <f>'Займ 776'!I69+'Займ 1 578'!I69</f>
        <v>7759.789872</v>
      </c>
      <c r="J69" s="26">
        <f>'Займ 776'!J69+'Займ 1 578'!J69</f>
        <v>24010.0809</v>
      </c>
      <c r="K69" s="26">
        <f>'Займ 776'!K69+'Займ 1 578'!K69</f>
        <v>36573.61086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B70" s="26">
        <v>9.0</v>
      </c>
      <c r="C70" s="26"/>
      <c r="D70" s="26">
        <f>'Займ 776'!D70+'Займ 1 578'!D70</f>
        <v>0</v>
      </c>
      <c r="E70" s="26">
        <f>'Займ 776'!E70+'Займ 1 578'!E70</f>
        <v>28981.90161</v>
      </c>
      <c r="F70" s="26">
        <f>'Займ 776'!F70+'Займ 1 578'!F70</f>
        <v>67656.38166</v>
      </c>
      <c r="G70" s="26">
        <f>'Займ 776'!G70+'Займ 1 578'!G70</f>
        <v>7591.70925</v>
      </c>
      <c r="H70" s="26">
        <f>'Займ 776'!H70+'Займ 1 578'!H70</f>
        <v>1272453.97</v>
      </c>
      <c r="I70" s="26">
        <f>'Займ 776'!I70+'Займ 1 578'!I70</f>
        <v>7591.70925</v>
      </c>
      <c r="J70" s="26">
        <f>'Займ 776'!J70+'Займ 1 578'!J70</f>
        <v>24010.0809</v>
      </c>
      <c r="K70" s="26">
        <f>'Займ 776'!K70+'Займ 1 578'!K70</f>
        <v>36573.61086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B71" s="26">
        <v>10.0</v>
      </c>
      <c r="C71" s="26"/>
      <c r="D71" s="26">
        <f>'Займ 776'!D71+'Займ 1 578'!D71</f>
        <v>0</v>
      </c>
      <c r="E71" s="26">
        <f>'Займ 776'!E71+'Займ 1 578'!E71</f>
        <v>29150.9627</v>
      </c>
      <c r="F71" s="26">
        <f>'Займ 776'!F71+'Займ 1 578'!F71</f>
        <v>67656.38166</v>
      </c>
      <c r="G71" s="26">
        <f>'Займ 776'!G71+'Займ 1 578'!G71</f>
        <v>7422.648157</v>
      </c>
      <c r="H71" s="26">
        <f>'Займ 776'!H71+'Займ 1 578'!H71</f>
        <v>1243303.007</v>
      </c>
      <c r="I71" s="26">
        <f>'Займ 776'!I71+'Займ 1 578'!I71</f>
        <v>7422.648157</v>
      </c>
      <c r="J71" s="26">
        <f>'Займ 776'!J71+'Займ 1 578'!J71</f>
        <v>24010.0809</v>
      </c>
      <c r="K71" s="26">
        <f>'Займ 776'!K71+'Займ 1 578'!K71</f>
        <v>36573.61086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B72" s="26">
        <v>11.0</v>
      </c>
      <c r="C72" s="26"/>
      <c r="D72" s="26">
        <f>'Займ 776'!D72+'Займ 1 578'!D72</f>
        <v>0</v>
      </c>
      <c r="E72" s="26">
        <f>'Займ 776'!E72+'Займ 1 578'!E72</f>
        <v>29321.00998</v>
      </c>
      <c r="F72" s="26">
        <f>'Займ 776'!F72+'Займ 1 578'!F72</f>
        <v>67656.38166</v>
      </c>
      <c r="G72" s="26">
        <f>'Займ 776'!G72+'Займ 1 578'!G72</f>
        <v>7252.600875</v>
      </c>
      <c r="H72" s="26">
        <f>'Займ 776'!H72+'Займ 1 578'!H72</f>
        <v>1213981.997</v>
      </c>
      <c r="I72" s="26">
        <f>'Займ 776'!I72+'Займ 1 578'!I72</f>
        <v>7252.600875</v>
      </c>
      <c r="J72" s="26">
        <f>'Займ 776'!J72+'Займ 1 578'!J72</f>
        <v>24010.0809</v>
      </c>
      <c r="K72" s="26">
        <f>'Займ 776'!K72+'Займ 1 578'!K72</f>
        <v>36573.61086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98"/>
      <c r="B73" s="26">
        <v>12.0</v>
      </c>
      <c r="C73" s="72"/>
      <c r="D73" s="72">
        <f>'Займ 776'!D73+'Займ 1 578'!D73</f>
        <v>0</v>
      </c>
      <c r="E73" s="72">
        <f>'Займ 776'!E73+'Займ 1 578'!E73</f>
        <v>29492.04921</v>
      </c>
      <c r="F73" s="72">
        <f>'Займ 776'!F73+'Займ 1 578'!F73</f>
        <v>67656.38166</v>
      </c>
      <c r="G73" s="72">
        <f>'Займ 776'!G73+'Займ 1 578'!G73</f>
        <v>7081.56165</v>
      </c>
      <c r="H73" s="72">
        <f>'Займ 776'!H73+'Займ 1 578'!H73</f>
        <v>1184489.948</v>
      </c>
      <c r="I73" s="72">
        <f>'Займ 776'!I73+'Займ 1 578'!I73</f>
        <v>7081.56165</v>
      </c>
      <c r="J73" s="72">
        <f>'Займ 776'!J73+'Займ 1 578'!J73</f>
        <v>24010.0809</v>
      </c>
      <c r="K73" s="72">
        <f>'Займ 776'!K73+'Займ 1 578'!K73</f>
        <v>36573.61086</v>
      </c>
      <c r="L73" s="26"/>
      <c r="M73" s="26"/>
      <c r="N73" s="26"/>
      <c r="O73" s="26"/>
      <c r="P73" s="26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86">
        <v>2031.0</v>
      </c>
      <c r="B74" s="287">
        <v>1.0</v>
      </c>
      <c r="C74" s="287"/>
      <c r="D74" s="26">
        <f>'Займ 776'!D74+'Займ 1 578'!D74</f>
        <v>0</v>
      </c>
      <c r="E74" s="26">
        <f>'Займ 776'!E74+'Займ 1 578'!E74</f>
        <v>29664.08616</v>
      </c>
      <c r="F74" s="26">
        <f>'Займ 776'!F74+'Займ 1 578'!F74</f>
        <v>0</v>
      </c>
      <c r="G74" s="26">
        <f>'Займ 776'!G74+'Займ 1 578'!G74</f>
        <v>15447.6401</v>
      </c>
      <c r="H74" s="26">
        <f>'Займ 776'!H74+'Займ 1 578'!H74</f>
        <v>1154825.862</v>
      </c>
      <c r="I74" s="26">
        <f>'Займ 776'!I74+'Займ 1 578'!I74</f>
        <v>15447.6401</v>
      </c>
      <c r="J74" s="26">
        <f>'Займ 776'!J74+'Займ 1 578'!J74</f>
        <v>0</v>
      </c>
      <c r="K74" s="26">
        <f>'Займ 776'!K74+'Займ 1 578'!K74</f>
        <v>45111.72626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B75" s="26">
        <v>2.0</v>
      </c>
      <c r="C75" s="26"/>
      <c r="D75" s="26">
        <f>'Займ 776'!D75+'Займ 1 578'!D75</f>
        <v>0</v>
      </c>
      <c r="E75" s="26">
        <f>'Займ 776'!E75+'Займ 1 578'!E75</f>
        <v>29837.12666</v>
      </c>
      <c r="F75" s="26">
        <f>'Займ 776'!F75+'Займ 1 578'!F75</f>
        <v>0</v>
      </c>
      <c r="G75" s="26">
        <f>'Займ 776'!G75+'Займ 1 578'!G75</f>
        <v>15274.59959</v>
      </c>
      <c r="H75" s="26">
        <f>'Займ 776'!H75+'Займ 1 578'!H75</f>
        <v>1124988.735</v>
      </c>
      <c r="I75" s="26">
        <f>'Займ 776'!I75+'Займ 1 578'!I75</f>
        <v>15274.59959</v>
      </c>
      <c r="J75" s="26">
        <f>'Займ 776'!J75+'Займ 1 578'!J75</f>
        <v>0</v>
      </c>
      <c r="K75" s="26">
        <f>'Займ 776'!K75+'Займ 1 578'!K75</f>
        <v>45111.72626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B76" s="26">
        <v>3.0</v>
      </c>
      <c r="C76" s="26"/>
      <c r="D76" s="26">
        <f>'Займ 776'!D76+'Займ 1 578'!D76</f>
        <v>0</v>
      </c>
      <c r="E76" s="26">
        <f>'Займ 776'!E76+'Займ 1 578'!E76</f>
        <v>30011.17657</v>
      </c>
      <c r="F76" s="26">
        <f>'Займ 776'!F76+'Займ 1 578'!F76</f>
        <v>0</v>
      </c>
      <c r="G76" s="26">
        <f>'Займ 776'!G76+'Займ 1 578'!G76</f>
        <v>15100.54969</v>
      </c>
      <c r="H76" s="26">
        <f>'Займ 776'!H76+'Займ 1 578'!H76</f>
        <v>1094977.559</v>
      </c>
      <c r="I76" s="26">
        <f>'Займ 776'!I76+'Займ 1 578'!I76</f>
        <v>15100.54969</v>
      </c>
      <c r="J76" s="26">
        <f>'Займ 776'!J76+'Займ 1 578'!J76</f>
        <v>0</v>
      </c>
      <c r="K76" s="26">
        <f>'Займ 776'!K76+'Займ 1 578'!K76</f>
        <v>45111.72626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B77" s="26">
        <v>4.0</v>
      </c>
      <c r="C77" s="26"/>
      <c r="D77" s="26">
        <f>'Займ 776'!D77+'Займ 1 578'!D77</f>
        <v>0</v>
      </c>
      <c r="E77" s="26">
        <f>'Займ 776'!E77+'Займ 1 578'!E77</f>
        <v>30186.24177</v>
      </c>
      <c r="F77" s="26">
        <f>'Займ 776'!F77+'Займ 1 578'!F77</f>
        <v>0</v>
      </c>
      <c r="G77" s="26">
        <f>'Займ 776'!G77+'Займ 1 578'!G77</f>
        <v>14925.48449</v>
      </c>
      <c r="H77" s="26">
        <f>'Займ 776'!H77+'Займ 1 578'!H77</f>
        <v>1064791.317</v>
      </c>
      <c r="I77" s="26">
        <f>'Займ 776'!I77+'Займ 1 578'!I77</f>
        <v>14925.48449</v>
      </c>
      <c r="J77" s="26">
        <f>'Займ 776'!J77+'Займ 1 578'!J77</f>
        <v>0</v>
      </c>
      <c r="K77" s="26">
        <f>'Займ 776'!K77+'Займ 1 578'!K77</f>
        <v>45111.72626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B78" s="26">
        <v>5.0</v>
      </c>
      <c r="C78" s="26"/>
      <c r="D78" s="26">
        <f>'Займ 776'!D78+'Займ 1 578'!D78</f>
        <v>0</v>
      </c>
      <c r="E78" s="26">
        <f>'Займ 776'!E78+'Займ 1 578'!E78</f>
        <v>30362.32818</v>
      </c>
      <c r="F78" s="26">
        <f>'Займ 776'!F78+'Займ 1 578'!F78</f>
        <v>0</v>
      </c>
      <c r="G78" s="26">
        <f>'Займ 776'!G78+'Займ 1 578'!G78</f>
        <v>14749.39808</v>
      </c>
      <c r="H78" s="26">
        <f>'Займ 776'!H78+'Займ 1 578'!H78</f>
        <v>1034428.989</v>
      </c>
      <c r="I78" s="26">
        <f>'Займ 776'!I78+'Займ 1 578'!I78</f>
        <v>14749.39808</v>
      </c>
      <c r="J78" s="26">
        <f>'Займ 776'!J78+'Займ 1 578'!J78</f>
        <v>0</v>
      </c>
      <c r="K78" s="26">
        <f>'Займ 776'!K78+'Займ 1 578'!K78</f>
        <v>45111.72626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B79" s="26">
        <v>6.0</v>
      </c>
      <c r="C79" s="26"/>
      <c r="D79" s="26">
        <f>'Займ 776'!D79+'Займ 1 578'!D79</f>
        <v>0</v>
      </c>
      <c r="E79" s="26">
        <f>'Займ 776'!E79+'Займ 1 578'!E79</f>
        <v>30539.44176</v>
      </c>
      <c r="F79" s="26">
        <f>'Займ 776'!F79+'Займ 1 578'!F79</f>
        <v>0</v>
      </c>
      <c r="G79" s="26">
        <f>'Займ 776'!G79+'Займ 1 578'!G79</f>
        <v>14572.2845</v>
      </c>
      <c r="H79" s="26">
        <f>'Займ 776'!H79+'Займ 1 578'!H79</f>
        <v>1003889.547</v>
      </c>
      <c r="I79" s="26">
        <f>'Займ 776'!I79+'Займ 1 578'!I79</f>
        <v>14572.2845</v>
      </c>
      <c r="J79" s="26">
        <f>'Займ 776'!J79+'Займ 1 578'!J79</f>
        <v>0</v>
      </c>
      <c r="K79" s="26">
        <f>'Займ 776'!K79+'Займ 1 578'!K79</f>
        <v>45111.72626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B80" s="26">
        <v>7.0</v>
      </c>
      <c r="C80" s="26"/>
      <c r="D80" s="26">
        <f>'Займ 776'!D80+'Займ 1 578'!D80</f>
        <v>0</v>
      </c>
      <c r="E80" s="26">
        <f>'Займ 776'!E80+'Займ 1 578'!E80</f>
        <v>30717.5885</v>
      </c>
      <c r="F80" s="26">
        <f>'Займ 776'!F80+'Займ 1 578'!F80</f>
        <v>76177.34773</v>
      </c>
      <c r="G80" s="26">
        <f>'Займ 776'!G80+'Займ 1 578'!G80</f>
        <v>14394.13776</v>
      </c>
      <c r="H80" s="26">
        <f>'Займ 776'!H80+'Займ 1 578'!H80</f>
        <v>973171.9583</v>
      </c>
      <c r="I80" s="26">
        <f>'Займ 776'!I80+'Займ 1 578'!I80</f>
        <v>14394.13776</v>
      </c>
      <c r="J80" s="26">
        <f>'Займ 776'!J80+'Займ 1 578'!J80</f>
        <v>35990.2713</v>
      </c>
      <c r="K80" s="26">
        <f>'Займ 776'!K80+'Займ 1 578'!K80</f>
        <v>45111.72626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B81" s="26">
        <v>8.0</v>
      </c>
      <c r="C81" s="26"/>
      <c r="D81" s="26">
        <f>'Займ 776'!D81+'Займ 1 578'!D81</f>
        <v>0</v>
      </c>
      <c r="E81" s="26">
        <f>'Займ 776'!E81+'Займ 1 578'!E81</f>
        <v>30896.77443</v>
      </c>
      <c r="F81" s="26">
        <f>'Займ 776'!F81+'Займ 1 578'!F81</f>
        <v>76177.34773</v>
      </c>
      <c r="G81" s="26">
        <f>'Займ 776'!G81+'Займ 1 578'!G81</f>
        <v>14214.95182</v>
      </c>
      <c r="H81" s="26">
        <f>'Займ 776'!H81+'Займ 1 578'!H81</f>
        <v>942275.1839</v>
      </c>
      <c r="I81" s="26">
        <f>'Займ 776'!I81+'Займ 1 578'!I81</f>
        <v>14214.95182</v>
      </c>
      <c r="J81" s="26">
        <f>'Займ 776'!J81+'Займ 1 578'!J81</f>
        <v>35990.2713</v>
      </c>
      <c r="K81" s="26">
        <f>'Займ 776'!K81+'Займ 1 578'!K81</f>
        <v>45111.72626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B82" s="26">
        <v>9.0</v>
      </c>
      <c r="C82" s="26"/>
      <c r="D82" s="26">
        <f>'Займ 776'!D82+'Займ 1 578'!D82</f>
        <v>0</v>
      </c>
      <c r="E82" s="26">
        <f>'Займ 776'!E82+'Займ 1 578'!E82</f>
        <v>31077.00562</v>
      </c>
      <c r="F82" s="26">
        <f>'Займ 776'!F82+'Займ 1 578'!F82</f>
        <v>76177.34773</v>
      </c>
      <c r="G82" s="26">
        <f>'Займ 776'!G82+'Займ 1 578'!G82</f>
        <v>14034.72064</v>
      </c>
      <c r="H82" s="26">
        <f>'Займ 776'!H82+'Займ 1 578'!H82</f>
        <v>911198.1783</v>
      </c>
      <c r="I82" s="26">
        <f>'Займ 776'!I82+'Займ 1 578'!I82</f>
        <v>14034.72064</v>
      </c>
      <c r="J82" s="26">
        <f>'Займ 776'!J82+'Займ 1 578'!J82</f>
        <v>35990.2713</v>
      </c>
      <c r="K82" s="26">
        <f>'Займ 776'!K82+'Займ 1 578'!K82</f>
        <v>45111.72626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B83" s="26">
        <v>10.0</v>
      </c>
      <c r="C83" s="26"/>
      <c r="D83" s="26">
        <f>'Займ 776'!D83+'Займ 1 578'!D83</f>
        <v>0</v>
      </c>
      <c r="E83" s="26">
        <f>'Займ 776'!E83+'Займ 1 578'!E83</f>
        <v>31258.28815</v>
      </c>
      <c r="F83" s="26">
        <f>'Займ 776'!F83+'Займ 1 578'!F83</f>
        <v>76177.34773</v>
      </c>
      <c r="G83" s="26">
        <f>'Займ 776'!G83+'Займ 1 578'!G83</f>
        <v>13853.43811</v>
      </c>
      <c r="H83" s="26">
        <f>'Займ 776'!H83+'Займ 1 578'!H83</f>
        <v>879939.8901</v>
      </c>
      <c r="I83" s="26">
        <f>'Займ 776'!I83+'Займ 1 578'!I83</f>
        <v>13853.43811</v>
      </c>
      <c r="J83" s="26">
        <f>'Займ 776'!J83+'Займ 1 578'!J83</f>
        <v>35990.2713</v>
      </c>
      <c r="K83" s="26">
        <f>'Займ 776'!K83+'Займ 1 578'!K83</f>
        <v>45111.72626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B84" s="26">
        <v>11.0</v>
      </c>
      <c r="C84" s="26"/>
      <c r="D84" s="26">
        <f>'Займ 776'!D84+'Займ 1 578'!D84</f>
        <v>0</v>
      </c>
      <c r="E84" s="26">
        <f>'Займ 776'!E84+'Займ 1 578'!E84</f>
        <v>31440.62817</v>
      </c>
      <c r="F84" s="26">
        <f>'Займ 776'!F84+'Займ 1 578'!F84</f>
        <v>76177.34773</v>
      </c>
      <c r="G84" s="26">
        <f>'Займ 776'!G84+'Займ 1 578'!G84</f>
        <v>13671.09809</v>
      </c>
      <c r="H84" s="26">
        <f>'Займ 776'!H84+'Займ 1 578'!H84</f>
        <v>848499.2619</v>
      </c>
      <c r="I84" s="26">
        <f>'Займ 776'!I84+'Займ 1 578'!I84</f>
        <v>13671.09809</v>
      </c>
      <c r="J84" s="26">
        <f>'Займ 776'!J84+'Займ 1 578'!J84</f>
        <v>35990.2713</v>
      </c>
      <c r="K84" s="26">
        <f>'Займ 776'!K84+'Займ 1 578'!K84</f>
        <v>45111.72626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98"/>
      <c r="B85" s="72">
        <v>12.0</v>
      </c>
      <c r="C85" s="72"/>
      <c r="D85" s="72">
        <f>'Займ 776'!D85+'Займ 1 578'!D85</f>
        <v>0</v>
      </c>
      <c r="E85" s="72">
        <f>'Займ 776'!E85+'Займ 1 578'!E85</f>
        <v>31624.03183</v>
      </c>
      <c r="F85" s="72">
        <f>'Займ 776'!F85+'Займ 1 578'!F85</f>
        <v>76177.34773</v>
      </c>
      <c r="G85" s="72">
        <f>'Займ 776'!G85+'Займ 1 578'!G85</f>
        <v>13487.69443</v>
      </c>
      <c r="H85" s="72">
        <f>'Займ 776'!H85+'Займ 1 578'!H85</f>
        <v>816875.2301</v>
      </c>
      <c r="I85" s="72">
        <f>'Займ 776'!I85+'Займ 1 578'!I85</f>
        <v>13487.69443</v>
      </c>
      <c r="J85" s="72">
        <f>'Займ 776'!J85+'Займ 1 578'!J85</f>
        <v>35990.2713</v>
      </c>
      <c r="K85" s="72">
        <f>'Займ 776'!K85+'Займ 1 578'!K85</f>
        <v>45111.72626</v>
      </c>
      <c r="L85" s="26"/>
      <c r="M85" s="26"/>
      <c r="N85" s="26"/>
      <c r="O85" s="26"/>
      <c r="P85" s="26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86">
        <v>2032.0</v>
      </c>
      <c r="B86" s="287">
        <v>1.0</v>
      </c>
      <c r="C86" s="287"/>
      <c r="D86" s="26">
        <f>'Займ 776'!D86+'Займ 1 578'!D86</f>
        <v>0</v>
      </c>
      <c r="E86" s="26">
        <f>'Займ 776'!E86+'Займ 1 578'!E86</f>
        <v>31808.50535</v>
      </c>
      <c r="F86" s="26">
        <f>'Займ 776'!F86+'Займ 1 578'!F86</f>
        <v>0</v>
      </c>
      <c r="G86" s="26">
        <f>'Займ 776'!G86+'Займ 1 578'!G86</f>
        <v>13303.22091</v>
      </c>
      <c r="H86" s="26">
        <f>'Займ 776'!H86+'Займ 1 578'!H86</f>
        <v>785066.7248</v>
      </c>
      <c r="I86" s="26">
        <f>'Займ 776'!I86+'Займ 1 578'!I86</f>
        <v>13303.22091</v>
      </c>
      <c r="J86" s="26">
        <f>'Займ 776'!J86+'Займ 1 578'!J86</f>
        <v>0</v>
      </c>
      <c r="K86" s="26">
        <f>'Займ 776'!K86+'Займ 1 578'!K86</f>
        <v>45111.72626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B87" s="26">
        <v>2.0</v>
      </c>
      <c r="C87" s="26"/>
      <c r="D87" s="26">
        <f>'Займ 776'!D87+'Займ 1 578'!D87</f>
        <v>0</v>
      </c>
      <c r="E87" s="26">
        <f>'Займ 776'!E87+'Займ 1 578'!E87</f>
        <v>31994.05496</v>
      </c>
      <c r="F87" s="26">
        <f>'Займ 776'!F87+'Займ 1 578'!F87</f>
        <v>0</v>
      </c>
      <c r="G87" s="26">
        <f>'Займ 776'!G87+'Займ 1 578'!G87</f>
        <v>13117.67129</v>
      </c>
      <c r="H87" s="26">
        <f>'Займ 776'!H87+'Займ 1 578'!H87</f>
        <v>753072.6698</v>
      </c>
      <c r="I87" s="26">
        <f>'Займ 776'!I87+'Займ 1 578'!I87</f>
        <v>13117.67129</v>
      </c>
      <c r="J87" s="26">
        <f>'Займ 776'!J87+'Займ 1 578'!J87</f>
        <v>0</v>
      </c>
      <c r="K87" s="26">
        <f>'Займ 776'!K87+'Займ 1 578'!K87</f>
        <v>45111.72626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B88" s="26">
        <v>3.0</v>
      </c>
      <c r="C88" s="26"/>
      <c r="D88" s="26">
        <f>'Займ 776'!D88+'Займ 1 578'!D88</f>
        <v>0</v>
      </c>
      <c r="E88" s="26">
        <f>'Займ 776'!E88+'Займ 1 578'!E88</f>
        <v>32180.68695</v>
      </c>
      <c r="F88" s="26">
        <f>'Займ 776'!F88+'Займ 1 578'!F88</f>
        <v>0</v>
      </c>
      <c r="G88" s="26">
        <f>'Займ 776'!G88+'Займ 1 578'!G88</f>
        <v>12931.03931</v>
      </c>
      <c r="H88" s="26">
        <f>'Займ 776'!H88+'Займ 1 578'!H88</f>
        <v>720891.9829</v>
      </c>
      <c r="I88" s="26">
        <f>'Займ 776'!I88+'Займ 1 578'!I88</f>
        <v>12931.03931</v>
      </c>
      <c r="J88" s="26">
        <f>'Займ 776'!J88+'Займ 1 578'!J88</f>
        <v>0</v>
      </c>
      <c r="K88" s="26">
        <f>'Займ 776'!K88+'Займ 1 578'!K88</f>
        <v>45111.72626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B89" s="26">
        <v>4.0</v>
      </c>
      <c r="C89" s="26"/>
      <c r="D89" s="26">
        <f>'Займ 776'!D89+'Займ 1 578'!D89</f>
        <v>0</v>
      </c>
      <c r="E89" s="26">
        <f>'Займ 776'!E89+'Займ 1 578'!E89</f>
        <v>32368.40762</v>
      </c>
      <c r="F89" s="26">
        <f>'Займ 776'!F89+'Займ 1 578'!F89</f>
        <v>0</v>
      </c>
      <c r="G89" s="26">
        <f>'Займ 776'!G89+'Займ 1 578'!G89</f>
        <v>12743.31863</v>
      </c>
      <c r="H89" s="26">
        <f>'Займ 776'!H89+'Займ 1 578'!H89</f>
        <v>688523.5752</v>
      </c>
      <c r="I89" s="26">
        <f>'Займ 776'!I89+'Займ 1 578'!I89</f>
        <v>12743.31863</v>
      </c>
      <c r="J89" s="26">
        <f>'Займ 776'!J89+'Займ 1 578'!J89</f>
        <v>0</v>
      </c>
      <c r="K89" s="26">
        <f>'Займ 776'!K89+'Займ 1 578'!K89</f>
        <v>45111.72626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B90" s="26">
        <v>5.0</v>
      </c>
      <c r="C90" s="26"/>
      <c r="D90" s="26">
        <f>'Займ 776'!D90+'Займ 1 578'!D90</f>
        <v>0</v>
      </c>
      <c r="E90" s="26">
        <f>'Займ 776'!E90+'Займ 1 578'!E90</f>
        <v>32557.22334</v>
      </c>
      <c r="F90" s="26">
        <f>'Займ 776'!F90+'Займ 1 578'!F90</f>
        <v>0</v>
      </c>
      <c r="G90" s="26">
        <f>'Займ 776'!G90+'Займ 1 578'!G90</f>
        <v>12554.50292</v>
      </c>
      <c r="H90" s="26">
        <f>'Займ 776'!H90+'Займ 1 578'!H90</f>
        <v>655966.3519</v>
      </c>
      <c r="I90" s="26">
        <f>'Займ 776'!I90+'Займ 1 578'!I90</f>
        <v>12554.50292</v>
      </c>
      <c r="J90" s="26">
        <f>'Займ 776'!J90+'Займ 1 578'!J90</f>
        <v>0</v>
      </c>
      <c r="K90" s="26">
        <f>'Займ 776'!K90+'Займ 1 578'!K90</f>
        <v>45111.72626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B91" s="26">
        <v>6.0</v>
      </c>
      <c r="C91" s="26"/>
      <c r="D91" s="26">
        <f>'Займ 776'!D91+'Займ 1 578'!D91</f>
        <v>0</v>
      </c>
      <c r="E91" s="26">
        <f>'Займ 776'!E91+'Займ 1 578'!E91</f>
        <v>32747.14047</v>
      </c>
      <c r="F91" s="26">
        <f>'Займ 776'!F91+'Займ 1 578'!F91</f>
        <v>0</v>
      </c>
      <c r="G91" s="26">
        <f>'Займ 776'!G91+'Займ 1 578'!G91</f>
        <v>12364.58579</v>
      </c>
      <c r="H91" s="26">
        <f>'Займ 776'!H91+'Займ 1 578'!H91</f>
        <v>623219.2114</v>
      </c>
      <c r="I91" s="26">
        <f>'Займ 776'!I91+'Займ 1 578'!I91</f>
        <v>12364.58579</v>
      </c>
      <c r="J91" s="26">
        <f>'Займ 776'!J91+'Займ 1 578'!J91</f>
        <v>0</v>
      </c>
      <c r="K91" s="26">
        <f>'Займ 776'!K91+'Займ 1 578'!K91</f>
        <v>45111.72626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B92" s="26">
        <v>7.0</v>
      </c>
      <c r="C92" s="26"/>
      <c r="D92" s="26">
        <f>'Займ 776'!D92+'Займ 1 578'!D92</f>
        <v>0</v>
      </c>
      <c r="E92" s="26">
        <f>'Займ 776'!E92+'Займ 1 578'!E92</f>
        <v>32938.16546</v>
      </c>
      <c r="F92" s="26">
        <f>'Займ 776'!F92+'Займ 1 578'!F92</f>
        <v>81684.21436</v>
      </c>
      <c r="G92" s="26">
        <f>'Займ 776'!G92+'Займ 1 578'!G92</f>
        <v>12173.5608</v>
      </c>
      <c r="H92" s="26">
        <f>'Займ 776'!H92+'Займ 1 578'!H92</f>
        <v>590281.046</v>
      </c>
      <c r="I92" s="26">
        <f>'Займ 776'!I92+'Займ 1 578'!I92</f>
        <v>12173.5608</v>
      </c>
      <c r="J92" s="26">
        <f>'Займ 776'!J92+'Займ 1 578'!J92</f>
        <v>30483.40467</v>
      </c>
      <c r="K92" s="26">
        <f>'Займ 776'!K92+'Займ 1 578'!K92</f>
        <v>45111.72626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B93" s="26">
        <v>8.0</v>
      </c>
      <c r="C93" s="26"/>
      <c r="D93" s="26">
        <f>'Займ 776'!D93+'Займ 1 578'!D93</f>
        <v>0</v>
      </c>
      <c r="E93" s="26">
        <f>'Займ 776'!E93+'Займ 1 578'!E93</f>
        <v>33130.30476</v>
      </c>
      <c r="F93" s="26">
        <f>'Займ 776'!F93+'Займ 1 578'!F93</f>
        <v>81684.21436</v>
      </c>
      <c r="G93" s="26">
        <f>'Займ 776'!G93+'Займ 1 578'!G93</f>
        <v>11981.4215</v>
      </c>
      <c r="H93" s="26">
        <f>'Займ 776'!H93+'Займ 1 578'!H93</f>
        <v>557150.7412</v>
      </c>
      <c r="I93" s="26">
        <f>'Займ 776'!I93+'Займ 1 578'!I93</f>
        <v>11981.4215</v>
      </c>
      <c r="J93" s="26">
        <f>'Займ 776'!J93+'Займ 1 578'!J93</f>
        <v>30483.40467</v>
      </c>
      <c r="K93" s="26">
        <f>'Займ 776'!K93+'Займ 1 578'!K93</f>
        <v>45111.72626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B94" s="26">
        <v>9.0</v>
      </c>
      <c r="C94" s="26"/>
      <c r="D94" s="26">
        <f>'Займ 776'!D94+'Займ 1 578'!D94</f>
        <v>0</v>
      </c>
      <c r="E94" s="26">
        <f>'Займ 776'!E94+'Займ 1 578'!E94</f>
        <v>33323.56487</v>
      </c>
      <c r="F94" s="26">
        <f>'Займ 776'!F94+'Займ 1 578'!F94</f>
        <v>81684.21436</v>
      </c>
      <c r="G94" s="26">
        <f>'Займ 776'!G94+'Займ 1 578'!G94</f>
        <v>11788.16139</v>
      </c>
      <c r="H94" s="26">
        <f>'Займ 776'!H94+'Займ 1 578'!H94</f>
        <v>523827.1763</v>
      </c>
      <c r="I94" s="26">
        <f>'Займ 776'!I94+'Займ 1 578'!I94</f>
        <v>11788.16139</v>
      </c>
      <c r="J94" s="26">
        <f>'Займ 776'!J94+'Займ 1 578'!J94</f>
        <v>30483.40467</v>
      </c>
      <c r="K94" s="26">
        <f>'Займ 776'!K94+'Займ 1 578'!K94</f>
        <v>45111.72626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B95" s="26">
        <v>10.0</v>
      </c>
      <c r="C95" s="26"/>
      <c r="D95" s="26">
        <f>'Займ 776'!D95+'Займ 1 578'!D95</f>
        <v>0</v>
      </c>
      <c r="E95" s="26">
        <f>'Займ 776'!E95+'Займ 1 578'!E95</f>
        <v>33517.95233</v>
      </c>
      <c r="F95" s="26">
        <f>'Займ 776'!F95+'Займ 1 578'!F95</f>
        <v>81684.21436</v>
      </c>
      <c r="G95" s="26">
        <f>'Займ 776'!G95+'Займ 1 578'!G95</f>
        <v>11593.77393</v>
      </c>
      <c r="H95" s="26">
        <f>'Займ 776'!H95+'Займ 1 578'!H95</f>
        <v>490309.224</v>
      </c>
      <c r="I95" s="26">
        <f>'Займ 776'!I95+'Займ 1 578'!I95</f>
        <v>11593.77393</v>
      </c>
      <c r="J95" s="26">
        <f>'Займ 776'!J95+'Займ 1 578'!J95</f>
        <v>30483.40467</v>
      </c>
      <c r="K95" s="26">
        <f>'Займ 776'!K95+'Займ 1 578'!K95</f>
        <v>45111.72626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B96" s="26">
        <v>11.0</v>
      </c>
      <c r="C96" s="26"/>
      <c r="D96" s="26">
        <f>'Займ 776'!D96+'Займ 1 578'!D96</f>
        <v>0</v>
      </c>
      <c r="E96" s="26">
        <f>'Займ 776'!E96+'Займ 1 578'!E96</f>
        <v>33713.47372</v>
      </c>
      <c r="F96" s="26">
        <f>'Займ 776'!F96+'Займ 1 578'!F96</f>
        <v>81684.21436</v>
      </c>
      <c r="G96" s="26">
        <f>'Займ 776'!G96+'Займ 1 578'!G96</f>
        <v>11398.25254</v>
      </c>
      <c r="H96" s="26">
        <f>'Займ 776'!H96+'Займ 1 578'!H96</f>
        <v>456595.7503</v>
      </c>
      <c r="I96" s="26">
        <f>'Займ 776'!I96+'Займ 1 578'!I96</f>
        <v>11398.25254</v>
      </c>
      <c r="J96" s="26">
        <f>'Займ 776'!J96+'Займ 1 578'!J96</f>
        <v>30483.40467</v>
      </c>
      <c r="K96" s="26">
        <f>'Займ 776'!K96+'Займ 1 578'!K96</f>
        <v>45111.72626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98"/>
      <c r="B97" s="72">
        <v>12.0</v>
      </c>
      <c r="C97" s="72"/>
      <c r="D97" s="72">
        <f>'Займ 776'!D97+'Займ 1 578'!D97</f>
        <v>0</v>
      </c>
      <c r="E97" s="72">
        <f>'Займ 776'!E97+'Займ 1 578'!E97</f>
        <v>33910.13565</v>
      </c>
      <c r="F97" s="72">
        <f>'Займ 776'!F97+'Займ 1 578'!F97</f>
        <v>81684.21436</v>
      </c>
      <c r="G97" s="72">
        <f>'Займ 776'!G97+'Займ 1 578'!G97</f>
        <v>11201.59061</v>
      </c>
      <c r="H97" s="72">
        <f>'Займ 776'!H97+'Займ 1 578'!H97</f>
        <v>422685.6146</v>
      </c>
      <c r="I97" s="72">
        <f>'Займ 776'!I97+'Займ 1 578'!I97</f>
        <v>11201.59061</v>
      </c>
      <c r="J97" s="72">
        <f>'Займ 776'!J97+'Займ 1 578'!J97</f>
        <v>30483.40467</v>
      </c>
      <c r="K97" s="72">
        <f>'Займ 776'!K97+'Займ 1 578'!K97</f>
        <v>45111.72626</v>
      </c>
      <c r="L97" s="26"/>
      <c r="M97" s="26"/>
      <c r="N97" s="26"/>
      <c r="O97" s="26"/>
      <c r="P97" s="26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86">
        <v>2033.0</v>
      </c>
      <c r="B98" s="287">
        <v>1.0</v>
      </c>
      <c r="C98" s="287"/>
      <c r="D98" s="26">
        <f>'Займ 776'!D98+'Займ 1 578'!D98</f>
        <v>0</v>
      </c>
      <c r="E98" s="26">
        <f>'Займ 776'!E98+'Займ 1 578'!E98</f>
        <v>34107.94477</v>
      </c>
      <c r="F98" s="26">
        <f>'Займ 776'!F98+'Займ 1 578'!F98</f>
        <v>0</v>
      </c>
      <c r="G98" s="26">
        <f>'Займ 776'!G98+'Займ 1 578'!G98</f>
        <v>11003.78148</v>
      </c>
      <c r="H98" s="26">
        <f>'Займ 776'!H98+'Займ 1 578'!H98</f>
        <v>388577.6699</v>
      </c>
      <c r="I98" s="26">
        <f>'Займ 776'!I98+'Займ 1 578'!I98</f>
        <v>11003.78148</v>
      </c>
      <c r="J98" s="26">
        <f>'Займ 776'!J98+'Займ 1 578'!J98</f>
        <v>0</v>
      </c>
      <c r="K98" s="26">
        <f>'Займ 776'!K98+'Займ 1 578'!K98</f>
        <v>45111.72626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B99" s="26">
        <v>2.0</v>
      </c>
      <c r="C99" s="26"/>
      <c r="D99" s="26">
        <f>'Займ 776'!D99+'Займ 1 578'!D99</f>
        <v>0</v>
      </c>
      <c r="E99" s="26">
        <f>'Займ 776'!E99+'Займ 1 578'!E99</f>
        <v>34306.90778</v>
      </c>
      <c r="F99" s="26">
        <f>'Займ 776'!F99+'Займ 1 578'!F99</f>
        <v>0</v>
      </c>
      <c r="G99" s="26">
        <f>'Займ 776'!G99+'Займ 1 578'!G99</f>
        <v>10804.81847</v>
      </c>
      <c r="H99" s="26">
        <f>'Займ 776'!H99+'Займ 1 578'!H99</f>
        <v>354270.7621</v>
      </c>
      <c r="I99" s="26">
        <f>'Займ 776'!I99+'Займ 1 578'!I99</f>
        <v>10804.81847</v>
      </c>
      <c r="J99" s="26">
        <f>'Займ 776'!J99+'Займ 1 578'!J99</f>
        <v>0</v>
      </c>
      <c r="K99" s="26">
        <f>'Займ 776'!K99+'Займ 1 578'!K99</f>
        <v>45111.72626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B100" s="26">
        <v>3.0</v>
      </c>
      <c r="C100" s="26"/>
      <c r="D100" s="26">
        <f>'Займ 776'!D100+'Займ 1 578'!D100</f>
        <v>0</v>
      </c>
      <c r="E100" s="26">
        <f>'Займ 776'!E100+'Займ 1 578'!E100</f>
        <v>34507.03141</v>
      </c>
      <c r="F100" s="26">
        <f>'Займ 776'!F100+'Займ 1 578'!F100</f>
        <v>0</v>
      </c>
      <c r="G100" s="26">
        <f>'Займ 776'!G100+'Займ 1 578'!G100</f>
        <v>10604.69484</v>
      </c>
      <c r="H100" s="26">
        <f>'Займ 776'!H100+'Займ 1 578'!H100</f>
        <v>319763.7307</v>
      </c>
      <c r="I100" s="26">
        <f>'Займ 776'!I100+'Займ 1 578'!I100</f>
        <v>10604.69484</v>
      </c>
      <c r="J100" s="26">
        <f>'Займ 776'!J100+'Займ 1 578'!J100</f>
        <v>0</v>
      </c>
      <c r="K100" s="26">
        <f>'Займ 776'!K100+'Займ 1 578'!K100</f>
        <v>45111.72626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B101" s="26">
        <v>4.0</v>
      </c>
      <c r="C101" s="26"/>
      <c r="D101" s="26">
        <f>'Займ 776'!D101+'Займ 1 578'!D101</f>
        <v>0</v>
      </c>
      <c r="E101" s="26">
        <f>'Займ 776'!E101+'Займ 1 578'!E101</f>
        <v>34708.32243</v>
      </c>
      <c r="F101" s="26">
        <f>'Займ 776'!F101+'Займ 1 578'!F101</f>
        <v>0</v>
      </c>
      <c r="G101" s="26">
        <f>'Займ 776'!G101+'Займ 1 578'!G101</f>
        <v>10403.40383</v>
      </c>
      <c r="H101" s="26">
        <f>'Займ 776'!H101+'Займ 1 578'!H101</f>
        <v>285055.4082</v>
      </c>
      <c r="I101" s="26">
        <f>'Займ 776'!I101+'Займ 1 578'!I101</f>
        <v>10403.40383</v>
      </c>
      <c r="J101" s="26">
        <f>'Займ 776'!J101+'Займ 1 578'!J101</f>
        <v>0</v>
      </c>
      <c r="K101" s="26">
        <f>'Займ 776'!K101+'Займ 1 578'!K101</f>
        <v>45111.72626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B102" s="26">
        <v>5.0</v>
      </c>
      <c r="C102" s="26"/>
      <c r="D102" s="26">
        <f>'Займ 776'!D102+'Займ 1 578'!D102</f>
        <v>0</v>
      </c>
      <c r="E102" s="26">
        <f>'Займ 776'!E102+'Займ 1 578'!E102</f>
        <v>34910.78764</v>
      </c>
      <c r="F102" s="26">
        <f>'Займ 776'!F102+'Займ 1 578'!F102</f>
        <v>0</v>
      </c>
      <c r="G102" s="26">
        <f>'Займ 776'!G102+'Займ 1 578'!G102</f>
        <v>10200.93861</v>
      </c>
      <c r="H102" s="26">
        <f>'Займ 776'!H102+'Займ 1 578'!H102</f>
        <v>250144.6206</v>
      </c>
      <c r="I102" s="26">
        <f>'Займ 776'!I102+'Займ 1 578'!I102</f>
        <v>10200.93861</v>
      </c>
      <c r="J102" s="26">
        <f>'Займ 776'!J102+'Займ 1 578'!J102</f>
        <v>0</v>
      </c>
      <c r="K102" s="26">
        <f>'Займ 776'!K102+'Займ 1 578'!K102</f>
        <v>45111.72626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B103" s="26">
        <v>6.0</v>
      </c>
      <c r="C103" s="26"/>
      <c r="D103" s="26">
        <f>'Займ 776'!D103+'Займ 1 578'!D103</f>
        <v>0</v>
      </c>
      <c r="E103" s="26">
        <f>'Займ 776'!E103+'Займ 1 578'!E103</f>
        <v>35114.4339</v>
      </c>
      <c r="F103" s="26">
        <f>'Займ 776'!F103+'Займ 1 578'!F103</f>
        <v>0</v>
      </c>
      <c r="G103" s="26">
        <f>'Займ 776'!G103+'Займ 1 578'!G103</f>
        <v>9997.292353</v>
      </c>
      <c r="H103" s="26">
        <f>'Займ 776'!H103+'Займ 1 578'!H103</f>
        <v>215030.1867</v>
      </c>
      <c r="I103" s="26">
        <f>'Займ 776'!I103+'Займ 1 578'!I103</f>
        <v>9997.292353</v>
      </c>
      <c r="J103" s="26">
        <f>'Займ 776'!J103+'Займ 1 578'!J103</f>
        <v>0</v>
      </c>
      <c r="K103" s="26">
        <f>'Займ 776'!K103+'Займ 1 578'!K103</f>
        <v>45111.72626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B104" s="26">
        <v>7.0</v>
      </c>
      <c r="C104" s="26"/>
      <c r="D104" s="26">
        <f>'Займ 776'!D104+'Займ 1 578'!D104</f>
        <v>0</v>
      </c>
      <c r="E104" s="26">
        <f>'Займ 776'!E104+'Займ 1 578'!E104</f>
        <v>35319.2681</v>
      </c>
      <c r="F104" s="26">
        <f>'Займ 776'!F104+'Займ 1 578'!F104</f>
        <v>70447.60244</v>
      </c>
      <c r="G104" s="26">
        <f>'Займ 776'!G104+'Займ 1 578'!G104</f>
        <v>9792.458155</v>
      </c>
      <c r="H104" s="26">
        <f>'Займ 776'!H104+'Займ 1 578'!H104</f>
        <v>179710.9186</v>
      </c>
      <c r="I104" s="26">
        <f>'Займ 776'!I104+'Займ 1 578'!I104</f>
        <v>9792.458155</v>
      </c>
      <c r="J104" s="26">
        <f>'Займ 776'!J104+'Займ 1 578'!J104</f>
        <v>19775.85007</v>
      </c>
      <c r="K104" s="26">
        <f>'Займ 776'!K104+'Займ 1 578'!K104</f>
        <v>45111.72626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B105" s="26">
        <v>8.0</v>
      </c>
      <c r="C105" s="26"/>
      <c r="D105" s="26">
        <f>'Займ 776'!D105+'Займ 1 578'!D105</f>
        <v>0</v>
      </c>
      <c r="E105" s="26">
        <f>'Займ 776'!E105+'Займ 1 578'!E105</f>
        <v>35525.29717</v>
      </c>
      <c r="F105" s="26">
        <f>'Займ 776'!F105+'Займ 1 578'!F105</f>
        <v>70447.60244</v>
      </c>
      <c r="G105" s="26">
        <f>'Займ 776'!G105+'Займ 1 578'!G105</f>
        <v>9586.429091</v>
      </c>
      <c r="H105" s="26">
        <f>'Займ 776'!H105+'Займ 1 578'!H105</f>
        <v>144185.6214</v>
      </c>
      <c r="I105" s="26">
        <f>'Займ 776'!I105+'Займ 1 578'!I105</f>
        <v>9586.429091</v>
      </c>
      <c r="J105" s="26">
        <f>'Займ 776'!J105+'Займ 1 578'!J105</f>
        <v>19775.85007</v>
      </c>
      <c r="K105" s="26">
        <f>'Займ 776'!K105+'Займ 1 578'!K105</f>
        <v>45111.72626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B106" s="26">
        <v>9.0</v>
      </c>
      <c r="C106" s="26"/>
      <c r="D106" s="26">
        <f>'Займ 776'!D106+'Займ 1 578'!D106</f>
        <v>0</v>
      </c>
      <c r="E106" s="26">
        <f>'Займ 776'!E106+'Займ 1 578'!E106</f>
        <v>35732.52807</v>
      </c>
      <c r="F106" s="26">
        <f>'Займ 776'!F106+'Займ 1 578'!F106</f>
        <v>70447.60244</v>
      </c>
      <c r="G106" s="26">
        <f>'Займ 776'!G106+'Займ 1 578'!G106</f>
        <v>9379.198191</v>
      </c>
      <c r="H106" s="26">
        <f>'Займ 776'!H106+'Займ 1 578'!H106</f>
        <v>108453.0934</v>
      </c>
      <c r="I106" s="26">
        <f>'Займ 776'!I106+'Займ 1 578'!I106</f>
        <v>9379.198191</v>
      </c>
      <c r="J106" s="26">
        <f>'Займ 776'!J106+'Займ 1 578'!J106</f>
        <v>19775.85007</v>
      </c>
      <c r="K106" s="26">
        <f>'Займ 776'!K106+'Займ 1 578'!K106</f>
        <v>45111.72626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B107" s="26">
        <v>10.0</v>
      </c>
      <c r="C107" s="26"/>
      <c r="D107" s="26">
        <f>'Займ 776'!D107+'Займ 1 578'!D107</f>
        <v>0</v>
      </c>
      <c r="E107" s="26">
        <f>'Займ 776'!E107+'Займ 1 578'!E107</f>
        <v>35940.96781</v>
      </c>
      <c r="F107" s="26">
        <f>'Займ 776'!F107+'Займ 1 578'!F107</f>
        <v>70447.60244</v>
      </c>
      <c r="G107" s="26">
        <f>'Займ 776'!G107+'Займ 1 578'!G107</f>
        <v>9170.758444</v>
      </c>
      <c r="H107" s="26">
        <f>'Займ 776'!H107+'Займ 1 578'!H107</f>
        <v>72512.12555</v>
      </c>
      <c r="I107" s="26">
        <f>'Займ 776'!I107+'Займ 1 578'!I107</f>
        <v>9170.758444</v>
      </c>
      <c r="J107" s="26">
        <f>'Займ 776'!J107+'Займ 1 578'!J107</f>
        <v>19775.85007</v>
      </c>
      <c r="K107" s="26">
        <f>'Займ 776'!K107+'Займ 1 578'!K107</f>
        <v>45111.72626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B108" s="26">
        <v>11.0</v>
      </c>
      <c r="C108" s="26"/>
      <c r="D108" s="26">
        <f>'Займ 776'!D108+'Займ 1 578'!D108</f>
        <v>0</v>
      </c>
      <c r="E108" s="26">
        <f>'Займ 776'!E108+'Займ 1 578'!E108</f>
        <v>36150.62346</v>
      </c>
      <c r="F108" s="26">
        <f>'Займ 776'!F108+'Займ 1 578'!F108</f>
        <v>70447.60244</v>
      </c>
      <c r="G108" s="26">
        <f>'Займ 776'!G108+'Займ 1 578'!G108</f>
        <v>8961.102798</v>
      </c>
      <c r="H108" s="26">
        <f>'Займ 776'!H108+'Займ 1 578'!H108</f>
        <v>36361.5021</v>
      </c>
      <c r="I108" s="26">
        <f>'Займ 776'!I108+'Займ 1 578'!I108</f>
        <v>8961.102798</v>
      </c>
      <c r="J108" s="26">
        <f>'Займ 776'!J108+'Займ 1 578'!J108</f>
        <v>19775.85007</v>
      </c>
      <c r="K108" s="26">
        <f>'Займ 776'!K108+'Займ 1 578'!K108</f>
        <v>45111.72626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98"/>
      <c r="B109" s="72">
        <v>12.0</v>
      </c>
      <c r="C109" s="72"/>
      <c r="D109" s="72">
        <f>'Займ 776'!D109+'Займ 1 578'!D109</f>
        <v>0</v>
      </c>
      <c r="E109" s="72">
        <f>'Займ 776'!E109+'Займ 1 578'!E109</f>
        <v>36361.5021</v>
      </c>
      <c r="F109" s="72">
        <f>'Займ 776'!F109+'Займ 1 578'!F109</f>
        <v>70447.60244</v>
      </c>
      <c r="G109" s="72">
        <f>'Займ 776'!G109+'Займ 1 578'!G109</f>
        <v>8750.224162</v>
      </c>
      <c r="H109" s="72">
        <f>'Займ 776'!H109+'Займ 1 578'!H109</f>
        <v>0.0000000080508471</v>
      </c>
      <c r="I109" s="72">
        <f>'Займ 776'!I109+'Займ 1 578'!I109</f>
        <v>8750.224162</v>
      </c>
      <c r="J109" s="72">
        <f>'Займ 776'!J109+'Займ 1 578'!J109</f>
        <v>19775.85007</v>
      </c>
      <c r="K109" s="72">
        <f>'Займ 776'!K109+'Займ 1 578'!K109</f>
        <v>45111.72626</v>
      </c>
      <c r="L109" s="26"/>
      <c r="M109" s="26"/>
      <c r="N109" s="26"/>
      <c r="O109" s="26"/>
      <c r="P109" s="26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88">
        <v>2034.0</v>
      </c>
      <c r="B110" s="287">
        <v>1.0</v>
      </c>
      <c r="C110" s="287"/>
      <c r="D110" s="26"/>
      <c r="E110" s="26"/>
      <c r="F110" s="26"/>
      <c r="G110" s="26"/>
      <c r="H110" s="26"/>
      <c r="I110" s="26"/>
      <c r="J110" s="26"/>
      <c r="K110" s="26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B111" s="26">
        <v>2.0</v>
      </c>
      <c r="C111" s="26"/>
      <c r="D111" s="26"/>
      <c r="E111" s="26"/>
      <c r="F111" s="26"/>
      <c r="G111" s="26"/>
      <c r="H111" s="26"/>
      <c r="I111" s="26"/>
      <c r="J111" s="26"/>
      <c r="K111" s="26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B112" s="26">
        <v>3.0</v>
      </c>
      <c r="C112" s="26"/>
      <c r="D112" s="26"/>
      <c r="E112" s="26"/>
      <c r="F112" s="26"/>
      <c r="G112" s="26"/>
      <c r="H112" s="26"/>
      <c r="I112" s="26"/>
      <c r="J112" s="26"/>
      <c r="K112" s="26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B113" s="26">
        <v>4.0</v>
      </c>
      <c r="C113" s="26"/>
      <c r="D113" s="26"/>
      <c r="E113" s="26"/>
      <c r="F113" s="26"/>
      <c r="G113" s="26"/>
      <c r="H113" s="26"/>
      <c r="I113" s="26"/>
      <c r="J113" s="26"/>
      <c r="K113" s="26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B114" s="26">
        <v>5.0</v>
      </c>
      <c r="C114" s="26"/>
      <c r="D114" s="26"/>
      <c r="E114" s="26"/>
      <c r="F114" s="26"/>
      <c r="G114" s="26"/>
      <c r="H114" s="26"/>
      <c r="I114" s="26"/>
      <c r="J114" s="26"/>
      <c r="K114" s="26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B115" s="26">
        <v>6.0</v>
      </c>
      <c r="C115" s="26"/>
      <c r="D115" s="26"/>
      <c r="E115" s="26"/>
      <c r="F115" s="26"/>
      <c r="G115" s="26"/>
      <c r="H115" s="26"/>
      <c r="I115" s="26"/>
      <c r="J115" s="26"/>
      <c r="K115" s="26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B116" s="26">
        <v>7.0</v>
      </c>
      <c r="C116" s="26"/>
      <c r="D116" s="26"/>
      <c r="E116" s="26"/>
      <c r="F116" s="26"/>
      <c r="G116" s="26"/>
      <c r="H116" s="26"/>
      <c r="I116" s="26"/>
      <c r="J116" s="26"/>
      <c r="K116" s="26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B117" s="26">
        <v>8.0</v>
      </c>
      <c r="C117" s="26"/>
      <c r="D117" s="26"/>
      <c r="E117" s="26"/>
      <c r="F117" s="26"/>
      <c r="G117" s="26"/>
      <c r="H117" s="26"/>
      <c r="I117" s="26"/>
      <c r="J117" s="26"/>
      <c r="K117" s="26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B118" s="26">
        <v>9.0</v>
      </c>
      <c r="C118" s="26"/>
      <c r="D118" s="26"/>
      <c r="E118" s="26"/>
      <c r="F118" s="26"/>
      <c r="G118" s="26"/>
      <c r="H118" s="26"/>
      <c r="I118" s="26"/>
      <c r="J118" s="26"/>
      <c r="K118" s="26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B119" s="26">
        <v>10.0</v>
      </c>
      <c r="C119" s="26"/>
      <c r="D119" s="26"/>
      <c r="E119" s="26"/>
      <c r="F119" s="26"/>
      <c r="G119" s="26"/>
      <c r="H119" s="26"/>
      <c r="I119" s="26"/>
      <c r="J119" s="26"/>
      <c r="K119" s="26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B120" s="26">
        <v>11.0</v>
      </c>
      <c r="C120" s="26"/>
      <c r="D120" s="26"/>
      <c r="E120" s="26"/>
      <c r="F120" s="26"/>
      <c r="G120" s="26"/>
      <c r="H120" s="26"/>
      <c r="I120" s="26"/>
      <c r="J120" s="26"/>
      <c r="K120" s="26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98"/>
      <c r="B121" s="72">
        <v>12.0</v>
      </c>
      <c r="C121" s="72"/>
      <c r="D121" s="72"/>
      <c r="E121" s="72"/>
      <c r="F121" s="72"/>
      <c r="G121" s="72"/>
      <c r="H121" s="72"/>
      <c r="I121" s="72"/>
      <c r="J121" s="72"/>
      <c r="K121" s="72"/>
      <c r="L121" s="26"/>
      <c r="M121" s="26"/>
      <c r="N121" s="26"/>
      <c r="O121" s="26"/>
      <c r="P121" s="26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88">
        <v>2035.0</v>
      </c>
      <c r="B122" s="287">
        <v>1.0</v>
      </c>
      <c r="C122" s="287"/>
      <c r="D122" s="26"/>
      <c r="E122" s="26"/>
      <c r="F122" s="26"/>
      <c r="G122" s="26"/>
      <c r="H122" s="26"/>
      <c r="I122" s="26"/>
      <c r="J122" s="26"/>
      <c r="K122" s="26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B123" s="26">
        <v>2.0</v>
      </c>
      <c r="C123" s="26"/>
      <c r="D123" s="26"/>
      <c r="E123" s="26"/>
      <c r="F123" s="26"/>
      <c r="G123" s="26"/>
      <c r="H123" s="26"/>
      <c r="I123" s="26"/>
      <c r="J123" s="26"/>
      <c r="K123" s="26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B124" s="26">
        <v>3.0</v>
      </c>
      <c r="C124" s="26"/>
      <c r="D124" s="26"/>
      <c r="E124" s="26"/>
      <c r="F124" s="26"/>
      <c r="G124" s="26"/>
      <c r="H124" s="26"/>
      <c r="I124" s="26"/>
      <c r="J124" s="26"/>
      <c r="K124" s="26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B125" s="26">
        <v>4.0</v>
      </c>
      <c r="C125" s="26"/>
      <c r="D125" s="26"/>
      <c r="E125" s="26"/>
      <c r="F125" s="26"/>
      <c r="G125" s="26"/>
      <c r="H125" s="26"/>
      <c r="I125" s="26"/>
      <c r="J125" s="26"/>
      <c r="K125" s="26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B126" s="26">
        <v>5.0</v>
      </c>
      <c r="C126" s="26"/>
      <c r="D126" s="26"/>
      <c r="E126" s="26"/>
      <c r="F126" s="26"/>
      <c r="G126" s="26"/>
      <c r="H126" s="26"/>
      <c r="I126" s="26"/>
      <c r="J126" s="26"/>
      <c r="K126" s="26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B127" s="26">
        <v>6.0</v>
      </c>
      <c r="C127" s="26"/>
      <c r="D127" s="26"/>
      <c r="E127" s="26"/>
      <c r="F127" s="26"/>
      <c r="G127" s="26"/>
      <c r="H127" s="26"/>
      <c r="I127" s="26"/>
      <c r="J127" s="26"/>
      <c r="K127" s="26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B128" s="26">
        <v>7.0</v>
      </c>
      <c r="C128" s="26"/>
      <c r="D128" s="26"/>
      <c r="E128" s="26"/>
      <c r="F128" s="26"/>
      <c r="G128" s="26"/>
      <c r="H128" s="26"/>
      <c r="I128" s="26"/>
      <c r="J128" s="26"/>
      <c r="K128" s="26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B129" s="26">
        <v>8.0</v>
      </c>
      <c r="C129" s="26"/>
      <c r="D129" s="26"/>
      <c r="E129" s="26"/>
      <c r="F129" s="26"/>
      <c r="G129" s="26"/>
      <c r="H129" s="26"/>
      <c r="I129" s="26"/>
      <c r="J129" s="26"/>
      <c r="K129" s="26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B130" s="26">
        <v>9.0</v>
      </c>
      <c r="C130" s="26"/>
      <c r="D130" s="26"/>
      <c r="E130" s="26"/>
      <c r="F130" s="26"/>
      <c r="G130" s="26"/>
      <c r="H130" s="26"/>
      <c r="I130" s="26"/>
      <c r="J130" s="26"/>
      <c r="K130" s="26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B131" s="26">
        <v>10.0</v>
      </c>
      <c r="C131" s="26"/>
      <c r="D131" s="26"/>
      <c r="E131" s="26"/>
      <c r="F131" s="26"/>
      <c r="G131" s="26"/>
      <c r="H131" s="26"/>
      <c r="I131" s="26"/>
      <c r="J131" s="26"/>
      <c r="K131" s="26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B132" s="26">
        <v>11.0</v>
      </c>
      <c r="C132" s="26"/>
      <c r="D132" s="26"/>
      <c r="E132" s="26"/>
      <c r="F132" s="26"/>
      <c r="G132" s="26"/>
      <c r="H132" s="26"/>
      <c r="I132" s="26"/>
      <c r="J132" s="26"/>
      <c r="K132" s="26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98"/>
      <c r="B133" s="72">
        <v>12.0</v>
      </c>
      <c r="C133" s="72"/>
      <c r="D133" s="72"/>
      <c r="E133" s="72"/>
      <c r="F133" s="72"/>
      <c r="G133" s="72"/>
      <c r="H133" s="72"/>
      <c r="I133" s="72"/>
      <c r="J133" s="72"/>
      <c r="K133" s="72"/>
      <c r="L133" s="26"/>
      <c r="M133" s="26"/>
      <c r="N133" s="26"/>
      <c r="O133" s="26"/>
      <c r="P133" s="26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89"/>
      <c r="B134" s="289"/>
      <c r="C134" s="290"/>
      <c r="D134" s="290">
        <f t="shared" ref="D134:G134" si="1">SUM(D14:D133)</f>
        <v>2355561.094</v>
      </c>
      <c r="E134" s="290">
        <f t="shared" si="1"/>
        <v>2355561.094</v>
      </c>
      <c r="F134" s="290">
        <f t="shared" si="1"/>
        <v>2355561.094</v>
      </c>
      <c r="G134" s="290">
        <f t="shared" si="1"/>
        <v>1038561.674</v>
      </c>
      <c r="H134" s="290"/>
      <c r="I134" s="290">
        <f t="shared" ref="I134:K134" si="2">SUM(I14:I133)</f>
        <v>1038561.674</v>
      </c>
      <c r="J134" s="290">
        <f t="shared" si="2"/>
        <v>1038561.674</v>
      </c>
      <c r="K134" s="290">
        <f t="shared" si="2"/>
        <v>3394122.768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54"/>
      <c r="F137" s="54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A98:A109"/>
    <mergeCell ref="A110:A121"/>
    <mergeCell ref="A122:A133"/>
    <mergeCell ref="A14:A25"/>
    <mergeCell ref="A26:A37"/>
    <mergeCell ref="A38:A49"/>
    <mergeCell ref="A50:A61"/>
    <mergeCell ref="A62:A73"/>
    <mergeCell ref="A74:A85"/>
    <mergeCell ref="A86:A97"/>
  </mergeCells>
  <printOptions/>
  <pageMargins bottom="0.48" footer="0.0" header="0.0" left="0.75" right="0.75" top="0.49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 outlineLevelCol="1"/>
  <cols>
    <col customWidth="1" min="1" max="1" width="10.86"/>
    <col customWidth="1" min="2" max="2" width="21.14"/>
    <col customWidth="1" min="3" max="3" width="20.29"/>
    <col customWidth="1" min="4" max="4" width="15.0"/>
    <col customWidth="1" min="5" max="5" width="11.71" outlineLevel="1"/>
    <col customWidth="1" min="6" max="6" width="11.71"/>
    <col customWidth="1" min="7" max="7" width="18.0" outlineLevel="1"/>
    <col customWidth="1" min="8" max="8" width="15.14"/>
    <col customWidth="1" min="9" max="9" width="11.71" outlineLevel="1"/>
    <col customWidth="1" min="10" max="11" width="11.71"/>
    <col customWidth="1" min="12" max="12" width="8.86"/>
    <col customWidth="1" min="13" max="13" width="29.29"/>
    <col customWidth="1" min="14" max="14" width="8.86"/>
    <col customWidth="1" min="15" max="15" width="11.71"/>
    <col customWidth="1" min="16" max="16" width="13.86"/>
    <col customWidth="1" min="17" max="26" width="8.86"/>
  </cols>
  <sheetData>
    <row r="1" ht="12.75" customHeight="1">
      <c r="A1" s="1" t="str">
        <f>Panel!A1</f>
        <v/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 t="str">
        <f>Panel!A2</f>
        <v>Строительство ГЭС -5 МВТ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" t="s">
        <v>291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2"/>
      <c r="B5" s="2"/>
      <c r="C5" s="2"/>
      <c r="D5" s="28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233" t="s">
        <v>292</v>
      </c>
      <c r="B6" s="26"/>
      <c r="C6" s="26"/>
      <c r="D6" s="283"/>
      <c r="E6" s="24">
        <f>'Инвестиции'!$G$20</f>
        <v>0.3297667448</v>
      </c>
      <c r="F6" s="26"/>
      <c r="G6" s="26"/>
      <c r="H6" s="26"/>
      <c r="I6" s="26"/>
      <c r="J6" s="26"/>
      <c r="K6" s="2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6" t="s">
        <v>293</v>
      </c>
      <c r="B8" s="2"/>
      <c r="C8" s="284">
        <f>C9*50%</f>
        <v>0.07</v>
      </c>
      <c r="D8" s="2"/>
      <c r="E8" s="26"/>
      <c r="F8" s="26"/>
      <c r="G8" s="24"/>
      <c r="H8" s="26"/>
      <c r="I8" s="26"/>
      <c r="J8" s="26"/>
      <c r="K8" s="2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6" t="s">
        <v>294</v>
      </c>
      <c r="B9" s="2"/>
      <c r="C9" s="284">
        <v>0.14</v>
      </c>
      <c r="D9" s="2"/>
      <c r="E9" s="26"/>
      <c r="F9" s="26"/>
      <c r="G9" s="26"/>
      <c r="H9" s="26"/>
      <c r="I9" s="26"/>
      <c r="J9" s="26"/>
      <c r="K9" s="2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6" t="s">
        <v>295</v>
      </c>
      <c r="B10" s="2"/>
      <c r="C10" s="29">
        <v>81.0</v>
      </c>
      <c r="D10" s="2" t="s">
        <v>296</v>
      </c>
      <c r="E10" s="26"/>
      <c r="F10" s="26"/>
      <c r="G10" s="26"/>
      <c r="H10" s="26"/>
      <c r="I10" s="26"/>
      <c r="J10" s="26"/>
      <c r="K10" s="2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4"/>
      <c r="B11" s="2"/>
      <c r="C11" s="26"/>
      <c r="D11" s="2"/>
      <c r="E11" s="26"/>
      <c r="F11" s="26"/>
      <c r="G11" s="26"/>
      <c r="H11" s="26"/>
      <c r="I11" s="26"/>
      <c r="J11" s="26"/>
      <c r="K11" s="2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34" t="s">
        <v>42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85" t="s">
        <v>231</v>
      </c>
      <c r="B13" s="285" t="s">
        <v>297</v>
      </c>
      <c r="C13" s="285" t="s">
        <v>298</v>
      </c>
      <c r="D13" s="285" t="s">
        <v>299</v>
      </c>
      <c r="E13" s="285" t="s">
        <v>300</v>
      </c>
      <c r="F13" s="285" t="s">
        <v>300</v>
      </c>
      <c r="G13" s="285" t="s">
        <v>301</v>
      </c>
      <c r="H13" s="285" t="s">
        <v>302</v>
      </c>
      <c r="I13" s="285" t="s">
        <v>303</v>
      </c>
      <c r="J13" s="285" t="s">
        <v>303</v>
      </c>
      <c r="K13" s="285" t="s">
        <v>304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88">
        <v>2026.0</v>
      </c>
      <c r="B14" s="26">
        <v>1.0</v>
      </c>
      <c r="C14" s="26"/>
      <c r="D14" s="26">
        <f>('A-0'!O22)*('Инвестиции'!$G$20)</f>
        <v>75462.03436</v>
      </c>
      <c r="E14" s="26"/>
      <c r="F14" s="26"/>
      <c r="G14" s="26"/>
      <c r="H14" s="287">
        <f>D14</f>
        <v>75462.03436</v>
      </c>
      <c r="I14" s="26" t="str">
        <f t="shared" ref="I14:I109" si="1">G14</f>
        <v/>
      </c>
      <c r="J14" s="26"/>
      <c r="K14" s="26"/>
      <c r="L14" s="2"/>
      <c r="M14" s="6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B15" s="26">
        <v>2.0</v>
      </c>
      <c r="C15" s="26"/>
      <c r="D15" s="26">
        <f>('A-0'!P22)*('Инвестиции'!$G$20)</f>
        <v>63756.69818</v>
      </c>
      <c r="E15" s="26">
        <f t="shared" ref="E15:E27" si="2">(1+$C$8/12)*E14</f>
        <v>0</v>
      </c>
      <c r="F15" s="26"/>
      <c r="G15" s="26"/>
      <c r="H15" s="26">
        <f t="shared" ref="H15:H25" si="3">H14+D15</f>
        <v>139218.7325</v>
      </c>
      <c r="I15" s="26" t="str">
        <f t="shared" si="1"/>
        <v/>
      </c>
      <c r="J15" s="26"/>
      <c r="K15" s="2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B16" s="26">
        <v>3.0</v>
      </c>
      <c r="C16" s="26"/>
      <c r="D16" s="26">
        <f>('A-0'!Q22)*('Инвестиции'!$G$20)</f>
        <v>63756.69818</v>
      </c>
      <c r="E16" s="26">
        <f t="shared" si="2"/>
        <v>0</v>
      </c>
      <c r="F16" s="26"/>
      <c r="G16" s="26"/>
      <c r="H16" s="26">
        <f t="shared" si="3"/>
        <v>202975.4307</v>
      </c>
      <c r="I16" s="26" t="str">
        <f t="shared" si="1"/>
        <v/>
      </c>
      <c r="J16" s="26"/>
      <c r="K16" s="2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B17" s="26">
        <v>4.0</v>
      </c>
      <c r="C17" s="26"/>
      <c r="D17" s="26">
        <f>('A-0'!R22)*('Инвестиции'!$G$20)</f>
        <v>63756.69818</v>
      </c>
      <c r="E17" s="26">
        <f t="shared" si="2"/>
        <v>0</v>
      </c>
      <c r="F17" s="26"/>
      <c r="G17" s="26">
        <f t="shared" ref="G17:G28" si="4">H17*$C$8/12</f>
        <v>1555.937418</v>
      </c>
      <c r="H17" s="26">
        <f t="shared" si="3"/>
        <v>266732.1289</v>
      </c>
      <c r="I17" s="26">
        <f t="shared" si="1"/>
        <v>1555.937418</v>
      </c>
      <c r="J17" s="26">
        <f t="shared" ref="J17:J25" si="5">I17</f>
        <v>1555.937418</v>
      </c>
      <c r="K17" s="26">
        <f t="shared" ref="K17:K28" si="6">I17</f>
        <v>1555.937418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B18" s="26">
        <v>5.0</v>
      </c>
      <c r="C18" s="26"/>
      <c r="D18" s="26">
        <f>('A-0'!S22)*('Инвестиции'!$G$20)</f>
        <v>63756.69818</v>
      </c>
      <c r="E18" s="26">
        <f t="shared" si="2"/>
        <v>0</v>
      </c>
      <c r="F18" s="26"/>
      <c r="G18" s="26">
        <f t="shared" si="4"/>
        <v>1927.851491</v>
      </c>
      <c r="H18" s="26">
        <f t="shared" si="3"/>
        <v>330488.8271</v>
      </c>
      <c r="I18" s="26">
        <f t="shared" si="1"/>
        <v>1927.851491</v>
      </c>
      <c r="J18" s="26">
        <f t="shared" si="5"/>
        <v>1927.851491</v>
      </c>
      <c r="K18" s="26">
        <f t="shared" si="6"/>
        <v>1927.851491</v>
      </c>
      <c r="L18" s="2"/>
      <c r="M18" s="2"/>
      <c r="N18" s="2"/>
      <c r="O18" s="2"/>
      <c r="P18" s="26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B19" s="26">
        <v>6.0</v>
      </c>
      <c r="C19" s="26"/>
      <c r="D19" s="26">
        <f>('A-0'!T22)*('Инвестиции'!$G$20)</f>
        <v>63756.69818</v>
      </c>
      <c r="E19" s="26">
        <f t="shared" si="2"/>
        <v>0</v>
      </c>
      <c r="F19" s="26"/>
      <c r="G19" s="26">
        <f t="shared" si="4"/>
        <v>2299.765564</v>
      </c>
      <c r="H19" s="26">
        <f t="shared" si="3"/>
        <v>394245.5252</v>
      </c>
      <c r="I19" s="26">
        <f t="shared" si="1"/>
        <v>2299.765564</v>
      </c>
      <c r="J19" s="26">
        <f t="shared" si="5"/>
        <v>2299.765564</v>
      </c>
      <c r="K19" s="26">
        <f t="shared" si="6"/>
        <v>2299.765564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B20" s="26">
        <v>7.0</v>
      </c>
      <c r="C20" s="26"/>
      <c r="D20" s="26">
        <f>('A-0'!U22)*('Инвестиции'!$G$20)</f>
        <v>63756.69818</v>
      </c>
      <c r="E20" s="26">
        <f t="shared" si="2"/>
        <v>0</v>
      </c>
      <c r="F20" s="26"/>
      <c r="G20" s="26">
        <f t="shared" si="4"/>
        <v>2671.679637</v>
      </c>
      <c r="H20" s="26">
        <f t="shared" si="3"/>
        <v>458002.2234</v>
      </c>
      <c r="I20" s="26">
        <f t="shared" si="1"/>
        <v>2671.679637</v>
      </c>
      <c r="J20" s="26">
        <f t="shared" si="5"/>
        <v>2671.679637</v>
      </c>
      <c r="K20" s="26">
        <f t="shared" si="6"/>
        <v>2671.679637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B21" s="26">
        <v>8.0</v>
      </c>
      <c r="C21" s="26"/>
      <c r="D21" s="26">
        <f>('A-0'!V22)*('Инвестиции'!$G$20)</f>
        <v>63756.69818</v>
      </c>
      <c r="E21" s="26">
        <f t="shared" si="2"/>
        <v>0</v>
      </c>
      <c r="F21" s="26"/>
      <c r="G21" s="26">
        <f t="shared" si="4"/>
        <v>3043.593709</v>
      </c>
      <c r="H21" s="26">
        <f t="shared" si="3"/>
        <v>521758.9216</v>
      </c>
      <c r="I21" s="26">
        <f t="shared" si="1"/>
        <v>3043.593709</v>
      </c>
      <c r="J21" s="26">
        <f t="shared" si="5"/>
        <v>3043.593709</v>
      </c>
      <c r="K21" s="26">
        <f t="shared" si="6"/>
        <v>3043.593709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B22" s="26">
        <v>9.0</v>
      </c>
      <c r="C22" s="26"/>
      <c r="D22" s="26">
        <f>('A-0'!W22)*('Инвестиции'!$G$20)</f>
        <v>63756.69818</v>
      </c>
      <c r="E22" s="26">
        <f t="shared" si="2"/>
        <v>0</v>
      </c>
      <c r="F22" s="26"/>
      <c r="G22" s="26">
        <f t="shared" si="4"/>
        <v>3415.507782</v>
      </c>
      <c r="H22" s="26">
        <f t="shared" si="3"/>
        <v>585515.6198</v>
      </c>
      <c r="I22" s="26">
        <f t="shared" si="1"/>
        <v>3415.507782</v>
      </c>
      <c r="J22" s="26">
        <f t="shared" si="5"/>
        <v>3415.507782</v>
      </c>
      <c r="K22" s="26">
        <f t="shared" si="6"/>
        <v>3415.507782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B23" s="26">
        <v>10.0</v>
      </c>
      <c r="C23" s="26"/>
      <c r="D23" s="26">
        <f>('A-0'!X22)*('Инвестиции'!$G$20)</f>
        <v>63756.69818</v>
      </c>
      <c r="E23" s="26">
        <f t="shared" si="2"/>
        <v>0</v>
      </c>
      <c r="F23" s="26"/>
      <c r="G23" s="26">
        <f t="shared" si="4"/>
        <v>3787.421855</v>
      </c>
      <c r="H23" s="26">
        <f t="shared" si="3"/>
        <v>649272.3179</v>
      </c>
      <c r="I23" s="26">
        <f t="shared" si="1"/>
        <v>3787.421855</v>
      </c>
      <c r="J23" s="26">
        <f t="shared" si="5"/>
        <v>3787.421855</v>
      </c>
      <c r="K23" s="26">
        <f t="shared" si="6"/>
        <v>3787.421855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B24" s="26">
        <v>11.0</v>
      </c>
      <c r="C24" s="26"/>
      <c r="D24" s="26">
        <f>('A-0'!Y22)*('Инвестиции'!$G$20)</f>
        <v>63756.69818</v>
      </c>
      <c r="E24" s="26">
        <f t="shared" si="2"/>
        <v>0</v>
      </c>
      <c r="F24" s="26"/>
      <c r="G24" s="26">
        <f t="shared" si="4"/>
        <v>4159.335927</v>
      </c>
      <c r="H24" s="26">
        <f t="shared" si="3"/>
        <v>713029.0161</v>
      </c>
      <c r="I24" s="26">
        <f t="shared" si="1"/>
        <v>4159.335927</v>
      </c>
      <c r="J24" s="26">
        <f t="shared" si="5"/>
        <v>4159.335927</v>
      </c>
      <c r="K24" s="26">
        <f t="shared" si="6"/>
        <v>4159.335927</v>
      </c>
      <c r="L24" s="2"/>
      <c r="M24" s="2"/>
      <c r="N24" s="2"/>
      <c r="O24" s="2"/>
      <c r="P24" s="2"/>
      <c r="Q24" s="24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98"/>
      <c r="B25" s="26">
        <v>12.0</v>
      </c>
      <c r="C25" s="26"/>
      <c r="D25" s="72">
        <f>('A-0'!Z22)*('Инвестиции'!$G$20)</f>
        <v>63756.69818</v>
      </c>
      <c r="E25" s="72">
        <f t="shared" si="2"/>
        <v>0</v>
      </c>
      <c r="F25" s="72"/>
      <c r="G25" s="72">
        <f t="shared" si="4"/>
        <v>4531.25</v>
      </c>
      <c r="H25" s="72">
        <f t="shared" si="3"/>
        <v>776785.7143</v>
      </c>
      <c r="I25" s="72">
        <f t="shared" si="1"/>
        <v>4531.25</v>
      </c>
      <c r="J25" s="72">
        <f t="shared" si="5"/>
        <v>4531.25</v>
      </c>
      <c r="K25" s="72">
        <f t="shared" si="6"/>
        <v>4531.25</v>
      </c>
      <c r="L25" s="26"/>
      <c r="M25" s="26"/>
      <c r="N25" s="26"/>
      <c r="O25" s="26"/>
      <c r="P25" s="26"/>
      <c r="Q25" s="24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88">
        <v>2027.0</v>
      </c>
      <c r="B26" s="287">
        <v>1.0</v>
      </c>
      <c r="C26" s="287"/>
      <c r="D26" s="26"/>
      <c r="E26" s="26">
        <f t="shared" si="2"/>
        <v>0</v>
      </c>
      <c r="F26" s="26"/>
      <c r="G26" s="26">
        <f t="shared" si="4"/>
        <v>4531.25</v>
      </c>
      <c r="H26" s="26">
        <f t="shared" ref="H26:H109" si="7">H25-E26</f>
        <v>776785.7143</v>
      </c>
      <c r="I26" s="26">
        <f t="shared" si="1"/>
        <v>4531.25</v>
      </c>
      <c r="J26" s="26"/>
      <c r="K26" s="26">
        <f t="shared" si="6"/>
        <v>4531.25</v>
      </c>
      <c r="L26" s="2"/>
      <c r="M26" s="2"/>
      <c r="N26" s="2"/>
      <c r="O26" s="2"/>
      <c r="P26" s="2"/>
      <c r="Q26" s="24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B27" s="26">
        <v>2.0</v>
      </c>
      <c r="C27" s="26"/>
      <c r="D27" s="26"/>
      <c r="E27" s="26">
        <f t="shared" si="2"/>
        <v>0</v>
      </c>
      <c r="F27" s="26"/>
      <c r="G27" s="26">
        <f t="shared" si="4"/>
        <v>4531.25</v>
      </c>
      <c r="H27" s="26">
        <f t="shared" si="7"/>
        <v>776785.7143</v>
      </c>
      <c r="I27" s="26">
        <f t="shared" si="1"/>
        <v>4531.25</v>
      </c>
      <c r="J27" s="26"/>
      <c r="K27" s="26">
        <f t="shared" si="6"/>
        <v>4531.25</v>
      </c>
      <c r="L27" s="2"/>
      <c r="M27" s="2"/>
      <c r="N27" s="2"/>
      <c r="O27" s="2"/>
      <c r="P27" s="2"/>
      <c r="Q27" s="24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B28" s="26">
        <v>3.0</v>
      </c>
      <c r="C28" s="26"/>
      <c r="D28" s="26"/>
      <c r="E28" s="26"/>
      <c r="F28" s="26"/>
      <c r="G28" s="26">
        <f t="shared" si="4"/>
        <v>4531.25</v>
      </c>
      <c r="H28" s="26">
        <f t="shared" si="7"/>
        <v>776785.7143</v>
      </c>
      <c r="I28" s="26">
        <f t="shared" si="1"/>
        <v>4531.25</v>
      </c>
      <c r="J28" s="26"/>
      <c r="K28" s="26">
        <f t="shared" si="6"/>
        <v>4531.25</v>
      </c>
      <c r="L28" s="2"/>
      <c r="M28" s="2"/>
      <c r="N28" s="2"/>
      <c r="O28" s="2"/>
      <c r="P28" s="2"/>
      <c r="Q28" s="24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B29" s="26">
        <v>4.0</v>
      </c>
      <c r="C29" s="26"/>
      <c r="D29" s="26"/>
      <c r="E29" s="26">
        <f>K29*((1+$C$8/12)^(-C10))</f>
        <v>7529.510599</v>
      </c>
      <c r="F29" s="26"/>
      <c r="G29" s="26">
        <f t="shared" ref="G29:G109" si="8">K29-E29</f>
        <v>4531.25</v>
      </c>
      <c r="H29" s="26">
        <f t="shared" si="7"/>
        <v>769256.2037</v>
      </c>
      <c r="I29" s="26">
        <f t="shared" si="1"/>
        <v>4531.25</v>
      </c>
      <c r="J29" s="26"/>
      <c r="K29" s="26">
        <f t="shared" ref="K29:K73" si="9">($C$8/12)/(1-(1+$C$8/12)^(-$C$10))*$H$27</f>
        <v>12060.7606</v>
      </c>
      <c r="L29" s="2"/>
      <c r="M29" s="2"/>
      <c r="N29" s="2"/>
      <c r="O29" s="2"/>
      <c r="P29" s="2"/>
      <c r="Q29" s="24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B30" s="26">
        <v>5.0</v>
      </c>
      <c r="C30" s="26"/>
      <c r="D30" s="26"/>
      <c r="E30" s="26">
        <f t="shared" ref="E30:E109" si="10">(1+$C$8/12)*E29</f>
        <v>7573.432744</v>
      </c>
      <c r="F30" s="26"/>
      <c r="G30" s="26">
        <f t="shared" si="8"/>
        <v>4487.327855</v>
      </c>
      <c r="H30" s="26">
        <f t="shared" si="7"/>
        <v>761682.7709</v>
      </c>
      <c r="I30" s="26">
        <f t="shared" si="1"/>
        <v>4487.327855</v>
      </c>
      <c r="J30" s="26"/>
      <c r="K30" s="26">
        <f t="shared" si="9"/>
        <v>12060.7606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B31" s="26">
        <v>6.0</v>
      </c>
      <c r="C31" s="26"/>
      <c r="D31" s="26"/>
      <c r="E31" s="26">
        <f t="shared" si="10"/>
        <v>7617.611101</v>
      </c>
      <c r="F31" s="26"/>
      <c r="G31" s="26">
        <f t="shared" si="8"/>
        <v>4443.149497</v>
      </c>
      <c r="H31" s="26">
        <f t="shared" si="7"/>
        <v>754065.1598</v>
      </c>
      <c r="I31" s="26">
        <f t="shared" si="1"/>
        <v>4443.149497</v>
      </c>
      <c r="J31" s="26"/>
      <c r="K31" s="26">
        <f t="shared" si="9"/>
        <v>12060.7606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B32" s="26">
        <v>7.0</v>
      </c>
      <c r="C32" s="26"/>
      <c r="D32" s="26"/>
      <c r="E32" s="26">
        <f t="shared" si="10"/>
        <v>7662.047166</v>
      </c>
      <c r="F32" s="26">
        <f>SUM(E29:E37)/6*N32</f>
        <v>8092.99212</v>
      </c>
      <c r="G32" s="26">
        <f t="shared" si="8"/>
        <v>4398.713432</v>
      </c>
      <c r="H32" s="26">
        <f t="shared" si="7"/>
        <v>746403.1127</v>
      </c>
      <c r="I32" s="26">
        <f t="shared" si="1"/>
        <v>4398.713432</v>
      </c>
      <c r="J32" s="26">
        <f>SUM(I26:I37)/6*N32</f>
        <v>6156.744009</v>
      </c>
      <c r="K32" s="26">
        <f t="shared" si="9"/>
        <v>12060.7606</v>
      </c>
      <c r="L32" s="2"/>
      <c r="M32" s="30" t="s">
        <v>305</v>
      </c>
      <c r="N32" s="24">
        <v>0.7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B33" s="26">
        <v>8.0</v>
      </c>
      <c r="C33" s="26"/>
      <c r="D33" s="26"/>
      <c r="E33" s="26">
        <f t="shared" si="10"/>
        <v>7706.742441</v>
      </c>
      <c r="F33" s="26">
        <f t="shared" ref="F33:F37" si="11">F32</f>
        <v>8092.99212</v>
      </c>
      <c r="G33" s="26">
        <f t="shared" si="8"/>
        <v>4354.018157</v>
      </c>
      <c r="H33" s="26">
        <f t="shared" si="7"/>
        <v>738696.3702</v>
      </c>
      <c r="I33" s="26">
        <f t="shared" si="1"/>
        <v>4354.018157</v>
      </c>
      <c r="J33" s="26">
        <f t="shared" ref="J33:J37" si="12">J32</f>
        <v>6156.744009</v>
      </c>
      <c r="K33" s="26">
        <f t="shared" si="9"/>
        <v>12060.7606</v>
      </c>
      <c r="L33" s="2"/>
      <c r="M33" s="30" t="s">
        <v>306</v>
      </c>
      <c r="N33" s="24">
        <v>0.7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B34" s="26">
        <v>9.0</v>
      </c>
      <c r="C34" s="26"/>
      <c r="D34" s="26"/>
      <c r="E34" s="26">
        <f t="shared" si="10"/>
        <v>7751.698439</v>
      </c>
      <c r="F34" s="26">
        <f t="shared" si="11"/>
        <v>8092.99212</v>
      </c>
      <c r="G34" s="26">
        <f t="shared" si="8"/>
        <v>4309.06216</v>
      </c>
      <c r="H34" s="26">
        <f t="shared" si="7"/>
        <v>730944.6718</v>
      </c>
      <c r="I34" s="26">
        <f t="shared" si="1"/>
        <v>4309.06216</v>
      </c>
      <c r="J34" s="26">
        <f t="shared" si="12"/>
        <v>6156.744009</v>
      </c>
      <c r="K34" s="26">
        <f t="shared" si="9"/>
        <v>12060.7606</v>
      </c>
      <c r="L34" s="2"/>
      <c r="M34" s="30" t="s">
        <v>307</v>
      </c>
      <c r="N34" s="24">
        <v>0.7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B35" s="26">
        <v>10.0</v>
      </c>
      <c r="C35" s="26"/>
      <c r="D35" s="26"/>
      <c r="E35" s="26">
        <f t="shared" si="10"/>
        <v>7796.91668</v>
      </c>
      <c r="F35" s="26">
        <f t="shared" si="11"/>
        <v>8092.99212</v>
      </c>
      <c r="G35" s="26">
        <f t="shared" si="8"/>
        <v>4263.843919</v>
      </c>
      <c r="H35" s="26">
        <f t="shared" si="7"/>
        <v>723147.7551</v>
      </c>
      <c r="I35" s="26">
        <f t="shared" si="1"/>
        <v>4263.843919</v>
      </c>
      <c r="J35" s="26">
        <f t="shared" si="12"/>
        <v>6156.744009</v>
      </c>
      <c r="K35" s="26">
        <f t="shared" si="9"/>
        <v>12060.7606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B36" s="26">
        <v>11.0</v>
      </c>
      <c r="C36" s="26"/>
      <c r="D36" s="26"/>
      <c r="E36" s="26">
        <f t="shared" si="10"/>
        <v>7842.398694</v>
      </c>
      <c r="F36" s="26">
        <f t="shared" si="11"/>
        <v>8092.99212</v>
      </c>
      <c r="G36" s="26">
        <f t="shared" si="8"/>
        <v>4218.361905</v>
      </c>
      <c r="H36" s="26">
        <f t="shared" si="7"/>
        <v>715305.3564</v>
      </c>
      <c r="I36" s="26">
        <f t="shared" si="1"/>
        <v>4218.361905</v>
      </c>
      <c r="J36" s="26">
        <f t="shared" si="12"/>
        <v>6156.744009</v>
      </c>
      <c r="K36" s="26">
        <f t="shared" si="9"/>
        <v>12060.7606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98"/>
      <c r="B37" s="72">
        <v>12.0</v>
      </c>
      <c r="C37" s="72"/>
      <c r="D37" s="72"/>
      <c r="E37" s="72">
        <f t="shared" si="10"/>
        <v>7888.146019</v>
      </c>
      <c r="F37" s="72">
        <f t="shared" si="11"/>
        <v>8092.99212</v>
      </c>
      <c r="G37" s="72">
        <f t="shared" si="8"/>
        <v>4172.614579</v>
      </c>
      <c r="H37" s="72">
        <f t="shared" si="7"/>
        <v>707417.2104</v>
      </c>
      <c r="I37" s="72">
        <f t="shared" si="1"/>
        <v>4172.614579</v>
      </c>
      <c r="J37" s="72">
        <f t="shared" si="12"/>
        <v>6156.744009</v>
      </c>
      <c r="K37" s="72">
        <f t="shared" si="9"/>
        <v>12060.7606</v>
      </c>
      <c r="L37" s="26"/>
      <c r="M37" s="26"/>
      <c r="N37" s="26"/>
      <c r="O37" s="26"/>
      <c r="P37" s="26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88">
        <v>2028.0</v>
      </c>
      <c r="B38" s="26">
        <v>1.0</v>
      </c>
      <c r="C38" s="287"/>
      <c r="D38" s="26"/>
      <c r="E38" s="26">
        <f t="shared" si="10"/>
        <v>7934.160205</v>
      </c>
      <c r="F38" s="26"/>
      <c r="G38" s="26">
        <f t="shared" si="8"/>
        <v>4126.600394</v>
      </c>
      <c r="H38" s="26">
        <f t="shared" si="7"/>
        <v>699483.0502</v>
      </c>
      <c r="I38" s="26">
        <f t="shared" si="1"/>
        <v>4126.600394</v>
      </c>
      <c r="J38" s="26"/>
      <c r="K38" s="26">
        <f t="shared" si="9"/>
        <v>12060.7606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B39" s="26">
        <v>2.0</v>
      </c>
      <c r="C39" s="26"/>
      <c r="D39" s="26"/>
      <c r="E39" s="26">
        <f t="shared" si="10"/>
        <v>7980.442806</v>
      </c>
      <c r="F39" s="26"/>
      <c r="G39" s="26">
        <f t="shared" si="8"/>
        <v>4080.317793</v>
      </c>
      <c r="H39" s="26">
        <f t="shared" si="7"/>
        <v>691502.6074</v>
      </c>
      <c r="I39" s="26">
        <f t="shared" si="1"/>
        <v>4080.317793</v>
      </c>
      <c r="J39" s="26"/>
      <c r="K39" s="26">
        <f t="shared" si="9"/>
        <v>12060.7606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B40" s="26">
        <v>3.0</v>
      </c>
      <c r="C40" s="26"/>
      <c r="D40" s="26"/>
      <c r="E40" s="26">
        <f t="shared" si="10"/>
        <v>8026.995389</v>
      </c>
      <c r="F40" s="26"/>
      <c r="G40" s="26">
        <f t="shared" si="8"/>
        <v>4033.76521</v>
      </c>
      <c r="H40" s="26">
        <f t="shared" si="7"/>
        <v>683475.612</v>
      </c>
      <c r="I40" s="26">
        <f t="shared" si="1"/>
        <v>4033.76521</v>
      </c>
      <c r="J40" s="26"/>
      <c r="K40" s="26">
        <f t="shared" si="9"/>
        <v>12060.7606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B41" s="26">
        <v>4.0</v>
      </c>
      <c r="C41" s="26"/>
      <c r="D41" s="26"/>
      <c r="E41" s="26">
        <f t="shared" si="10"/>
        <v>8073.819529</v>
      </c>
      <c r="F41" s="26"/>
      <c r="G41" s="26">
        <f t="shared" si="8"/>
        <v>3986.94107</v>
      </c>
      <c r="H41" s="26">
        <f t="shared" si="7"/>
        <v>675401.7925</v>
      </c>
      <c r="I41" s="26">
        <f t="shared" si="1"/>
        <v>3986.94107</v>
      </c>
      <c r="J41" s="26"/>
      <c r="K41" s="26">
        <f t="shared" si="9"/>
        <v>12060.7606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B42" s="26">
        <v>5.0</v>
      </c>
      <c r="C42" s="26"/>
      <c r="D42" s="26"/>
      <c r="E42" s="26">
        <f t="shared" si="10"/>
        <v>8120.916809</v>
      </c>
      <c r="F42" s="26"/>
      <c r="G42" s="26">
        <f t="shared" si="8"/>
        <v>3939.843789</v>
      </c>
      <c r="H42" s="26">
        <f t="shared" si="7"/>
        <v>667280.8757</v>
      </c>
      <c r="I42" s="26">
        <f t="shared" si="1"/>
        <v>3939.843789</v>
      </c>
      <c r="J42" s="26"/>
      <c r="K42" s="26">
        <f t="shared" si="9"/>
        <v>12060.7606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B43" s="26">
        <v>6.0</v>
      </c>
      <c r="C43" s="26"/>
      <c r="D43" s="26"/>
      <c r="E43" s="26">
        <f t="shared" si="10"/>
        <v>8168.288824</v>
      </c>
      <c r="F43" s="26"/>
      <c r="G43" s="26">
        <f t="shared" si="8"/>
        <v>3892.471775</v>
      </c>
      <c r="H43" s="26">
        <f t="shared" si="7"/>
        <v>659112.5868</v>
      </c>
      <c r="I43" s="26">
        <f t="shared" si="1"/>
        <v>3892.471775</v>
      </c>
      <c r="J43" s="26"/>
      <c r="K43" s="26">
        <f t="shared" si="9"/>
        <v>12060.7606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B44" s="26">
        <v>7.0</v>
      </c>
      <c r="C44" s="26"/>
      <c r="D44" s="26"/>
      <c r="E44" s="26">
        <f t="shared" si="10"/>
        <v>8215.937175</v>
      </c>
      <c r="F44" s="26">
        <f>SUM(E38:E49)/6*N33</f>
        <v>11471.22165</v>
      </c>
      <c r="G44" s="26">
        <f t="shared" si="8"/>
        <v>3844.823423</v>
      </c>
      <c r="H44" s="26">
        <f t="shared" si="7"/>
        <v>650896.6497</v>
      </c>
      <c r="I44" s="26">
        <f t="shared" si="1"/>
        <v>3844.823423</v>
      </c>
      <c r="J44" s="26">
        <f>SUM(I38:I49)/6*N33</f>
        <v>5413.843184</v>
      </c>
      <c r="K44" s="26">
        <f t="shared" si="9"/>
        <v>12060.7606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B45" s="26">
        <v>8.0</v>
      </c>
      <c r="C45" s="26"/>
      <c r="D45" s="26"/>
      <c r="E45" s="26">
        <f t="shared" si="10"/>
        <v>8263.863475</v>
      </c>
      <c r="F45" s="26">
        <f t="shared" ref="F45:F49" si="13">F44</f>
        <v>11471.22165</v>
      </c>
      <c r="G45" s="26">
        <f t="shared" si="8"/>
        <v>3796.897123</v>
      </c>
      <c r="H45" s="26">
        <f t="shared" si="7"/>
        <v>642632.7862</v>
      </c>
      <c r="I45" s="26">
        <f t="shared" si="1"/>
        <v>3796.897123</v>
      </c>
      <c r="J45" s="26">
        <f t="shared" ref="J45:J49" si="14">J44</f>
        <v>5413.843184</v>
      </c>
      <c r="K45" s="26">
        <f t="shared" si="9"/>
        <v>12060.7606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B46" s="26">
        <v>9.0</v>
      </c>
      <c r="C46" s="26"/>
      <c r="D46" s="26"/>
      <c r="E46" s="26">
        <f t="shared" si="10"/>
        <v>8312.069346</v>
      </c>
      <c r="F46" s="26">
        <f t="shared" si="13"/>
        <v>11471.22165</v>
      </c>
      <c r="G46" s="26">
        <f t="shared" si="8"/>
        <v>3748.691253</v>
      </c>
      <c r="H46" s="26">
        <f t="shared" si="7"/>
        <v>634320.7168</v>
      </c>
      <c r="I46" s="26">
        <f t="shared" si="1"/>
        <v>3748.691253</v>
      </c>
      <c r="J46" s="26">
        <f t="shared" si="14"/>
        <v>5413.843184</v>
      </c>
      <c r="K46" s="26">
        <f t="shared" si="9"/>
        <v>12060.7606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B47" s="26">
        <v>10.0</v>
      </c>
      <c r="C47" s="26"/>
      <c r="D47" s="26"/>
      <c r="E47" s="26">
        <f t="shared" si="10"/>
        <v>8360.556417</v>
      </c>
      <c r="F47" s="26">
        <f t="shared" si="13"/>
        <v>11471.22165</v>
      </c>
      <c r="G47" s="26">
        <f t="shared" si="8"/>
        <v>3700.204182</v>
      </c>
      <c r="H47" s="26">
        <f t="shared" si="7"/>
        <v>625960.1604</v>
      </c>
      <c r="I47" s="26">
        <f t="shared" si="1"/>
        <v>3700.204182</v>
      </c>
      <c r="J47" s="26">
        <f t="shared" si="14"/>
        <v>5413.843184</v>
      </c>
      <c r="K47" s="26">
        <f t="shared" si="9"/>
        <v>12060.7606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B48" s="26">
        <v>11.0</v>
      </c>
      <c r="C48" s="26"/>
      <c r="D48" s="26"/>
      <c r="E48" s="26">
        <f t="shared" si="10"/>
        <v>8409.326329</v>
      </c>
      <c r="F48" s="26">
        <f t="shared" si="13"/>
        <v>11471.22165</v>
      </c>
      <c r="G48" s="26">
        <f t="shared" si="8"/>
        <v>3651.434269</v>
      </c>
      <c r="H48" s="26">
        <f t="shared" si="7"/>
        <v>617550.8341</v>
      </c>
      <c r="I48" s="26">
        <f t="shared" si="1"/>
        <v>3651.434269</v>
      </c>
      <c r="J48" s="26">
        <f t="shared" si="14"/>
        <v>5413.843184</v>
      </c>
      <c r="K48" s="26">
        <f t="shared" si="9"/>
        <v>12060.7606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98"/>
      <c r="B49" s="26">
        <v>12.0</v>
      </c>
      <c r="C49" s="72"/>
      <c r="D49" s="72"/>
      <c r="E49" s="72">
        <f t="shared" si="10"/>
        <v>8458.380733</v>
      </c>
      <c r="F49" s="72">
        <f t="shared" si="13"/>
        <v>11471.22165</v>
      </c>
      <c r="G49" s="72">
        <f t="shared" si="8"/>
        <v>3602.379866</v>
      </c>
      <c r="H49" s="72">
        <f t="shared" si="7"/>
        <v>609092.4534</v>
      </c>
      <c r="I49" s="72">
        <f t="shared" si="1"/>
        <v>3602.379866</v>
      </c>
      <c r="J49" s="72">
        <f t="shared" si="14"/>
        <v>5413.843184</v>
      </c>
      <c r="K49" s="72">
        <f t="shared" si="9"/>
        <v>12060.7606</v>
      </c>
      <c r="L49" s="26"/>
      <c r="M49" s="26"/>
      <c r="N49" s="26"/>
      <c r="O49" s="26"/>
      <c r="P49" s="26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88">
        <v>2029.0</v>
      </c>
      <c r="B50" s="287">
        <v>1.0</v>
      </c>
      <c r="C50" s="287"/>
      <c r="D50" s="26"/>
      <c r="E50" s="26">
        <f t="shared" si="10"/>
        <v>8507.721287</v>
      </c>
      <c r="F50" s="26"/>
      <c r="G50" s="26">
        <f t="shared" si="8"/>
        <v>3553.039311</v>
      </c>
      <c r="H50" s="26">
        <f t="shared" si="7"/>
        <v>600584.7321</v>
      </c>
      <c r="I50" s="26">
        <f t="shared" si="1"/>
        <v>3553.039311</v>
      </c>
      <c r="J50" s="26"/>
      <c r="K50" s="26">
        <f t="shared" si="9"/>
        <v>12060.7606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B51" s="26">
        <v>2.0</v>
      </c>
      <c r="C51" s="26"/>
      <c r="D51" s="26"/>
      <c r="E51" s="26">
        <f t="shared" si="10"/>
        <v>8557.349661</v>
      </c>
      <c r="F51" s="26"/>
      <c r="G51" s="26">
        <f t="shared" si="8"/>
        <v>3503.410937</v>
      </c>
      <c r="H51" s="26">
        <f t="shared" si="7"/>
        <v>592027.3824</v>
      </c>
      <c r="I51" s="26">
        <f t="shared" si="1"/>
        <v>3503.410937</v>
      </c>
      <c r="J51" s="26"/>
      <c r="K51" s="26">
        <f t="shared" si="9"/>
        <v>12060.7606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B52" s="26">
        <v>3.0</v>
      </c>
      <c r="C52" s="26"/>
      <c r="D52" s="26"/>
      <c r="E52" s="26">
        <f t="shared" si="10"/>
        <v>8607.267534</v>
      </c>
      <c r="F52" s="26"/>
      <c r="G52" s="26">
        <f t="shared" si="8"/>
        <v>3453.493064</v>
      </c>
      <c r="H52" s="26">
        <f t="shared" si="7"/>
        <v>583420.1149</v>
      </c>
      <c r="I52" s="26">
        <f t="shared" si="1"/>
        <v>3453.493064</v>
      </c>
      <c r="J52" s="26"/>
      <c r="K52" s="26">
        <f t="shared" si="9"/>
        <v>12060.7606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B53" s="26">
        <v>4.0</v>
      </c>
      <c r="C53" s="26"/>
      <c r="D53" s="26"/>
      <c r="E53" s="26">
        <f t="shared" si="10"/>
        <v>8657.476595</v>
      </c>
      <c r="F53" s="26"/>
      <c r="G53" s="26">
        <f t="shared" si="8"/>
        <v>3403.284003</v>
      </c>
      <c r="H53" s="26">
        <f t="shared" si="7"/>
        <v>574762.6383</v>
      </c>
      <c r="I53" s="26">
        <f t="shared" si="1"/>
        <v>3403.284003</v>
      </c>
      <c r="J53" s="26"/>
      <c r="K53" s="26">
        <f t="shared" si="9"/>
        <v>12060.7606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B54" s="26">
        <v>5.0</v>
      </c>
      <c r="C54" s="26"/>
      <c r="D54" s="26"/>
      <c r="E54" s="26">
        <f t="shared" si="10"/>
        <v>8707.978542</v>
      </c>
      <c r="F54" s="26"/>
      <c r="G54" s="26">
        <f t="shared" si="8"/>
        <v>3352.782057</v>
      </c>
      <c r="H54" s="26">
        <f t="shared" si="7"/>
        <v>566054.6597</v>
      </c>
      <c r="I54" s="26">
        <f t="shared" si="1"/>
        <v>3352.782057</v>
      </c>
      <c r="J54" s="26"/>
      <c r="K54" s="26">
        <f t="shared" si="9"/>
        <v>12060.7606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B55" s="26">
        <v>6.0</v>
      </c>
      <c r="C55" s="26"/>
      <c r="D55" s="26"/>
      <c r="E55" s="26">
        <f t="shared" si="10"/>
        <v>8758.775083</v>
      </c>
      <c r="F55" s="26"/>
      <c r="G55" s="26">
        <f t="shared" si="8"/>
        <v>3301.985515</v>
      </c>
      <c r="H55" s="26">
        <f t="shared" si="7"/>
        <v>557295.8847</v>
      </c>
      <c r="I55" s="26">
        <f t="shared" si="1"/>
        <v>3301.985515</v>
      </c>
      <c r="J55" s="26"/>
      <c r="K55" s="26">
        <f t="shared" si="9"/>
        <v>12060.7606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B56" s="26">
        <v>7.0</v>
      </c>
      <c r="C56" s="26"/>
      <c r="D56" s="26"/>
      <c r="E56" s="26">
        <f t="shared" si="10"/>
        <v>8809.867938</v>
      </c>
      <c r="F56" s="26">
        <f>SUM(E50:E61)/6*N34</f>
        <v>12300.4772</v>
      </c>
      <c r="G56" s="26">
        <f t="shared" si="8"/>
        <v>3250.892661</v>
      </c>
      <c r="H56" s="26">
        <f t="shared" si="7"/>
        <v>548486.0167</v>
      </c>
      <c r="I56" s="26">
        <f t="shared" si="1"/>
        <v>3250.892661</v>
      </c>
      <c r="J56" s="26">
        <f>SUM(I50:I61)/6*N34</f>
        <v>4584.587643</v>
      </c>
      <c r="K56" s="26">
        <f t="shared" si="9"/>
        <v>12060.7606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B57" s="26">
        <v>8.0</v>
      </c>
      <c r="C57" s="26"/>
      <c r="D57" s="26"/>
      <c r="E57" s="26">
        <f t="shared" si="10"/>
        <v>8861.258834</v>
      </c>
      <c r="F57" s="26">
        <f t="shared" ref="F57:F61" si="15">F56</f>
        <v>12300.4772</v>
      </c>
      <c r="G57" s="26">
        <f t="shared" si="8"/>
        <v>3199.501764</v>
      </c>
      <c r="H57" s="26">
        <f t="shared" si="7"/>
        <v>539624.7579</v>
      </c>
      <c r="I57" s="26">
        <f t="shared" si="1"/>
        <v>3199.501764</v>
      </c>
      <c r="J57" s="26">
        <f t="shared" ref="J57:J61" si="16">J56</f>
        <v>4584.587643</v>
      </c>
      <c r="K57" s="26">
        <f t="shared" si="9"/>
        <v>12060.7606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B58" s="26">
        <v>9.0</v>
      </c>
      <c r="C58" s="26"/>
      <c r="D58" s="26"/>
      <c r="E58" s="26">
        <f t="shared" si="10"/>
        <v>8912.949511</v>
      </c>
      <c r="F58" s="26">
        <f t="shared" si="15"/>
        <v>12300.4772</v>
      </c>
      <c r="G58" s="26">
        <f t="shared" si="8"/>
        <v>3147.811088</v>
      </c>
      <c r="H58" s="26">
        <f t="shared" si="7"/>
        <v>530711.8084</v>
      </c>
      <c r="I58" s="26">
        <f t="shared" si="1"/>
        <v>3147.811088</v>
      </c>
      <c r="J58" s="26">
        <f t="shared" si="16"/>
        <v>4584.587643</v>
      </c>
      <c r="K58" s="26">
        <f t="shared" si="9"/>
        <v>12060.7606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B59" s="26">
        <v>10.0</v>
      </c>
      <c r="C59" s="26"/>
      <c r="D59" s="26"/>
      <c r="E59" s="26">
        <f t="shared" si="10"/>
        <v>8964.941716</v>
      </c>
      <c r="F59" s="26">
        <f t="shared" si="15"/>
        <v>12300.4772</v>
      </c>
      <c r="G59" s="26">
        <f t="shared" si="8"/>
        <v>3095.818882</v>
      </c>
      <c r="H59" s="26">
        <f t="shared" si="7"/>
        <v>521746.8667</v>
      </c>
      <c r="I59" s="26">
        <f t="shared" si="1"/>
        <v>3095.818882</v>
      </c>
      <c r="J59" s="26">
        <f t="shared" si="16"/>
        <v>4584.587643</v>
      </c>
      <c r="K59" s="26">
        <f t="shared" si="9"/>
        <v>12060.7606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B60" s="26">
        <v>11.0</v>
      </c>
      <c r="C60" s="26"/>
      <c r="D60" s="26"/>
      <c r="E60" s="26">
        <f t="shared" si="10"/>
        <v>9017.23721</v>
      </c>
      <c r="F60" s="26">
        <f t="shared" si="15"/>
        <v>12300.4772</v>
      </c>
      <c r="G60" s="26">
        <f t="shared" si="8"/>
        <v>3043.523389</v>
      </c>
      <c r="H60" s="26">
        <f t="shared" si="7"/>
        <v>512729.6295</v>
      </c>
      <c r="I60" s="26">
        <f t="shared" si="1"/>
        <v>3043.523389</v>
      </c>
      <c r="J60" s="26">
        <f t="shared" si="16"/>
        <v>4584.587643</v>
      </c>
      <c r="K60" s="26">
        <f t="shared" si="9"/>
        <v>12060.7606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98"/>
      <c r="B61" s="72">
        <v>12.0</v>
      </c>
      <c r="C61" s="72"/>
      <c r="D61" s="72"/>
      <c r="E61" s="72">
        <f t="shared" si="10"/>
        <v>9069.83776</v>
      </c>
      <c r="F61" s="72">
        <f t="shared" si="15"/>
        <v>12300.4772</v>
      </c>
      <c r="G61" s="72">
        <f t="shared" si="8"/>
        <v>2990.922838</v>
      </c>
      <c r="H61" s="72">
        <f t="shared" si="7"/>
        <v>503659.7917</v>
      </c>
      <c r="I61" s="72">
        <f t="shared" si="1"/>
        <v>2990.922838</v>
      </c>
      <c r="J61" s="72">
        <f t="shared" si="16"/>
        <v>4584.587643</v>
      </c>
      <c r="K61" s="72">
        <f t="shared" si="9"/>
        <v>12060.7606</v>
      </c>
      <c r="L61" s="26"/>
      <c r="M61" s="26"/>
      <c r="N61" s="26"/>
      <c r="O61" s="26"/>
      <c r="P61" s="26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88">
        <v>2030.0</v>
      </c>
      <c r="B62" s="26">
        <v>1.0</v>
      </c>
      <c r="C62" s="287"/>
      <c r="D62" s="26"/>
      <c r="E62" s="26">
        <f t="shared" si="10"/>
        <v>9122.745147</v>
      </c>
      <c r="F62" s="26"/>
      <c r="G62" s="26">
        <f t="shared" si="8"/>
        <v>2938.015452</v>
      </c>
      <c r="H62" s="26">
        <f t="shared" si="7"/>
        <v>494537.0465</v>
      </c>
      <c r="I62" s="26">
        <f t="shared" si="1"/>
        <v>2938.015452</v>
      </c>
      <c r="J62" s="26"/>
      <c r="K62" s="26">
        <f t="shared" si="9"/>
        <v>12060.7606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B63" s="26">
        <v>2.0</v>
      </c>
      <c r="C63" s="26"/>
      <c r="D63" s="26"/>
      <c r="E63" s="26">
        <f t="shared" si="10"/>
        <v>9175.96116</v>
      </c>
      <c r="F63" s="26"/>
      <c r="G63" s="26">
        <f t="shared" si="8"/>
        <v>2884.799438</v>
      </c>
      <c r="H63" s="26">
        <f t="shared" si="7"/>
        <v>485361.0854</v>
      </c>
      <c r="I63" s="26">
        <f t="shared" si="1"/>
        <v>2884.799438</v>
      </c>
      <c r="J63" s="26"/>
      <c r="K63" s="26">
        <f t="shared" si="9"/>
        <v>12060.7606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B64" s="26">
        <v>3.0</v>
      </c>
      <c r="C64" s="26"/>
      <c r="D64" s="26"/>
      <c r="E64" s="26">
        <f t="shared" si="10"/>
        <v>9229.4876</v>
      </c>
      <c r="F64" s="26"/>
      <c r="G64" s="26">
        <f t="shared" si="8"/>
        <v>2831.272998</v>
      </c>
      <c r="H64" s="26">
        <f t="shared" si="7"/>
        <v>476131.5978</v>
      </c>
      <c r="I64" s="26">
        <f t="shared" si="1"/>
        <v>2831.272998</v>
      </c>
      <c r="J64" s="26"/>
      <c r="K64" s="26">
        <f t="shared" si="9"/>
        <v>12060.7606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B65" s="26">
        <v>4.0</v>
      </c>
      <c r="C65" s="26"/>
      <c r="D65" s="26"/>
      <c r="E65" s="26">
        <f t="shared" si="10"/>
        <v>9283.326278</v>
      </c>
      <c r="F65" s="26"/>
      <c r="G65" s="26">
        <f t="shared" si="8"/>
        <v>2777.43432</v>
      </c>
      <c r="H65" s="26">
        <f t="shared" si="7"/>
        <v>466848.2715</v>
      </c>
      <c r="I65" s="26">
        <f t="shared" si="1"/>
        <v>2777.43432</v>
      </c>
      <c r="J65" s="26"/>
      <c r="K65" s="26">
        <f t="shared" si="9"/>
        <v>12060.7606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B66" s="26">
        <v>5.0</v>
      </c>
      <c r="C66" s="26"/>
      <c r="D66" s="26"/>
      <c r="E66" s="26">
        <f t="shared" si="10"/>
        <v>9337.479015</v>
      </c>
      <c r="F66" s="26"/>
      <c r="G66" s="26">
        <f t="shared" si="8"/>
        <v>2723.281584</v>
      </c>
      <c r="H66" s="26">
        <f t="shared" si="7"/>
        <v>457510.7925</v>
      </c>
      <c r="I66" s="26">
        <f t="shared" si="1"/>
        <v>2723.281584</v>
      </c>
      <c r="J66" s="26"/>
      <c r="K66" s="26">
        <f t="shared" si="9"/>
        <v>12060.7606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B67" s="26">
        <v>6.0</v>
      </c>
      <c r="C67" s="26"/>
      <c r="D67" s="26"/>
      <c r="E67" s="26">
        <f t="shared" si="10"/>
        <v>9391.947642</v>
      </c>
      <c r="F67" s="26"/>
      <c r="G67" s="26">
        <f t="shared" si="8"/>
        <v>2668.812956</v>
      </c>
      <c r="H67" s="26">
        <f t="shared" si="7"/>
        <v>448118.8449</v>
      </c>
      <c r="I67" s="26">
        <f t="shared" si="1"/>
        <v>2668.812956</v>
      </c>
      <c r="J67" s="26"/>
      <c r="K67" s="26">
        <f t="shared" si="9"/>
        <v>12060.7606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B68" s="26">
        <v>7.0</v>
      </c>
      <c r="C68" s="26"/>
      <c r="D68" s="26"/>
      <c r="E68" s="26">
        <f t="shared" si="10"/>
        <v>9446.734004</v>
      </c>
      <c r="F68" s="26">
        <f>SUM(E62:E73)/6+SUM(E26:E37)/6*(100%-N32)</f>
        <v>22310.82475</v>
      </c>
      <c r="G68" s="26">
        <f t="shared" si="8"/>
        <v>2614.026595</v>
      </c>
      <c r="H68" s="26">
        <f t="shared" si="7"/>
        <v>438672.1108</v>
      </c>
      <c r="I68" s="26">
        <f t="shared" si="1"/>
        <v>2614.026595</v>
      </c>
      <c r="J68" s="26">
        <f>SUM(I62:I73)/6+SUM(I26:I37)/6*(100%-N32)</f>
        <v>7917.726221</v>
      </c>
      <c r="K68" s="26">
        <f t="shared" si="9"/>
        <v>12060.7606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B69" s="26">
        <v>8.0</v>
      </c>
      <c r="C69" s="26"/>
      <c r="D69" s="26"/>
      <c r="E69" s="26">
        <f t="shared" si="10"/>
        <v>9501.839952</v>
      </c>
      <c r="F69" s="26">
        <f t="shared" ref="F69:F73" si="17">F68</f>
        <v>22310.82475</v>
      </c>
      <c r="G69" s="26">
        <f t="shared" si="8"/>
        <v>2558.920647</v>
      </c>
      <c r="H69" s="26">
        <f t="shared" si="7"/>
        <v>429170.2709</v>
      </c>
      <c r="I69" s="26">
        <f t="shared" si="1"/>
        <v>2558.920647</v>
      </c>
      <c r="J69" s="26">
        <f t="shared" ref="J69:J73" si="18">J68</f>
        <v>7917.726221</v>
      </c>
      <c r="K69" s="26">
        <f t="shared" si="9"/>
        <v>12060.7606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B70" s="26">
        <v>9.0</v>
      </c>
      <c r="C70" s="26"/>
      <c r="D70" s="26"/>
      <c r="E70" s="26">
        <f t="shared" si="10"/>
        <v>9557.267352</v>
      </c>
      <c r="F70" s="26">
        <f t="shared" si="17"/>
        <v>22310.82475</v>
      </c>
      <c r="G70" s="26">
        <f t="shared" si="8"/>
        <v>2503.493247</v>
      </c>
      <c r="H70" s="26">
        <f t="shared" si="7"/>
        <v>419613.0035</v>
      </c>
      <c r="I70" s="26">
        <f t="shared" si="1"/>
        <v>2503.493247</v>
      </c>
      <c r="J70" s="26">
        <f t="shared" si="18"/>
        <v>7917.726221</v>
      </c>
      <c r="K70" s="26">
        <f t="shared" si="9"/>
        <v>12060.7606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B71" s="26">
        <v>10.0</v>
      </c>
      <c r="C71" s="26"/>
      <c r="D71" s="26"/>
      <c r="E71" s="26">
        <f t="shared" si="10"/>
        <v>9613.018078</v>
      </c>
      <c r="F71" s="26">
        <f t="shared" si="17"/>
        <v>22310.82475</v>
      </c>
      <c r="G71" s="26">
        <f t="shared" si="8"/>
        <v>2447.742521</v>
      </c>
      <c r="H71" s="26">
        <f t="shared" si="7"/>
        <v>409999.9855</v>
      </c>
      <c r="I71" s="26">
        <f t="shared" si="1"/>
        <v>2447.742521</v>
      </c>
      <c r="J71" s="26">
        <f t="shared" si="18"/>
        <v>7917.726221</v>
      </c>
      <c r="K71" s="26">
        <f t="shared" si="9"/>
        <v>12060.7606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B72" s="26">
        <v>11.0</v>
      </c>
      <c r="C72" s="26"/>
      <c r="D72" s="26"/>
      <c r="E72" s="26">
        <f t="shared" si="10"/>
        <v>9669.094017</v>
      </c>
      <c r="F72" s="26">
        <f t="shared" si="17"/>
        <v>22310.82475</v>
      </c>
      <c r="G72" s="26">
        <f t="shared" si="8"/>
        <v>2391.666582</v>
      </c>
      <c r="H72" s="26">
        <f t="shared" si="7"/>
        <v>400330.8914</v>
      </c>
      <c r="I72" s="26">
        <f t="shared" si="1"/>
        <v>2391.666582</v>
      </c>
      <c r="J72" s="26">
        <f t="shared" si="18"/>
        <v>7917.726221</v>
      </c>
      <c r="K72" s="26">
        <f t="shared" si="9"/>
        <v>12060.7606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98"/>
      <c r="B73" s="26">
        <v>12.0</v>
      </c>
      <c r="C73" s="72"/>
      <c r="D73" s="72"/>
      <c r="E73" s="72">
        <f t="shared" si="10"/>
        <v>9725.497065</v>
      </c>
      <c r="F73" s="72">
        <f t="shared" si="17"/>
        <v>22310.82475</v>
      </c>
      <c r="G73" s="72">
        <f t="shared" si="8"/>
        <v>2335.263533</v>
      </c>
      <c r="H73" s="72">
        <f t="shared" si="7"/>
        <v>390605.3944</v>
      </c>
      <c r="I73" s="72">
        <f t="shared" si="1"/>
        <v>2335.263533</v>
      </c>
      <c r="J73" s="72">
        <f t="shared" si="18"/>
        <v>7917.726221</v>
      </c>
      <c r="K73" s="72">
        <f t="shared" si="9"/>
        <v>12060.7606</v>
      </c>
      <c r="L73" s="26"/>
      <c r="M73" s="26"/>
      <c r="N73" s="26"/>
      <c r="O73" s="26"/>
      <c r="P73" s="26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88">
        <v>2031.0</v>
      </c>
      <c r="B74" s="287">
        <v>1.0</v>
      </c>
      <c r="C74" s="287"/>
      <c r="D74" s="26"/>
      <c r="E74" s="26">
        <f t="shared" si="10"/>
        <v>9782.229131</v>
      </c>
      <c r="F74" s="26"/>
      <c r="G74" s="26">
        <f t="shared" si="8"/>
        <v>5094.117989</v>
      </c>
      <c r="H74" s="26">
        <f t="shared" si="7"/>
        <v>380823.1653</v>
      </c>
      <c r="I74" s="26">
        <f t="shared" si="1"/>
        <v>5094.117989</v>
      </c>
      <c r="J74" s="26"/>
      <c r="K74" s="26">
        <f t="shared" ref="K74:K109" si="19">($C$9/12)/(1-(1+$C$9/12)^(-$C$10))*$H$27</f>
        <v>14876.34712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B75" s="26">
        <v>2.0</v>
      </c>
      <c r="C75" s="26"/>
      <c r="D75" s="26"/>
      <c r="E75" s="26">
        <f t="shared" si="10"/>
        <v>9839.292135</v>
      </c>
      <c r="F75" s="26"/>
      <c r="G75" s="26">
        <f t="shared" si="8"/>
        <v>5037.054986</v>
      </c>
      <c r="H75" s="26">
        <f t="shared" si="7"/>
        <v>370983.8731</v>
      </c>
      <c r="I75" s="26">
        <f t="shared" si="1"/>
        <v>5037.054986</v>
      </c>
      <c r="J75" s="26"/>
      <c r="K75" s="26">
        <f t="shared" si="19"/>
        <v>14876.34712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B76" s="26">
        <v>3.0</v>
      </c>
      <c r="C76" s="26"/>
      <c r="D76" s="26"/>
      <c r="E76" s="26">
        <f t="shared" si="10"/>
        <v>9896.688005</v>
      </c>
      <c r="F76" s="26"/>
      <c r="G76" s="26">
        <f t="shared" si="8"/>
        <v>4979.659115</v>
      </c>
      <c r="H76" s="26">
        <f t="shared" si="7"/>
        <v>361087.1851</v>
      </c>
      <c r="I76" s="26">
        <f t="shared" si="1"/>
        <v>4979.659115</v>
      </c>
      <c r="J76" s="26"/>
      <c r="K76" s="26">
        <f t="shared" si="19"/>
        <v>14876.34712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B77" s="26">
        <v>4.0</v>
      </c>
      <c r="C77" s="26"/>
      <c r="D77" s="26"/>
      <c r="E77" s="26">
        <f t="shared" si="10"/>
        <v>9954.418685</v>
      </c>
      <c r="F77" s="26"/>
      <c r="G77" s="26">
        <f t="shared" si="8"/>
        <v>4921.928435</v>
      </c>
      <c r="H77" s="26">
        <f t="shared" si="7"/>
        <v>351132.7664</v>
      </c>
      <c r="I77" s="26">
        <f t="shared" si="1"/>
        <v>4921.928435</v>
      </c>
      <c r="J77" s="26"/>
      <c r="K77" s="26">
        <f t="shared" si="19"/>
        <v>14876.34712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B78" s="26">
        <v>5.0</v>
      </c>
      <c r="C78" s="26"/>
      <c r="D78" s="26"/>
      <c r="E78" s="26">
        <f t="shared" si="10"/>
        <v>10012.48613</v>
      </c>
      <c r="F78" s="26"/>
      <c r="G78" s="26">
        <f t="shared" si="8"/>
        <v>4863.860993</v>
      </c>
      <c r="H78" s="26">
        <f t="shared" si="7"/>
        <v>341120.2803</v>
      </c>
      <c r="I78" s="26">
        <f t="shared" si="1"/>
        <v>4863.860993</v>
      </c>
      <c r="J78" s="26"/>
      <c r="K78" s="26">
        <f t="shared" si="19"/>
        <v>14876.34712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B79" s="26">
        <v>6.0</v>
      </c>
      <c r="C79" s="26"/>
      <c r="D79" s="26"/>
      <c r="E79" s="26">
        <f t="shared" si="10"/>
        <v>10070.8923</v>
      </c>
      <c r="F79" s="26"/>
      <c r="G79" s="26">
        <f t="shared" si="8"/>
        <v>4805.454824</v>
      </c>
      <c r="H79" s="26">
        <f t="shared" si="7"/>
        <v>331049.388</v>
      </c>
      <c r="I79" s="26">
        <f t="shared" si="1"/>
        <v>4805.454824</v>
      </c>
      <c r="J79" s="26"/>
      <c r="K79" s="26">
        <f t="shared" si="19"/>
        <v>14876.34712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B80" s="26">
        <v>7.0</v>
      </c>
      <c r="C80" s="26"/>
      <c r="D80" s="26"/>
      <c r="E80" s="26">
        <f t="shared" si="10"/>
        <v>10129.63917</v>
      </c>
      <c r="F80" s="26">
        <f>SUM(E74:E85)/6+SUM(E38:E49)/6*(100%-N33)</f>
        <v>25120.75599</v>
      </c>
      <c r="G80" s="26">
        <f t="shared" si="8"/>
        <v>4746.707952</v>
      </c>
      <c r="H80" s="26">
        <f t="shared" si="7"/>
        <v>320919.7488</v>
      </c>
      <c r="I80" s="26">
        <f t="shared" si="1"/>
        <v>4746.707952</v>
      </c>
      <c r="J80" s="26">
        <f>SUM(I74:I85)/6+SUM(I38:I49)/6*(100%-N33)</f>
        <v>11868.39461</v>
      </c>
      <c r="K80" s="26">
        <f t="shared" si="19"/>
        <v>14876.34712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B81" s="26">
        <v>8.0</v>
      </c>
      <c r="C81" s="26"/>
      <c r="D81" s="26"/>
      <c r="E81" s="26">
        <f t="shared" si="10"/>
        <v>10188.72873</v>
      </c>
      <c r="F81" s="26">
        <f t="shared" ref="F81:F85" si="20">F80</f>
        <v>25120.75599</v>
      </c>
      <c r="G81" s="26">
        <f t="shared" si="8"/>
        <v>4687.61839</v>
      </c>
      <c r="H81" s="26">
        <f t="shared" si="7"/>
        <v>310731.0201</v>
      </c>
      <c r="I81" s="26">
        <f t="shared" si="1"/>
        <v>4687.61839</v>
      </c>
      <c r="J81" s="26">
        <f t="shared" ref="J81:J85" si="21">J80</f>
        <v>11868.39461</v>
      </c>
      <c r="K81" s="26">
        <f t="shared" si="19"/>
        <v>14876.34712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B82" s="26">
        <v>9.0</v>
      </c>
      <c r="C82" s="26"/>
      <c r="D82" s="26"/>
      <c r="E82" s="26">
        <f t="shared" si="10"/>
        <v>10248.16298</v>
      </c>
      <c r="F82" s="26">
        <f t="shared" si="20"/>
        <v>25120.75599</v>
      </c>
      <c r="G82" s="26">
        <f t="shared" si="8"/>
        <v>4628.184139</v>
      </c>
      <c r="H82" s="26">
        <f t="shared" si="7"/>
        <v>300482.8571</v>
      </c>
      <c r="I82" s="26">
        <f t="shared" si="1"/>
        <v>4628.184139</v>
      </c>
      <c r="J82" s="26">
        <f t="shared" si="21"/>
        <v>11868.39461</v>
      </c>
      <c r="K82" s="26">
        <f t="shared" si="19"/>
        <v>14876.34712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B83" s="26">
        <v>10.0</v>
      </c>
      <c r="C83" s="26"/>
      <c r="D83" s="26"/>
      <c r="E83" s="26">
        <f t="shared" si="10"/>
        <v>10307.94393</v>
      </c>
      <c r="F83" s="26">
        <f t="shared" si="20"/>
        <v>25120.75599</v>
      </c>
      <c r="G83" s="26">
        <f t="shared" si="8"/>
        <v>4568.403189</v>
      </c>
      <c r="H83" s="26">
        <f t="shared" si="7"/>
        <v>290174.9132</v>
      </c>
      <c r="I83" s="26">
        <f t="shared" si="1"/>
        <v>4568.403189</v>
      </c>
      <c r="J83" s="26">
        <f t="shared" si="21"/>
        <v>11868.39461</v>
      </c>
      <c r="K83" s="26">
        <f t="shared" si="19"/>
        <v>14876.34712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B84" s="26">
        <v>11.0</v>
      </c>
      <c r="C84" s="26"/>
      <c r="D84" s="26"/>
      <c r="E84" s="26">
        <f t="shared" si="10"/>
        <v>10368.0736</v>
      </c>
      <c r="F84" s="26">
        <f t="shared" si="20"/>
        <v>25120.75599</v>
      </c>
      <c r="G84" s="26">
        <f t="shared" si="8"/>
        <v>4508.273516</v>
      </c>
      <c r="H84" s="26">
        <f t="shared" si="7"/>
        <v>279806.8396</v>
      </c>
      <c r="I84" s="26">
        <f t="shared" si="1"/>
        <v>4508.273516</v>
      </c>
      <c r="J84" s="26">
        <f t="shared" si="21"/>
        <v>11868.39461</v>
      </c>
      <c r="K84" s="26">
        <f t="shared" si="19"/>
        <v>14876.34712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98"/>
      <c r="B85" s="72">
        <v>12.0</v>
      </c>
      <c r="C85" s="72"/>
      <c r="D85" s="72"/>
      <c r="E85" s="72">
        <f t="shared" si="10"/>
        <v>10428.55403</v>
      </c>
      <c r="F85" s="72">
        <f t="shared" si="20"/>
        <v>25120.75599</v>
      </c>
      <c r="G85" s="72">
        <f t="shared" si="8"/>
        <v>4447.793086</v>
      </c>
      <c r="H85" s="72">
        <f t="shared" si="7"/>
        <v>269378.2856</v>
      </c>
      <c r="I85" s="72">
        <f t="shared" si="1"/>
        <v>4447.793086</v>
      </c>
      <c r="J85" s="72">
        <f t="shared" si="21"/>
        <v>11868.39461</v>
      </c>
      <c r="K85" s="72">
        <f t="shared" si="19"/>
        <v>14876.34712</v>
      </c>
      <c r="L85" s="26"/>
      <c r="M85" s="26"/>
      <c r="N85" s="26"/>
      <c r="O85" s="26"/>
      <c r="P85" s="26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88">
        <v>2032.0</v>
      </c>
      <c r="B86" s="287">
        <v>1.0</v>
      </c>
      <c r="C86" s="287"/>
      <c r="D86" s="26"/>
      <c r="E86" s="26">
        <f t="shared" si="10"/>
        <v>10489.38727</v>
      </c>
      <c r="F86" s="26"/>
      <c r="G86" s="26">
        <f t="shared" si="8"/>
        <v>4386.959854</v>
      </c>
      <c r="H86" s="26">
        <f t="shared" si="7"/>
        <v>258888.8983</v>
      </c>
      <c r="I86" s="26">
        <f t="shared" si="1"/>
        <v>4386.959854</v>
      </c>
      <c r="J86" s="26"/>
      <c r="K86" s="26">
        <f t="shared" si="19"/>
        <v>14876.34712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B87" s="26">
        <v>2.0</v>
      </c>
      <c r="C87" s="26"/>
      <c r="D87" s="26"/>
      <c r="E87" s="26">
        <f t="shared" si="10"/>
        <v>10550.57536</v>
      </c>
      <c r="F87" s="26"/>
      <c r="G87" s="26">
        <f t="shared" si="8"/>
        <v>4325.771762</v>
      </c>
      <c r="H87" s="26">
        <f t="shared" si="7"/>
        <v>248338.3229</v>
      </c>
      <c r="I87" s="26">
        <f t="shared" si="1"/>
        <v>4325.771762</v>
      </c>
      <c r="J87" s="26"/>
      <c r="K87" s="26">
        <f t="shared" si="19"/>
        <v>14876.34712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B88" s="26">
        <v>3.0</v>
      </c>
      <c r="C88" s="26"/>
      <c r="D88" s="26"/>
      <c r="E88" s="26">
        <f t="shared" si="10"/>
        <v>10612.12038</v>
      </c>
      <c r="F88" s="26"/>
      <c r="G88" s="26">
        <f t="shared" si="8"/>
        <v>4264.226739</v>
      </c>
      <c r="H88" s="26">
        <f t="shared" si="7"/>
        <v>237726.2025</v>
      </c>
      <c r="I88" s="26">
        <f t="shared" si="1"/>
        <v>4264.226739</v>
      </c>
      <c r="J88" s="26"/>
      <c r="K88" s="26">
        <f t="shared" si="19"/>
        <v>14876.34712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B89" s="26">
        <v>4.0</v>
      </c>
      <c r="C89" s="26"/>
      <c r="D89" s="26"/>
      <c r="E89" s="26">
        <f t="shared" si="10"/>
        <v>10674.02442</v>
      </c>
      <c r="F89" s="26"/>
      <c r="G89" s="26">
        <f t="shared" si="8"/>
        <v>4202.322704</v>
      </c>
      <c r="H89" s="26">
        <f t="shared" si="7"/>
        <v>227052.1781</v>
      </c>
      <c r="I89" s="26">
        <f t="shared" si="1"/>
        <v>4202.322704</v>
      </c>
      <c r="J89" s="26"/>
      <c r="K89" s="26">
        <f t="shared" si="19"/>
        <v>14876.34712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B90" s="26">
        <v>5.0</v>
      </c>
      <c r="C90" s="26"/>
      <c r="D90" s="26"/>
      <c r="E90" s="26">
        <f t="shared" si="10"/>
        <v>10736.28956</v>
      </c>
      <c r="F90" s="26"/>
      <c r="G90" s="26">
        <f t="shared" si="8"/>
        <v>4140.057561</v>
      </c>
      <c r="H90" s="26">
        <f t="shared" si="7"/>
        <v>216315.8886</v>
      </c>
      <c r="I90" s="26">
        <f t="shared" si="1"/>
        <v>4140.057561</v>
      </c>
      <c r="J90" s="26"/>
      <c r="K90" s="26">
        <f t="shared" si="19"/>
        <v>14876.34712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B91" s="26">
        <v>6.0</v>
      </c>
      <c r="C91" s="26"/>
      <c r="D91" s="26"/>
      <c r="E91" s="26">
        <f t="shared" si="10"/>
        <v>10798.91792</v>
      </c>
      <c r="F91" s="26"/>
      <c r="G91" s="26">
        <f t="shared" si="8"/>
        <v>4077.429205</v>
      </c>
      <c r="H91" s="26">
        <f t="shared" si="7"/>
        <v>205516.9707</v>
      </c>
      <c r="I91" s="26">
        <f t="shared" si="1"/>
        <v>4077.429205</v>
      </c>
      <c r="J91" s="26"/>
      <c r="K91" s="26">
        <f t="shared" si="19"/>
        <v>14876.34712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B92" s="26">
        <v>7.0</v>
      </c>
      <c r="C92" s="26"/>
      <c r="D92" s="26"/>
      <c r="E92" s="26">
        <f t="shared" si="10"/>
        <v>10861.9116</v>
      </c>
      <c r="F92" s="26">
        <f>SUM(E86:E97)/6+SUM(E50:E61)/6*(100%-N34)</f>
        <v>26936.73747</v>
      </c>
      <c r="G92" s="26">
        <f t="shared" si="8"/>
        <v>4014.435518</v>
      </c>
      <c r="H92" s="26">
        <f t="shared" si="7"/>
        <v>194655.0591</v>
      </c>
      <c r="I92" s="26">
        <f t="shared" si="1"/>
        <v>4014.435518</v>
      </c>
      <c r="J92" s="26">
        <f>SUM(I86:I97)/6+SUM(I50:I61)/6*(100%-N34)</f>
        <v>10052.41313</v>
      </c>
      <c r="K92" s="26">
        <f t="shared" si="19"/>
        <v>14876.34712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B93" s="26">
        <v>8.0</v>
      </c>
      <c r="C93" s="26"/>
      <c r="D93" s="26"/>
      <c r="E93" s="26">
        <f t="shared" si="10"/>
        <v>10925.27275</v>
      </c>
      <c r="F93" s="26">
        <f t="shared" ref="F93:F97" si="22">F92</f>
        <v>26936.73747</v>
      </c>
      <c r="G93" s="26">
        <f t="shared" si="8"/>
        <v>3951.074367</v>
      </c>
      <c r="H93" s="26">
        <f t="shared" si="7"/>
        <v>183729.7863</v>
      </c>
      <c r="I93" s="26">
        <f t="shared" si="1"/>
        <v>3951.074367</v>
      </c>
      <c r="J93" s="26">
        <f t="shared" ref="J93:J97" si="23">J92</f>
        <v>10052.41313</v>
      </c>
      <c r="K93" s="26">
        <f t="shared" si="19"/>
        <v>14876.34712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B94" s="26">
        <v>9.0</v>
      </c>
      <c r="C94" s="26"/>
      <c r="D94" s="26"/>
      <c r="E94" s="26">
        <f t="shared" si="10"/>
        <v>10989.00351</v>
      </c>
      <c r="F94" s="26">
        <f t="shared" si="22"/>
        <v>26936.73747</v>
      </c>
      <c r="G94" s="26">
        <f t="shared" si="8"/>
        <v>3887.343609</v>
      </c>
      <c r="H94" s="26">
        <f t="shared" si="7"/>
        <v>172740.7828</v>
      </c>
      <c r="I94" s="26">
        <f t="shared" si="1"/>
        <v>3887.343609</v>
      </c>
      <c r="J94" s="26">
        <f t="shared" si="23"/>
        <v>10052.41313</v>
      </c>
      <c r="K94" s="26">
        <f t="shared" si="19"/>
        <v>14876.34712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B95" s="26">
        <v>10.0</v>
      </c>
      <c r="C95" s="26"/>
      <c r="D95" s="26"/>
      <c r="E95" s="26">
        <f t="shared" si="10"/>
        <v>11053.10603</v>
      </c>
      <c r="F95" s="26">
        <f t="shared" si="22"/>
        <v>26936.73747</v>
      </c>
      <c r="G95" s="26">
        <f t="shared" si="8"/>
        <v>3823.241088</v>
      </c>
      <c r="H95" s="26">
        <f t="shared" si="7"/>
        <v>161687.6768</v>
      </c>
      <c r="I95" s="26">
        <f t="shared" si="1"/>
        <v>3823.241088</v>
      </c>
      <c r="J95" s="26">
        <f t="shared" si="23"/>
        <v>10052.41313</v>
      </c>
      <c r="K95" s="26">
        <f t="shared" si="19"/>
        <v>14876.34712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B96" s="26">
        <v>11.0</v>
      </c>
      <c r="C96" s="26"/>
      <c r="D96" s="26"/>
      <c r="E96" s="26">
        <f t="shared" si="10"/>
        <v>11117.58248</v>
      </c>
      <c r="F96" s="26">
        <f t="shared" si="22"/>
        <v>26936.73747</v>
      </c>
      <c r="G96" s="26">
        <f t="shared" si="8"/>
        <v>3758.764636</v>
      </c>
      <c r="H96" s="26">
        <f t="shared" si="7"/>
        <v>150570.0943</v>
      </c>
      <c r="I96" s="26">
        <f t="shared" si="1"/>
        <v>3758.764636</v>
      </c>
      <c r="J96" s="26">
        <f t="shared" si="23"/>
        <v>10052.41313</v>
      </c>
      <c r="K96" s="26">
        <f t="shared" si="19"/>
        <v>14876.34712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98"/>
      <c r="B97" s="72">
        <v>12.0</v>
      </c>
      <c r="C97" s="72"/>
      <c r="D97" s="72"/>
      <c r="E97" s="72">
        <f t="shared" si="10"/>
        <v>11182.43505</v>
      </c>
      <c r="F97" s="72">
        <f t="shared" si="22"/>
        <v>26936.73747</v>
      </c>
      <c r="G97" s="72">
        <f t="shared" si="8"/>
        <v>3693.912072</v>
      </c>
      <c r="H97" s="72">
        <f t="shared" si="7"/>
        <v>139387.6592</v>
      </c>
      <c r="I97" s="72">
        <f t="shared" si="1"/>
        <v>3693.912072</v>
      </c>
      <c r="J97" s="72">
        <f t="shared" si="23"/>
        <v>10052.41313</v>
      </c>
      <c r="K97" s="72">
        <f t="shared" si="19"/>
        <v>14876.34712</v>
      </c>
      <c r="L97" s="26"/>
      <c r="M97" s="26"/>
      <c r="N97" s="26"/>
      <c r="O97" s="26"/>
      <c r="P97" s="26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88">
        <v>2033.0</v>
      </c>
      <c r="B98" s="287">
        <v>1.0</v>
      </c>
      <c r="C98" s="287"/>
      <c r="D98" s="26"/>
      <c r="E98" s="26">
        <f t="shared" si="10"/>
        <v>11247.66592</v>
      </c>
      <c r="F98" s="26"/>
      <c r="G98" s="26">
        <f t="shared" si="8"/>
        <v>3628.681201</v>
      </c>
      <c r="H98" s="26">
        <f t="shared" si="7"/>
        <v>128139.9933</v>
      </c>
      <c r="I98" s="26">
        <f t="shared" si="1"/>
        <v>3628.681201</v>
      </c>
      <c r="J98" s="26"/>
      <c r="K98" s="26">
        <f t="shared" si="19"/>
        <v>14876.34712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B99" s="26">
        <v>2.0</v>
      </c>
      <c r="C99" s="26"/>
      <c r="D99" s="26"/>
      <c r="E99" s="26">
        <f t="shared" si="10"/>
        <v>11313.2773</v>
      </c>
      <c r="F99" s="26"/>
      <c r="G99" s="26">
        <f t="shared" si="8"/>
        <v>3563.069816</v>
      </c>
      <c r="H99" s="26">
        <f t="shared" si="7"/>
        <v>116826.716</v>
      </c>
      <c r="I99" s="26">
        <f t="shared" si="1"/>
        <v>3563.069816</v>
      </c>
      <c r="J99" s="26"/>
      <c r="K99" s="26">
        <f t="shared" si="19"/>
        <v>14876.34712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B100" s="26">
        <v>3.0</v>
      </c>
      <c r="C100" s="26"/>
      <c r="D100" s="26"/>
      <c r="E100" s="26">
        <f t="shared" si="10"/>
        <v>11379.27142</v>
      </c>
      <c r="F100" s="26"/>
      <c r="G100" s="26">
        <f t="shared" si="8"/>
        <v>3497.075699</v>
      </c>
      <c r="H100" s="26">
        <f t="shared" si="7"/>
        <v>105447.4446</v>
      </c>
      <c r="I100" s="26">
        <f t="shared" si="1"/>
        <v>3497.075699</v>
      </c>
      <c r="J100" s="26"/>
      <c r="K100" s="26">
        <f t="shared" si="19"/>
        <v>14876.34712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B101" s="26">
        <v>4.0</v>
      </c>
      <c r="C101" s="26"/>
      <c r="D101" s="26"/>
      <c r="E101" s="26">
        <f t="shared" si="10"/>
        <v>11445.65051</v>
      </c>
      <c r="F101" s="26"/>
      <c r="G101" s="26">
        <f t="shared" si="8"/>
        <v>3430.696615</v>
      </c>
      <c r="H101" s="26">
        <f t="shared" si="7"/>
        <v>94001.79407</v>
      </c>
      <c r="I101" s="26">
        <f t="shared" si="1"/>
        <v>3430.696615</v>
      </c>
      <c r="J101" s="26"/>
      <c r="K101" s="26">
        <f t="shared" si="19"/>
        <v>14876.34712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B102" s="26">
        <v>5.0</v>
      </c>
      <c r="C102" s="26"/>
      <c r="D102" s="26"/>
      <c r="E102" s="26">
        <f t="shared" si="10"/>
        <v>11512.4168</v>
      </c>
      <c r="F102" s="26"/>
      <c r="G102" s="26">
        <f t="shared" si="8"/>
        <v>3363.930321</v>
      </c>
      <c r="H102" s="26">
        <f t="shared" si="7"/>
        <v>82489.37727</v>
      </c>
      <c r="I102" s="26">
        <f t="shared" si="1"/>
        <v>3363.930321</v>
      </c>
      <c r="J102" s="26"/>
      <c r="K102" s="26">
        <f t="shared" si="19"/>
        <v>14876.34712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B103" s="26">
        <v>6.0</v>
      </c>
      <c r="C103" s="26"/>
      <c r="D103" s="26"/>
      <c r="E103" s="26">
        <f t="shared" si="10"/>
        <v>11579.57256</v>
      </c>
      <c r="F103" s="26"/>
      <c r="G103" s="26">
        <f t="shared" si="8"/>
        <v>3296.774556</v>
      </c>
      <c r="H103" s="26">
        <f t="shared" si="7"/>
        <v>70909.8047</v>
      </c>
      <c r="I103" s="26">
        <f t="shared" si="1"/>
        <v>3296.774556</v>
      </c>
      <c r="J103" s="26"/>
      <c r="K103" s="26">
        <f t="shared" si="19"/>
        <v>14876.34712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B104" s="26">
        <v>7.0</v>
      </c>
      <c r="C104" s="26"/>
      <c r="D104" s="26"/>
      <c r="E104" s="26">
        <f t="shared" si="10"/>
        <v>11647.12007</v>
      </c>
      <c r="F104" s="26">
        <f>SUM(E98:E109)/6</f>
        <v>23231.27654</v>
      </c>
      <c r="G104" s="26">
        <f t="shared" si="8"/>
        <v>3229.22705</v>
      </c>
      <c r="H104" s="26">
        <f t="shared" si="7"/>
        <v>59262.68463</v>
      </c>
      <c r="I104" s="26">
        <f t="shared" si="1"/>
        <v>3229.22705</v>
      </c>
      <c r="J104" s="26">
        <f>SUM(I98:I109)/6</f>
        <v>6521.417705</v>
      </c>
      <c r="K104" s="26">
        <f t="shared" si="19"/>
        <v>14876.34712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B105" s="26">
        <v>8.0</v>
      </c>
      <c r="C105" s="26"/>
      <c r="D105" s="26"/>
      <c r="E105" s="26">
        <f t="shared" si="10"/>
        <v>11715.0616</v>
      </c>
      <c r="F105" s="26">
        <f t="shared" ref="F105:F109" si="24">F104</f>
        <v>23231.27654</v>
      </c>
      <c r="G105" s="26">
        <f t="shared" si="8"/>
        <v>3161.285516</v>
      </c>
      <c r="H105" s="26">
        <f t="shared" si="7"/>
        <v>47547.62303</v>
      </c>
      <c r="I105" s="26">
        <f t="shared" si="1"/>
        <v>3161.285516</v>
      </c>
      <c r="J105" s="26">
        <f t="shared" ref="J105:J109" si="25">J104</f>
        <v>6521.417705</v>
      </c>
      <c r="K105" s="26">
        <f t="shared" si="19"/>
        <v>14876.34712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B106" s="26">
        <v>9.0</v>
      </c>
      <c r="C106" s="26"/>
      <c r="D106" s="26"/>
      <c r="E106" s="26">
        <f t="shared" si="10"/>
        <v>11783.39946</v>
      </c>
      <c r="F106" s="26">
        <f t="shared" si="24"/>
        <v>23231.27654</v>
      </c>
      <c r="G106" s="26">
        <f t="shared" si="8"/>
        <v>3092.947656</v>
      </c>
      <c r="H106" s="26">
        <f t="shared" si="7"/>
        <v>35764.22356</v>
      </c>
      <c r="I106" s="26">
        <f t="shared" si="1"/>
        <v>3092.947656</v>
      </c>
      <c r="J106" s="26">
        <f t="shared" si="25"/>
        <v>6521.417705</v>
      </c>
      <c r="K106" s="26">
        <f t="shared" si="19"/>
        <v>14876.34712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B107" s="26">
        <v>10.0</v>
      </c>
      <c r="C107" s="26"/>
      <c r="D107" s="26"/>
      <c r="E107" s="26">
        <f t="shared" si="10"/>
        <v>11852.13596</v>
      </c>
      <c r="F107" s="26">
        <f t="shared" si="24"/>
        <v>23231.27654</v>
      </c>
      <c r="G107" s="26">
        <f t="shared" si="8"/>
        <v>3024.21116</v>
      </c>
      <c r="H107" s="26">
        <f t="shared" si="7"/>
        <v>23912.0876</v>
      </c>
      <c r="I107" s="26">
        <f t="shared" si="1"/>
        <v>3024.21116</v>
      </c>
      <c r="J107" s="26">
        <f t="shared" si="25"/>
        <v>6521.417705</v>
      </c>
      <c r="K107" s="26">
        <f t="shared" si="19"/>
        <v>14876.34712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B108" s="26">
        <v>11.0</v>
      </c>
      <c r="C108" s="26"/>
      <c r="D108" s="26"/>
      <c r="E108" s="26">
        <f t="shared" si="10"/>
        <v>11921.27342</v>
      </c>
      <c r="F108" s="26">
        <f t="shared" si="24"/>
        <v>23231.27654</v>
      </c>
      <c r="G108" s="26">
        <f t="shared" si="8"/>
        <v>2955.0737</v>
      </c>
      <c r="H108" s="26">
        <f t="shared" si="7"/>
        <v>11990.81418</v>
      </c>
      <c r="I108" s="26">
        <f t="shared" si="1"/>
        <v>2955.0737</v>
      </c>
      <c r="J108" s="26">
        <f t="shared" si="25"/>
        <v>6521.417705</v>
      </c>
      <c r="K108" s="26">
        <f t="shared" si="19"/>
        <v>14876.34712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98"/>
      <c r="B109" s="72">
        <v>12.0</v>
      </c>
      <c r="C109" s="72"/>
      <c r="D109" s="72"/>
      <c r="E109" s="72">
        <f t="shared" si="10"/>
        <v>11990.81418</v>
      </c>
      <c r="F109" s="72">
        <f t="shared" si="24"/>
        <v>23231.27654</v>
      </c>
      <c r="G109" s="72">
        <f t="shared" si="8"/>
        <v>2885.532938</v>
      </c>
      <c r="H109" s="72">
        <f t="shared" si="7"/>
        <v>0.000000002728484105</v>
      </c>
      <c r="I109" s="72">
        <f t="shared" si="1"/>
        <v>2885.532938</v>
      </c>
      <c r="J109" s="72">
        <f t="shared" si="25"/>
        <v>6521.417705</v>
      </c>
      <c r="K109" s="72">
        <f t="shared" si="19"/>
        <v>14876.34712</v>
      </c>
      <c r="L109" s="26"/>
      <c r="M109" s="26"/>
      <c r="N109" s="26"/>
      <c r="O109" s="26"/>
      <c r="P109" s="26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88">
        <v>2034.0</v>
      </c>
      <c r="B110" s="287">
        <v>1.0</v>
      </c>
      <c r="C110" s="287"/>
      <c r="D110" s="26"/>
      <c r="E110" s="26"/>
      <c r="F110" s="26"/>
      <c r="G110" s="26"/>
      <c r="H110" s="26"/>
      <c r="I110" s="26"/>
      <c r="J110" s="26"/>
      <c r="K110" s="26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B111" s="26">
        <v>2.0</v>
      </c>
      <c r="C111" s="26"/>
      <c r="D111" s="26"/>
      <c r="E111" s="26"/>
      <c r="F111" s="26"/>
      <c r="G111" s="26"/>
      <c r="H111" s="26"/>
      <c r="I111" s="26"/>
      <c r="J111" s="26"/>
      <c r="K111" s="26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B112" s="26">
        <v>3.0</v>
      </c>
      <c r="C112" s="26"/>
      <c r="D112" s="26"/>
      <c r="E112" s="26"/>
      <c r="F112" s="26"/>
      <c r="G112" s="26"/>
      <c r="H112" s="26"/>
      <c r="I112" s="26"/>
      <c r="J112" s="26"/>
      <c r="K112" s="26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B113" s="26">
        <v>4.0</v>
      </c>
      <c r="C113" s="26"/>
      <c r="D113" s="26"/>
      <c r="E113" s="26"/>
      <c r="F113" s="26"/>
      <c r="G113" s="26"/>
      <c r="H113" s="26"/>
      <c r="I113" s="26"/>
      <c r="J113" s="26"/>
      <c r="K113" s="26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B114" s="26">
        <v>5.0</v>
      </c>
      <c r="C114" s="26"/>
      <c r="D114" s="26"/>
      <c r="E114" s="26"/>
      <c r="F114" s="26"/>
      <c r="G114" s="26"/>
      <c r="H114" s="26"/>
      <c r="I114" s="26"/>
      <c r="J114" s="26"/>
      <c r="K114" s="26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B115" s="26">
        <v>6.0</v>
      </c>
      <c r="C115" s="26"/>
      <c r="D115" s="26"/>
      <c r="E115" s="26"/>
      <c r="F115" s="26"/>
      <c r="G115" s="26"/>
      <c r="H115" s="26"/>
      <c r="I115" s="26"/>
      <c r="J115" s="26"/>
      <c r="K115" s="26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B116" s="26">
        <v>7.0</v>
      </c>
      <c r="C116" s="26"/>
      <c r="D116" s="26"/>
      <c r="E116" s="26"/>
      <c r="F116" s="26"/>
      <c r="G116" s="26"/>
      <c r="H116" s="26"/>
      <c r="I116" s="26"/>
      <c r="J116" s="26"/>
      <c r="K116" s="26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B117" s="26">
        <v>8.0</v>
      </c>
      <c r="C117" s="26"/>
      <c r="D117" s="26"/>
      <c r="E117" s="26"/>
      <c r="F117" s="26"/>
      <c r="G117" s="26"/>
      <c r="H117" s="26"/>
      <c r="I117" s="26"/>
      <c r="J117" s="26"/>
      <c r="K117" s="26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B118" s="26">
        <v>9.0</v>
      </c>
      <c r="C118" s="26"/>
      <c r="D118" s="26"/>
      <c r="E118" s="26"/>
      <c r="F118" s="26"/>
      <c r="G118" s="26"/>
      <c r="H118" s="26"/>
      <c r="I118" s="26"/>
      <c r="J118" s="26"/>
      <c r="K118" s="26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B119" s="26">
        <v>10.0</v>
      </c>
      <c r="C119" s="26"/>
      <c r="D119" s="26"/>
      <c r="E119" s="26"/>
      <c r="F119" s="26"/>
      <c r="G119" s="26"/>
      <c r="H119" s="26"/>
      <c r="I119" s="26"/>
      <c r="J119" s="26"/>
      <c r="K119" s="26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B120" s="26">
        <v>11.0</v>
      </c>
      <c r="C120" s="26"/>
      <c r="D120" s="26"/>
      <c r="E120" s="26"/>
      <c r="F120" s="26"/>
      <c r="G120" s="26"/>
      <c r="H120" s="26"/>
      <c r="I120" s="26"/>
      <c r="J120" s="26"/>
      <c r="K120" s="26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98"/>
      <c r="B121" s="72">
        <v>12.0</v>
      </c>
      <c r="C121" s="72"/>
      <c r="D121" s="72"/>
      <c r="E121" s="72"/>
      <c r="F121" s="72"/>
      <c r="G121" s="72"/>
      <c r="H121" s="72"/>
      <c r="I121" s="72"/>
      <c r="J121" s="72"/>
      <c r="K121" s="72"/>
      <c r="L121" s="26"/>
      <c r="M121" s="26"/>
      <c r="N121" s="26"/>
      <c r="O121" s="26"/>
      <c r="P121" s="26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88">
        <v>2035.0</v>
      </c>
      <c r="B122" s="287">
        <v>1.0</v>
      </c>
      <c r="C122" s="287"/>
      <c r="D122" s="26"/>
      <c r="E122" s="26"/>
      <c r="F122" s="26"/>
      <c r="G122" s="26"/>
      <c r="H122" s="26"/>
      <c r="I122" s="26"/>
      <c r="J122" s="26"/>
      <c r="K122" s="26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B123" s="26">
        <v>2.0</v>
      </c>
      <c r="C123" s="26"/>
      <c r="D123" s="26"/>
      <c r="E123" s="26"/>
      <c r="F123" s="26"/>
      <c r="G123" s="26"/>
      <c r="H123" s="26"/>
      <c r="I123" s="26"/>
      <c r="J123" s="26"/>
      <c r="K123" s="26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B124" s="26">
        <v>3.0</v>
      </c>
      <c r="C124" s="26"/>
      <c r="D124" s="26"/>
      <c r="E124" s="26"/>
      <c r="F124" s="26"/>
      <c r="G124" s="26"/>
      <c r="H124" s="26"/>
      <c r="I124" s="26"/>
      <c r="J124" s="26"/>
      <c r="K124" s="26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B125" s="26">
        <v>4.0</v>
      </c>
      <c r="C125" s="26"/>
      <c r="D125" s="26"/>
      <c r="E125" s="26"/>
      <c r="F125" s="26"/>
      <c r="G125" s="26"/>
      <c r="H125" s="26"/>
      <c r="I125" s="26"/>
      <c r="J125" s="26"/>
      <c r="K125" s="26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B126" s="26">
        <v>5.0</v>
      </c>
      <c r="C126" s="26"/>
      <c r="D126" s="26"/>
      <c r="E126" s="26"/>
      <c r="F126" s="26"/>
      <c r="G126" s="26"/>
      <c r="H126" s="26"/>
      <c r="I126" s="26"/>
      <c r="J126" s="26"/>
      <c r="K126" s="26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B127" s="26">
        <v>6.0</v>
      </c>
      <c r="C127" s="26"/>
      <c r="D127" s="26"/>
      <c r="E127" s="26"/>
      <c r="F127" s="26"/>
      <c r="G127" s="26"/>
      <c r="H127" s="26"/>
      <c r="I127" s="26"/>
      <c r="J127" s="26"/>
      <c r="K127" s="26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B128" s="26">
        <v>7.0</v>
      </c>
      <c r="C128" s="26"/>
      <c r="D128" s="26"/>
      <c r="E128" s="26"/>
      <c r="F128" s="26"/>
      <c r="G128" s="26"/>
      <c r="H128" s="26"/>
      <c r="I128" s="26"/>
      <c r="J128" s="26"/>
      <c r="K128" s="26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B129" s="26">
        <v>8.0</v>
      </c>
      <c r="C129" s="26"/>
      <c r="D129" s="26"/>
      <c r="E129" s="26"/>
      <c r="F129" s="26"/>
      <c r="G129" s="26"/>
      <c r="H129" s="26"/>
      <c r="I129" s="26"/>
      <c r="J129" s="26"/>
      <c r="K129" s="26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B130" s="26">
        <v>9.0</v>
      </c>
      <c r="C130" s="26"/>
      <c r="D130" s="26"/>
      <c r="E130" s="26"/>
      <c r="F130" s="26"/>
      <c r="G130" s="26"/>
      <c r="H130" s="26"/>
      <c r="I130" s="26"/>
      <c r="J130" s="26"/>
      <c r="K130" s="26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B131" s="26">
        <v>10.0</v>
      </c>
      <c r="C131" s="26"/>
      <c r="D131" s="26"/>
      <c r="E131" s="26"/>
      <c r="F131" s="26"/>
      <c r="G131" s="26"/>
      <c r="H131" s="26"/>
      <c r="I131" s="26"/>
      <c r="J131" s="26"/>
      <c r="K131" s="26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B132" s="26">
        <v>11.0</v>
      </c>
      <c r="C132" s="26"/>
      <c r="D132" s="26"/>
      <c r="E132" s="26"/>
      <c r="F132" s="26"/>
      <c r="G132" s="26"/>
      <c r="H132" s="26"/>
      <c r="I132" s="26"/>
      <c r="J132" s="26"/>
      <c r="K132" s="26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98"/>
      <c r="B133" s="72">
        <v>12.0</v>
      </c>
      <c r="C133" s="72"/>
      <c r="D133" s="72"/>
      <c r="E133" s="72"/>
      <c r="F133" s="72"/>
      <c r="G133" s="72"/>
      <c r="H133" s="72"/>
      <c r="I133" s="72"/>
      <c r="J133" s="72"/>
      <c r="K133" s="72"/>
      <c r="L133" s="26"/>
      <c r="M133" s="26"/>
      <c r="N133" s="26"/>
      <c r="O133" s="26"/>
      <c r="P133" s="26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89"/>
      <c r="B134" s="289"/>
      <c r="C134" s="290"/>
      <c r="D134" s="290">
        <f t="shared" ref="D134:G134" si="26">SUM(D14:D133)</f>
        <v>776785.7143</v>
      </c>
      <c r="E134" s="290">
        <f t="shared" si="26"/>
        <v>776785.7143</v>
      </c>
      <c r="F134" s="290">
        <f t="shared" si="26"/>
        <v>776785.7143</v>
      </c>
      <c r="G134" s="290">
        <f t="shared" si="26"/>
        <v>342483.1024</v>
      </c>
      <c r="H134" s="290"/>
      <c r="I134" s="290">
        <f t="shared" ref="I134:K134" si="27">SUM(I14:I133)</f>
        <v>342483.1024</v>
      </c>
      <c r="J134" s="290">
        <f t="shared" si="27"/>
        <v>342483.1024</v>
      </c>
      <c r="K134" s="290">
        <f t="shared" si="27"/>
        <v>1119268.817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54"/>
      <c r="F137" s="54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A98:A109"/>
    <mergeCell ref="A110:A121"/>
    <mergeCell ref="A122:A133"/>
    <mergeCell ref="A14:A25"/>
    <mergeCell ref="A26:A37"/>
    <mergeCell ref="A38:A49"/>
    <mergeCell ref="A50:A61"/>
    <mergeCell ref="A62:A73"/>
    <mergeCell ref="A74:A85"/>
    <mergeCell ref="A86:A97"/>
  </mergeCells>
  <printOptions/>
  <pageMargins bottom="0.48" footer="0.0" header="0.0" left="0.75" right="0.75" top="0.49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 outlineLevelCol="1"/>
  <cols>
    <col customWidth="1" min="1" max="1" width="10.86"/>
    <col customWidth="1" min="2" max="2" width="21.14"/>
    <col customWidth="1" min="3" max="3" width="20.29"/>
    <col customWidth="1" min="4" max="4" width="15.0"/>
    <col customWidth="1" min="5" max="5" width="11.71" outlineLevel="1"/>
    <col customWidth="1" min="6" max="6" width="11.71"/>
    <col customWidth="1" min="7" max="7" width="18.0" outlineLevel="1"/>
    <col customWidth="1" min="8" max="8" width="15.14"/>
    <col customWidth="1" min="9" max="9" width="11.71" outlineLevel="1"/>
    <col customWidth="1" min="10" max="11" width="11.71"/>
    <col customWidth="1" min="12" max="12" width="8.86"/>
    <col customWidth="1" min="13" max="13" width="29.29"/>
    <col customWidth="1" min="14" max="14" width="8.86"/>
    <col customWidth="1" min="15" max="15" width="11.71"/>
    <col customWidth="1" min="16" max="16" width="13.86"/>
    <col customWidth="1" min="17" max="26" width="8.86"/>
  </cols>
  <sheetData>
    <row r="1" ht="12.75" customHeight="1">
      <c r="A1" s="1" t="str">
        <f>Panel!A1</f>
        <v/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 t="str">
        <f>Panel!A2</f>
        <v>Строительство ГЭС -5 МВТ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" t="s">
        <v>291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2"/>
      <c r="B5" s="2"/>
      <c r="C5" s="2"/>
      <c r="D5" s="282"/>
      <c r="E5" s="2"/>
      <c r="F5" s="2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233" t="s">
        <v>292</v>
      </c>
      <c r="B6" s="26"/>
      <c r="C6" s="26"/>
      <c r="D6" s="283"/>
      <c r="E6" s="26"/>
      <c r="F6" s="26"/>
      <c r="G6" s="26"/>
      <c r="H6" s="26"/>
      <c r="I6" s="26"/>
      <c r="J6" s="26"/>
      <c r="K6" s="2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6" t="s">
        <v>293</v>
      </c>
      <c r="B8" s="2"/>
      <c r="C8" s="291">
        <v>0.07</v>
      </c>
      <c r="D8" s="2"/>
      <c r="E8" s="26"/>
      <c r="F8" s="26"/>
      <c r="G8" s="24"/>
      <c r="H8" s="26"/>
      <c r="I8" s="26"/>
      <c r="J8" s="26"/>
      <c r="K8" s="2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6" t="s">
        <v>294</v>
      </c>
      <c r="B9" s="2"/>
      <c r="C9" s="284">
        <v>0.14</v>
      </c>
      <c r="D9" s="2"/>
      <c r="E9" s="26"/>
      <c r="F9" s="26"/>
      <c r="G9" s="26"/>
      <c r="H9" s="26"/>
      <c r="I9" s="26"/>
      <c r="J9" s="26"/>
      <c r="K9" s="2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6" t="s">
        <v>295</v>
      </c>
      <c r="B10" s="2"/>
      <c r="C10" s="29">
        <v>81.0</v>
      </c>
      <c r="D10" s="2" t="s">
        <v>296</v>
      </c>
      <c r="E10" s="26"/>
      <c r="F10" s="26"/>
      <c r="G10" s="26"/>
      <c r="H10" s="26"/>
      <c r="I10" s="26"/>
      <c r="J10" s="26"/>
      <c r="K10" s="2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4"/>
      <c r="B11" s="2"/>
      <c r="C11" s="26"/>
      <c r="D11" s="2"/>
      <c r="E11" s="26"/>
      <c r="F11" s="26"/>
      <c r="G11" s="26"/>
      <c r="H11" s="26"/>
      <c r="I11" s="26"/>
      <c r="J11" s="26"/>
      <c r="K11" s="2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34" t="s">
        <v>42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85" t="s">
        <v>231</v>
      </c>
      <c r="B13" s="285" t="s">
        <v>297</v>
      </c>
      <c r="C13" s="285" t="s">
        <v>298</v>
      </c>
      <c r="D13" s="285" t="s">
        <v>299</v>
      </c>
      <c r="E13" s="285" t="s">
        <v>300</v>
      </c>
      <c r="F13" s="285" t="s">
        <v>300</v>
      </c>
      <c r="G13" s="285" t="s">
        <v>301</v>
      </c>
      <c r="H13" s="285" t="s">
        <v>302</v>
      </c>
      <c r="I13" s="285" t="s">
        <v>303</v>
      </c>
      <c r="J13" s="285" t="s">
        <v>303</v>
      </c>
      <c r="K13" s="285" t="s">
        <v>304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88">
        <v>2026.0</v>
      </c>
      <c r="B14" s="26">
        <v>1.0</v>
      </c>
      <c r="C14" s="26"/>
      <c r="D14" s="26">
        <f>('A-0'!O22)*('Инвестиции'!$G$19)</f>
        <v>153372.5451</v>
      </c>
      <c r="E14" s="26"/>
      <c r="F14" s="26"/>
      <c r="G14" s="26"/>
      <c r="H14" s="287">
        <f>D14</f>
        <v>153372.5451</v>
      </c>
      <c r="I14" s="26" t="str">
        <f t="shared" ref="I14:I109" si="1">G14</f>
        <v/>
      </c>
      <c r="J14" s="26"/>
      <c r="K14" s="26"/>
      <c r="L14" s="2"/>
      <c r="M14" s="6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B15" s="26">
        <v>2.0</v>
      </c>
      <c r="C15" s="26"/>
      <c r="D15" s="26">
        <f>('A-0'!P22)*('Инвестиции'!$G$19)</f>
        <v>129582.0759</v>
      </c>
      <c r="E15" s="26">
        <f t="shared" ref="E15:E27" si="2">(1+$C$8/12)*E14</f>
        <v>0</v>
      </c>
      <c r="F15" s="26"/>
      <c r="G15" s="26"/>
      <c r="H15" s="26">
        <f t="shared" ref="H15:H25" si="3">H14+D15</f>
        <v>282954.621</v>
      </c>
      <c r="I15" s="26" t="str">
        <f t="shared" si="1"/>
        <v/>
      </c>
      <c r="J15" s="26"/>
      <c r="K15" s="2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B16" s="26">
        <v>3.0</v>
      </c>
      <c r="C16" s="26"/>
      <c r="D16" s="26">
        <f>('A-0'!Q22)*('Инвестиции'!$G$19)</f>
        <v>129582.0759</v>
      </c>
      <c r="E16" s="26">
        <f t="shared" si="2"/>
        <v>0</v>
      </c>
      <c r="F16" s="26"/>
      <c r="G16" s="26"/>
      <c r="H16" s="26">
        <f t="shared" si="3"/>
        <v>412536.6969</v>
      </c>
      <c r="I16" s="26" t="str">
        <f t="shared" si="1"/>
        <v/>
      </c>
      <c r="J16" s="26"/>
      <c r="K16" s="2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B17" s="26">
        <v>4.0</v>
      </c>
      <c r="C17" s="26"/>
      <c r="D17" s="26">
        <f>('A-0'!R22)*('Инвестиции'!$G$19)</f>
        <v>129582.0759</v>
      </c>
      <c r="E17" s="26">
        <f t="shared" si="2"/>
        <v>0</v>
      </c>
      <c r="F17" s="26"/>
      <c r="G17" s="26">
        <f t="shared" ref="G17:G28" si="4">H17*$C$8/12</f>
        <v>3162.359508</v>
      </c>
      <c r="H17" s="26">
        <f t="shared" si="3"/>
        <v>542118.7728</v>
      </c>
      <c r="I17" s="26">
        <f t="shared" si="1"/>
        <v>3162.359508</v>
      </c>
      <c r="J17" s="26">
        <f t="shared" ref="J17:J25" si="5">I17</f>
        <v>3162.359508</v>
      </c>
      <c r="K17" s="26">
        <f t="shared" ref="K17:K28" si="6">I17</f>
        <v>3162.359508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B18" s="26">
        <v>5.0</v>
      </c>
      <c r="C18" s="26"/>
      <c r="D18" s="26">
        <f>('A-0'!S22)*('Инвестиции'!$G$19)</f>
        <v>129582.0759</v>
      </c>
      <c r="E18" s="26">
        <f t="shared" si="2"/>
        <v>0</v>
      </c>
      <c r="F18" s="26"/>
      <c r="G18" s="26">
        <f t="shared" si="4"/>
        <v>3918.254951</v>
      </c>
      <c r="H18" s="26">
        <f t="shared" si="3"/>
        <v>671700.8487</v>
      </c>
      <c r="I18" s="26">
        <f t="shared" si="1"/>
        <v>3918.254951</v>
      </c>
      <c r="J18" s="26">
        <f t="shared" si="5"/>
        <v>3918.254951</v>
      </c>
      <c r="K18" s="26">
        <f t="shared" si="6"/>
        <v>3918.254951</v>
      </c>
      <c r="L18" s="2"/>
      <c r="M18" s="2"/>
      <c r="N18" s="2"/>
      <c r="O18" s="2"/>
      <c r="P18" s="26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B19" s="26">
        <v>6.0</v>
      </c>
      <c r="C19" s="26"/>
      <c r="D19" s="26">
        <f>('A-0'!T22)*('Инвестиции'!$G$19)</f>
        <v>129582.0759</v>
      </c>
      <c r="E19" s="26">
        <f t="shared" si="2"/>
        <v>0</v>
      </c>
      <c r="F19" s="26"/>
      <c r="G19" s="26">
        <f t="shared" si="4"/>
        <v>4674.150394</v>
      </c>
      <c r="H19" s="26">
        <f t="shared" si="3"/>
        <v>801282.9246</v>
      </c>
      <c r="I19" s="26">
        <f t="shared" si="1"/>
        <v>4674.150394</v>
      </c>
      <c r="J19" s="26">
        <f t="shared" si="5"/>
        <v>4674.150394</v>
      </c>
      <c r="K19" s="26">
        <f t="shared" si="6"/>
        <v>4674.150394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B20" s="26">
        <v>7.0</v>
      </c>
      <c r="C20" s="26"/>
      <c r="D20" s="26">
        <f>('A-0'!U22)*('Инвестиции'!$G$19)</f>
        <v>129582.0759</v>
      </c>
      <c r="E20" s="26">
        <f t="shared" si="2"/>
        <v>0</v>
      </c>
      <c r="F20" s="26"/>
      <c r="G20" s="26">
        <f t="shared" si="4"/>
        <v>5430.045836</v>
      </c>
      <c r="H20" s="26">
        <f t="shared" si="3"/>
        <v>930865.0005</v>
      </c>
      <c r="I20" s="26">
        <f t="shared" si="1"/>
        <v>5430.045836</v>
      </c>
      <c r="J20" s="26">
        <f t="shared" si="5"/>
        <v>5430.045836</v>
      </c>
      <c r="K20" s="26">
        <f t="shared" si="6"/>
        <v>5430.045836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B21" s="26">
        <v>8.0</v>
      </c>
      <c r="C21" s="26"/>
      <c r="D21" s="26">
        <f>('A-0'!V22)*('Инвестиции'!$G$19)</f>
        <v>129582.0759</v>
      </c>
      <c r="E21" s="26">
        <f t="shared" si="2"/>
        <v>0</v>
      </c>
      <c r="F21" s="26"/>
      <c r="G21" s="26">
        <f t="shared" si="4"/>
        <v>6185.941279</v>
      </c>
      <c r="H21" s="26">
        <f t="shared" si="3"/>
        <v>1060447.076</v>
      </c>
      <c r="I21" s="26">
        <f t="shared" si="1"/>
        <v>6185.941279</v>
      </c>
      <c r="J21" s="26">
        <f t="shared" si="5"/>
        <v>6185.941279</v>
      </c>
      <c r="K21" s="26">
        <f t="shared" si="6"/>
        <v>6185.941279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B22" s="26">
        <v>9.0</v>
      </c>
      <c r="C22" s="26"/>
      <c r="D22" s="26">
        <f>('A-0'!W22)*('Инвестиции'!$G$19)</f>
        <v>129582.0759</v>
      </c>
      <c r="E22" s="26">
        <f t="shared" si="2"/>
        <v>0</v>
      </c>
      <c r="F22" s="26"/>
      <c r="G22" s="26">
        <f t="shared" si="4"/>
        <v>6941.836722</v>
      </c>
      <c r="H22" s="26">
        <f t="shared" si="3"/>
        <v>1190029.152</v>
      </c>
      <c r="I22" s="26">
        <f t="shared" si="1"/>
        <v>6941.836722</v>
      </c>
      <c r="J22" s="26">
        <f t="shared" si="5"/>
        <v>6941.836722</v>
      </c>
      <c r="K22" s="26">
        <f t="shared" si="6"/>
        <v>6941.836722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B23" s="26">
        <v>10.0</v>
      </c>
      <c r="C23" s="26"/>
      <c r="D23" s="26">
        <f>('A-0'!X22)*('Инвестиции'!$G$19)</f>
        <v>129582.0759</v>
      </c>
      <c r="E23" s="26">
        <f t="shared" si="2"/>
        <v>0</v>
      </c>
      <c r="F23" s="26"/>
      <c r="G23" s="26">
        <f t="shared" si="4"/>
        <v>7697.732165</v>
      </c>
      <c r="H23" s="26">
        <f t="shared" si="3"/>
        <v>1319611.228</v>
      </c>
      <c r="I23" s="26">
        <f t="shared" si="1"/>
        <v>7697.732165</v>
      </c>
      <c r="J23" s="26">
        <f t="shared" si="5"/>
        <v>7697.732165</v>
      </c>
      <c r="K23" s="26">
        <f t="shared" si="6"/>
        <v>7697.732165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B24" s="26">
        <v>11.0</v>
      </c>
      <c r="C24" s="26"/>
      <c r="D24" s="26">
        <f>('A-0'!Y22)*('Инвестиции'!$G$19)</f>
        <v>129582.0759</v>
      </c>
      <c r="E24" s="26">
        <f t="shared" si="2"/>
        <v>0</v>
      </c>
      <c r="F24" s="26"/>
      <c r="G24" s="26">
        <f t="shared" si="4"/>
        <v>8453.627608</v>
      </c>
      <c r="H24" s="26">
        <f t="shared" si="3"/>
        <v>1449193.304</v>
      </c>
      <c r="I24" s="26">
        <f t="shared" si="1"/>
        <v>8453.627608</v>
      </c>
      <c r="J24" s="26">
        <f t="shared" si="5"/>
        <v>8453.627608</v>
      </c>
      <c r="K24" s="26">
        <f t="shared" si="6"/>
        <v>8453.627608</v>
      </c>
      <c r="L24" s="2"/>
      <c r="M24" s="2"/>
      <c r="N24" s="2"/>
      <c r="O24" s="2"/>
      <c r="P24" s="2"/>
      <c r="Q24" s="24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98"/>
      <c r="B25" s="26">
        <v>12.0</v>
      </c>
      <c r="C25" s="26"/>
      <c r="D25" s="72">
        <f>('A-0'!Z22)*('Инвестиции'!$G$19)</f>
        <v>129582.0759</v>
      </c>
      <c r="E25" s="72">
        <f t="shared" si="2"/>
        <v>0</v>
      </c>
      <c r="F25" s="72"/>
      <c r="G25" s="72">
        <f t="shared" si="4"/>
        <v>9209.52305</v>
      </c>
      <c r="H25" s="72">
        <f t="shared" si="3"/>
        <v>1578775.38</v>
      </c>
      <c r="I25" s="72">
        <f t="shared" si="1"/>
        <v>9209.52305</v>
      </c>
      <c r="J25" s="72">
        <f t="shared" si="5"/>
        <v>9209.52305</v>
      </c>
      <c r="K25" s="72">
        <f t="shared" si="6"/>
        <v>9209.52305</v>
      </c>
      <c r="L25" s="26"/>
      <c r="M25" s="26"/>
      <c r="N25" s="26"/>
      <c r="O25" s="26"/>
      <c r="P25" s="26"/>
      <c r="Q25" s="24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88">
        <v>2027.0</v>
      </c>
      <c r="B26" s="287">
        <v>1.0</v>
      </c>
      <c r="C26" s="287"/>
      <c r="D26" s="26"/>
      <c r="E26" s="26">
        <f t="shared" si="2"/>
        <v>0</v>
      </c>
      <c r="F26" s="26"/>
      <c r="G26" s="26">
        <f t="shared" si="4"/>
        <v>9209.52305</v>
      </c>
      <c r="H26" s="26">
        <f t="shared" ref="H26:H109" si="7">H25-E26</f>
        <v>1578775.38</v>
      </c>
      <c r="I26" s="26">
        <f t="shared" si="1"/>
        <v>9209.52305</v>
      </c>
      <c r="J26" s="26"/>
      <c r="K26" s="26">
        <f t="shared" si="6"/>
        <v>9209.52305</v>
      </c>
      <c r="L26" s="2"/>
      <c r="M26" s="2"/>
      <c r="N26" s="2"/>
      <c r="O26" s="2"/>
      <c r="P26" s="2"/>
      <c r="Q26" s="24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B27" s="26">
        <v>2.0</v>
      </c>
      <c r="C27" s="26"/>
      <c r="D27" s="26"/>
      <c r="E27" s="26">
        <f t="shared" si="2"/>
        <v>0</v>
      </c>
      <c r="F27" s="26"/>
      <c r="G27" s="26">
        <f t="shared" si="4"/>
        <v>9209.52305</v>
      </c>
      <c r="H27" s="26">
        <f t="shared" si="7"/>
        <v>1578775.38</v>
      </c>
      <c r="I27" s="26">
        <f t="shared" si="1"/>
        <v>9209.52305</v>
      </c>
      <c r="J27" s="26"/>
      <c r="K27" s="26">
        <f t="shared" si="6"/>
        <v>9209.52305</v>
      </c>
      <c r="L27" s="2"/>
      <c r="M27" s="2"/>
      <c r="N27" s="2"/>
      <c r="O27" s="2"/>
      <c r="P27" s="2"/>
      <c r="Q27" s="24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B28" s="26">
        <v>3.0</v>
      </c>
      <c r="C28" s="26"/>
      <c r="D28" s="26"/>
      <c r="E28" s="26"/>
      <c r="F28" s="26"/>
      <c r="G28" s="26">
        <f t="shared" si="4"/>
        <v>9209.52305</v>
      </c>
      <c r="H28" s="26">
        <f t="shared" si="7"/>
        <v>1578775.38</v>
      </c>
      <c r="I28" s="26">
        <f t="shared" si="1"/>
        <v>9209.52305</v>
      </c>
      <c r="J28" s="26"/>
      <c r="K28" s="26">
        <f t="shared" si="6"/>
        <v>9209.52305</v>
      </c>
      <c r="L28" s="2"/>
      <c r="M28" s="2"/>
      <c r="N28" s="2"/>
      <c r="O28" s="2"/>
      <c r="P28" s="2"/>
      <c r="Q28" s="24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B29" s="26">
        <v>4.0</v>
      </c>
      <c r="C29" s="26"/>
      <c r="D29" s="26"/>
      <c r="E29" s="26">
        <f>K29*((1+$C$8/12)^(-C10))</f>
        <v>15303.32721</v>
      </c>
      <c r="F29" s="26"/>
      <c r="G29" s="26">
        <f t="shared" ref="G29:G109" si="8">K29-E29</f>
        <v>9209.52305</v>
      </c>
      <c r="H29" s="26">
        <f t="shared" si="7"/>
        <v>1563472.053</v>
      </c>
      <c r="I29" s="26">
        <f t="shared" si="1"/>
        <v>9209.52305</v>
      </c>
      <c r="J29" s="26"/>
      <c r="K29" s="26">
        <f t="shared" ref="K29:K73" si="9">($C$8/12)/(1-(1+$C$8/12)^(-$C$10))*$H$27</f>
        <v>24512.85026</v>
      </c>
      <c r="L29" s="2"/>
      <c r="M29" s="2"/>
      <c r="N29" s="2"/>
      <c r="O29" s="2"/>
      <c r="P29" s="2"/>
      <c r="Q29" s="24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B30" s="26">
        <v>5.0</v>
      </c>
      <c r="C30" s="26"/>
      <c r="D30" s="26"/>
      <c r="E30" s="26">
        <f t="shared" ref="E30:E109" si="10">(1+$C$8/12)*E29</f>
        <v>15392.59662</v>
      </c>
      <c r="F30" s="26"/>
      <c r="G30" s="26">
        <f t="shared" si="8"/>
        <v>9120.253642</v>
      </c>
      <c r="H30" s="26">
        <f t="shared" si="7"/>
        <v>1548079.456</v>
      </c>
      <c r="I30" s="26">
        <f t="shared" si="1"/>
        <v>9120.253642</v>
      </c>
      <c r="J30" s="26"/>
      <c r="K30" s="26">
        <f t="shared" si="9"/>
        <v>24512.85026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B31" s="26">
        <v>6.0</v>
      </c>
      <c r="C31" s="26"/>
      <c r="D31" s="26"/>
      <c r="E31" s="26">
        <f t="shared" si="10"/>
        <v>15482.38676</v>
      </c>
      <c r="F31" s="26"/>
      <c r="G31" s="26">
        <f t="shared" si="8"/>
        <v>9030.463495</v>
      </c>
      <c r="H31" s="26">
        <f t="shared" si="7"/>
        <v>1532597.069</v>
      </c>
      <c r="I31" s="26">
        <f t="shared" si="1"/>
        <v>9030.463495</v>
      </c>
      <c r="J31" s="26"/>
      <c r="K31" s="26">
        <f t="shared" si="9"/>
        <v>24512.85026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B32" s="26">
        <v>7.0</v>
      </c>
      <c r="C32" s="26"/>
      <c r="D32" s="26"/>
      <c r="E32" s="26">
        <f t="shared" si="10"/>
        <v>15572.70069</v>
      </c>
      <c r="F32" s="26">
        <f>SUM(E29:E37)/6*N32</f>
        <v>16448.57324</v>
      </c>
      <c r="G32" s="26">
        <f t="shared" si="8"/>
        <v>8940.149572</v>
      </c>
      <c r="H32" s="26">
        <f t="shared" si="7"/>
        <v>1517024.369</v>
      </c>
      <c r="I32" s="26">
        <f t="shared" si="1"/>
        <v>8940.149572</v>
      </c>
      <c r="J32" s="26">
        <f>SUM(I26:I37)/6*N32</f>
        <v>12513.2526</v>
      </c>
      <c r="K32" s="26">
        <f t="shared" si="9"/>
        <v>24512.85026</v>
      </c>
      <c r="L32" s="2"/>
      <c r="M32" s="30" t="s">
        <v>305</v>
      </c>
      <c r="N32" s="24">
        <v>0.7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B33" s="26">
        <v>8.0</v>
      </c>
      <c r="C33" s="26"/>
      <c r="D33" s="26"/>
      <c r="E33" s="26">
        <f t="shared" si="10"/>
        <v>15663.54144</v>
      </c>
      <c r="F33" s="26">
        <f t="shared" ref="F33:F37" si="11">F32</f>
        <v>16448.57324</v>
      </c>
      <c r="G33" s="26">
        <f t="shared" si="8"/>
        <v>8849.308818</v>
      </c>
      <c r="H33" s="26">
        <f t="shared" si="7"/>
        <v>1501360.827</v>
      </c>
      <c r="I33" s="26">
        <f t="shared" si="1"/>
        <v>8849.308818</v>
      </c>
      <c r="J33" s="26">
        <f t="shared" ref="J33:J37" si="12">J32</f>
        <v>12513.2526</v>
      </c>
      <c r="K33" s="26">
        <f t="shared" si="9"/>
        <v>24512.85026</v>
      </c>
      <c r="L33" s="2"/>
      <c r="M33" s="30" t="s">
        <v>306</v>
      </c>
      <c r="N33" s="24">
        <v>0.7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B34" s="26">
        <v>9.0</v>
      </c>
      <c r="C34" s="26"/>
      <c r="D34" s="26"/>
      <c r="E34" s="26">
        <f t="shared" si="10"/>
        <v>15754.9121</v>
      </c>
      <c r="F34" s="26">
        <f t="shared" si="11"/>
        <v>16448.57324</v>
      </c>
      <c r="G34" s="26">
        <f t="shared" si="8"/>
        <v>8757.938159</v>
      </c>
      <c r="H34" s="26">
        <f t="shared" si="7"/>
        <v>1485605.915</v>
      </c>
      <c r="I34" s="26">
        <f t="shared" si="1"/>
        <v>8757.938159</v>
      </c>
      <c r="J34" s="26">
        <f t="shared" si="12"/>
        <v>12513.2526</v>
      </c>
      <c r="K34" s="26">
        <f t="shared" si="9"/>
        <v>24512.85026</v>
      </c>
      <c r="L34" s="2"/>
      <c r="M34" s="30" t="s">
        <v>307</v>
      </c>
      <c r="N34" s="24">
        <v>0.7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B35" s="26">
        <v>10.0</v>
      </c>
      <c r="C35" s="26"/>
      <c r="D35" s="26"/>
      <c r="E35" s="26">
        <f t="shared" si="10"/>
        <v>15846.81575</v>
      </c>
      <c r="F35" s="26">
        <f t="shared" si="11"/>
        <v>16448.57324</v>
      </c>
      <c r="G35" s="26">
        <f t="shared" si="8"/>
        <v>8666.034506</v>
      </c>
      <c r="H35" s="26">
        <f t="shared" si="7"/>
        <v>1469759.099</v>
      </c>
      <c r="I35" s="26">
        <f t="shared" si="1"/>
        <v>8666.034506</v>
      </c>
      <c r="J35" s="26">
        <f t="shared" si="12"/>
        <v>12513.2526</v>
      </c>
      <c r="K35" s="26">
        <f t="shared" si="9"/>
        <v>24512.85026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B36" s="26">
        <v>11.0</v>
      </c>
      <c r="C36" s="26"/>
      <c r="D36" s="26"/>
      <c r="E36" s="26">
        <f t="shared" si="10"/>
        <v>15939.25551</v>
      </c>
      <c r="F36" s="26">
        <f t="shared" si="11"/>
        <v>16448.57324</v>
      </c>
      <c r="G36" s="26">
        <f t="shared" si="8"/>
        <v>8573.594747</v>
      </c>
      <c r="H36" s="26">
        <f t="shared" si="7"/>
        <v>1453819.844</v>
      </c>
      <c r="I36" s="26">
        <f t="shared" si="1"/>
        <v>8573.594747</v>
      </c>
      <c r="J36" s="26">
        <f t="shared" si="12"/>
        <v>12513.2526</v>
      </c>
      <c r="K36" s="26">
        <f t="shared" si="9"/>
        <v>24512.85026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98"/>
      <c r="B37" s="72">
        <v>12.0</v>
      </c>
      <c r="C37" s="72"/>
      <c r="D37" s="72"/>
      <c r="E37" s="72">
        <f t="shared" si="10"/>
        <v>16032.2345</v>
      </c>
      <c r="F37" s="72">
        <f t="shared" si="11"/>
        <v>16448.57324</v>
      </c>
      <c r="G37" s="72">
        <f t="shared" si="8"/>
        <v>8480.615756</v>
      </c>
      <c r="H37" s="72">
        <f t="shared" si="7"/>
        <v>1437787.609</v>
      </c>
      <c r="I37" s="72">
        <f t="shared" si="1"/>
        <v>8480.615756</v>
      </c>
      <c r="J37" s="72">
        <f t="shared" si="12"/>
        <v>12513.2526</v>
      </c>
      <c r="K37" s="72">
        <f t="shared" si="9"/>
        <v>24512.85026</v>
      </c>
      <c r="L37" s="26"/>
      <c r="M37" s="26"/>
      <c r="N37" s="26"/>
      <c r="O37" s="26"/>
      <c r="P37" s="26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88">
        <v>2028.0</v>
      </c>
      <c r="B38" s="26">
        <v>1.0</v>
      </c>
      <c r="C38" s="287"/>
      <c r="D38" s="26"/>
      <c r="E38" s="26">
        <f t="shared" si="10"/>
        <v>16125.75587</v>
      </c>
      <c r="F38" s="26"/>
      <c r="G38" s="26">
        <f t="shared" si="8"/>
        <v>8387.094389</v>
      </c>
      <c r="H38" s="26">
        <f t="shared" si="7"/>
        <v>1421661.854</v>
      </c>
      <c r="I38" s="26">
        <f t="shared" si="1"/>
        <v>8387.094389</v>
      </c>
      <c r="J38" s="26"/>
      <c r="K38" s="26">
        <f t="shared" si="9"/>
        <v>24512.85026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B39" s="26">
        <v>2.0</v>
      </c>
      <c r="C39" s="26"/>
      <c r="D39" s="26"/>
      <c r="E39" s="26">
        <f t="shared" si="10"/>
        <v>16219.82278</v>
      </c>
      <c r="F39" s="26"/>
      <c r="G39" s="26">
        <f t="shared" si="8"/>
        <v>8293.027479</v>
      </c>
      <c r="H39" s="26">
        <f t="shared" si="7"/>
        <v>1405442.031</v>
      </c>
      <c r="I39" s="26">
        <f t="shared" si="1"/>
        <v>8293.027479</v>
      </c>
      <c r="J39" s="26"/>
      <c r="K39" s="26">
        <f t="shared" si="9"/>
        <v>24512.85026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B40" s="26">
        <v>3.0</v>
      </c>
      <c r="C40" s="26"/>
      <c r="D40" s="26"/>
      <c r="E40" s="26">
        <f t="shared" si="10"/>
        <v>16314.43841</v>
      </c>
      <c r="F40" s="26"/>
      <c r="G40" s="26">
        <f t="shared" si="8"/>
        <v>8198.411846</v>
      </c>
      <c r="H40" s="26">
        <f t="shared" si="7"/>
        <v>1389127.592</v>
      </c>
      <c r="I40" s="26">
        <f t="shared" si="1"/>
        <v>8198.411846</v>
      </c>
      <c r="J40" s="26"/>
      <c r="K40" s="26">
        <f t="shared" si="9"/>
        <v>24512.85026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B41" s="26">
        <v>4.0</v>
      </c>
      <c r="C41" s="26"/>
      <c r="D41" s="26"/>
      <c r="E41" s="26">
        <f t="shared" si="10"/>
        <v>16409.60597</v>
      </c>
      <c r="F41" s="26"/>
      <c r="G41" s="26">
        <f t="shared" si="8"/>
        <v>8103.244289</v>
      </c>
      <c r="H41" s="26">
        <f t="shared" si="7"/>
        <v>1372717.986</v>
      </c>
      <c r="I41" s="26">
        <f t="shared" si="1"/>
        <v>8103.244289</v>
      </c>
      <c r="J41" s="26"/>
      <c r="K41" s="26">
        <f t="shared" si="9"/>
        <v>24512.85026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B42" s="26">
        <v>5.0</v>
      </c>
      <c r="C42" s="26"/>
      <c r="D42" s="26"/>
      <c r="E42" s="26">
        <f t="shared" si="10"/>
        <v>16505.32867</v>
      </c>
      <c r="F42" s="26"/>
      <c r="G42" s="26">
        <f t="shared" si="8"/>
        <v>8007.521588</v>
      </c>
      <c r="H42" s="26">
        <f t="shared" si="7"/>
        <v>1356212.658</v>
      </c>
      <c r="I42" s="26">
        <f t="shared" si="1"/>
        <v>8007.521588</v>
      </c>
      <c r="J42" s="26"/>
      <c r="K42" s="26">
        <f t="shared" si="9"/>
        <v>24512.85026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B43" s="26">
        <v>6.0</v>
      </c>
      <c r="C43" s="26"/>
      <c r="D43" s="26"/>
      <c r="E43" s="26">
        <f t="shared" si="10"/>
        <v>16601.60976</v>
      </c>
      <c r="F43" s="26"/>
      <c r="G43" s="26">
        <f t="shared" si="8"/>
        <v>7911.240504</v>
      </c>
      <c r="H43" s="26">
        <f t="shared" si="7"/>
        <v>1339611.048</v>
      </c>
      <c r="I43" s="26">
        <f t="shared" si="1"/>
        <v>7911.240504</v>
      </c>
      <c r="J43" s="26"/>
      <c r="K43" s="26">
        <f t="shared" si="9"/>
        <v>24512.85026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B44" s="26">
        <v>7.0</v>
      </c>
      <c r="C44" s="26"/>
      <c r="D44" s="26"/>
      <c r="E44" s="26">
        <f t="shared" si="10"/>
        <v>16698.45248</v>
      </c>
      <c r="F44" s="26">
        <f>SUM(E38:E49)/6*N33</f>
        <v>23314.64391</v>
      </c>
      <c r="G44" s="26">
        <f t="shared" si="8"/>
        <v>7814.39778</v>
      </c>
      <c r="H44" s="26">
        <f t="shared" si="7"/>
        <v>1322912.596</v>
      </c>
      <c r="I44" s="26">
        <f t="shared" si="1"/>
        <v>7814.39778</v>
      </c>
      <c r="J44" s="26">
        <f>SUM(I38:I49)/6*N33</f>
        <v>11003.34645</v>
      </c>
      <c r="K44" s="26">
        <f t="shared" si="9"/>
        <v>24512.85026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B45" s="26">
        <v>8.0</v>
      </c>
      <c r="C45" s="26"/>
      <c r="D45" s="26"/>
      <c r="E45" s="26">
        <f t="shared" si="10"/>
        <v>16795.86012</v>
      </c>
      <c r="F45" s="26">
        <f t="shared" ref="F45:F49" si="13">F44</f>
        <v>23314.64391</v>
      </c>
      <c r="G45" s="26">
        <f t="shared" si="8"/>
        <v>7716.990141</v>
      </c>
      <c r="H45" s="26">
        <f t="shared" si="7"/>
        <v>1306116.735</v>
      </c>
      <c r="I45" s="26">
        <f t="shared" si="1"/>
        <v>7716.990141</v>
      </c>
      <c r="J45" s="26">
        <f t="shared" ref="J45:J49" si="14">J44</f>
        <v>11003.34645</v>
      </c>
      <c r="K45" s="26">
        <f t="shared" si="9"/>
        <v>24512.85026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B46" s="26">
        <v>9.0</v>
      </c>
      <c r="C46" s="26"/>
      <c r="D46" s="26"/>
      <c r="E46" s="26">
        <f t="shared" si="10"/>
        <v>16893.83597</v>
      </c>
      <c r="F46" s="26">
        <f t="shared" si="13"/>
        <v>23314.64391</v>
      </c>
      <c r="G46" s="26">
        <f t="shared" si="8"/>
        <v>7619.01429</v>
      </c>
      <c r="H46" s="26">
        <f t="shared" si="7"/>
        <v>1289222.899</v>
      </c>
      <c r="I46" s="26">
        <f t="shared" si="1"/>
        <v>7619.01429</v>
      </c>
      <c r="J46" s="26">
        <f t="shared" si="14"/>
        <v>11003.34645</v>
      </c>
      <c r="K46" s="26">
        <f t="shared" si="9"/>
        <v>24512.85026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B47" s="26">
        <v>10.0</v>
      </c>
      <c r="C47" s="26"/>
      <c r="D47" s="26"/>
      <c r="E47" s="26">
        <f t="shared" si="10"/>
        <v>16992.38335</v>
      </c>
      <c r="F47" s="26">
        <f t="shared" si="13"/>
        <v>23314.64391</v>
      </c>
      <c r="G47" s="26">
        <f t="shared" si="8"/>
        <v>7520.466913</v>
      </c>
      <c r="H47" s="26">
        <f t="shared" si="7"/>
        <v>1272230.516</v>
      </c>
      <c r="I47" s="26">
        <f t="shared" si="1"/>
        <v>7520.466913</v>
      </c>
      <c r="J47" s="26">
        <f t="shared" si="14"/>
        <v>11003.34645</v>
      </c>
      <c r="K47" s="26">
        <f t="shared" si="9"/>
        <v>24512.85026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B48" s="26">
        <v>11.0</v>
      </c>
      <c r="C48" s="26"/>
      <c r="D48" s="26"/>
      <c r="E48" s="26">
        <f t="shared" si="10"/>
        <v>17091.50558</v>
      </c>
      <c r="F48" s="26">
        <f t="shared" si="13"/>
        <v>23314.64391</v>
      </c>
      <c r="G48" s="26">
        <f t="shared" si="8"/>
        <v>7421.344677</v>
      </c>
      <c r="H48" s="26">
        <f t="shared" si="7"/>
        <v>1255139.011</v>
      </c>
      <c r="I48" s="26">
        <f t="shared" si="1"/>
        <v>7421.344677</v>
      </c>
      <c r="J48" s="26">
        <f t="shared" si="14"/>
        <v>11003.34645</v>
      </c>
      <c r="K48" s="26">
        <f t="shared" si="9"/>
        <v>24512.85026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98"/>
      <c r="B49" s="26">
        <v>12.0</v>
      </c>
      <c r="C49" s="72"/>
      <c r="D49" s="72"/>
      <c r="E49" s="72">
        <f t="shared" si="10"/>
        <v>17191.20603</v>
      </c>
      <c r="F49" s="72">
        <f t="shared" si="13"/>
        <v>23314.64391</v>
      </c>
      <c r="G49" s="72">
        <f t="shared" si="8"/>
        <v>7321.644228</v>
      </c>
      <c r="H49" s="72">
        <f t="shared" si="7"/>
        <v>1237947.804</v>
      </c>
      <c r="I49" s="72">
        <f t="shared" si="1"/>
        <v>7321.644228</v>
      </c>
      <c r="J49" s="72">
        <f t="shared" si="14"/>
        <v>11003.34645</v>
      </c>
      <c r="K49" s="72">
        <f t="shared" si="9"/>
        <v>24512.85026</v>
      </c>
      <c r="L49" s="26"/>
      <c r="M49" s="26"/>
      <c r="N49" s="26"/>
      <c r="O49" s="26"/>
      <c r="P49" s="26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88">
        <v>2029.0</v>
      </c>
      <c r="B50" s="287">
        <v>1.0</v>
      </c>
      <c r="C50" s="287"/>
      <c r="D50" s="26"/>
      <c r="E50" s="26">
        <f t="shared" si="10"/>
        <v>17291.48807</v>
      </c>
      <c r="F50" s="26"/>
      <c r="G50" s="26">
        <f t="shared" si="8"/>
        <v>7221.362193</v>
      </c>
      <c r="H50" s="26">
        <f t="shared" si="7"/>
        <v>1220656.316</v>
      </c>
      <c r="I50" s="26">
        <f t="shared" si="1"/>
        <v>7221.362193</v>
      </c>
      <c r="J50" s="26"/>
      <c r="K50" s="26">
        <f t="shared" si="9"/>
        <v>24512.85026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B51" s="26">
        <v>2.0</v>
      </c>
      <c r="C51" s="26"/>
      <c r="D51" s="26"/>
      <c r="E51" s="26">
        <f t="shared" si="10"/>
        <v>17392.35508</v>
      </c>
      <c r="F51" s="26"/>
      <c r="G51" s="26">
        <f t="shared" si="8"/>
        <v>7120.495179</v>
      </c>
      <c r="H51" s="26">
        <f t="shared" si="7"/>
        <v>1203263.961</v>
      </c>
      <c r="I51" s="26">
        <f t="shared" si="1"/>
        <v>7120.495179</v>
      </c>
      <c r="J51" s="26"/>
      <c r="K51" s="26">
        <f t="shared" si="9"/>
        <v>24512.85026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B52" s="26">
        <v>3.0</v>
      </c>
      <c r="C52" s="26"/>
      <c r="D52" s="26"/>
      <c r="E52" s="26">
        <f t="shared" si="10"/>
        <v>17493.81048</v>
      </c>
      <c r="F52" s="26"/>
      <c r="G52" s="26">
        <f t="shared" si="8"/>
        <v>7019.039774</v>
      </c>
      <c r="H52" s="26">
        <f t="shared" si="7"/>
        <v>1185770.151</v>
      </c>
      <c r="I52" s="26">
        <f t="shared" si="1"/>
        <v>7019.039774</v>
      </c>
      <c r="J52" s="26"/>
      <c r="K52" s="26">
        <f t="shared" si="9"/>
        <v>24512.85026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B53" s="26">
        <v>4.0</v>
      </c>
      <c r="C53" s="26"/>
      <c r="D53" s="26"/>
      <c r="E53" s="26">
        <f t="shared" si="10"/>
        <v>17595.85771</v>
      </c>
      <c r="F53" s="26"/>
      <c r="G53" s="26">
        <f t="shared" si="8"/>
        <v>6916.992547</v>
      </c>
      <c r="H53" s="26">
        <f t="shared" si="7"/>
        <v>1168174.293</v>
      </c>
      <c r="I53" s="26">
        <f t="shared" si="1"/>
        <v>6916.992547</v>
      </c>
      <c r="J53" s="26"/>
      <c r="K53" s="26">
        <f t="shared" si="9"/>
        <v>24512.85026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B54" s="26">
        <v>5.0</v>
      </c>
      <c r="C54" s="26"/>
      <c r="D54" s="26"/>
      <c r="E54" s="26">
        <f t="shared" si="10"/>
        <v>17698.50022</v>
      </c>
      <c r="F54" s="26"/>
      <c r="G54" s="26">
        <f t="shared" si="8"/>
        <v>6814.350043</v>
      </c>
      <c r="H54" s="26">
        <f t="shared" si="7"/>
        <v>1150475.793</v>
      </c>
      <c r="I54" s="26">
        <f t="shared" si="1"/>
        <v>6814.350043</v>
      </c>
      <c r="J54" s="26"/>
      <c r="K54" s="26">
        <f t="shared" si="9"/>
        <v>24512.85026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B55" s="26">
        <v>6.0</v>
      </c>
      <c r="C55" s="26"/>
      <c r="D55" s="26"/>
      <c r="E55" s="26">
        <f t="shared" si="10"/>
        <v>17801.74147</v>
      </c>
      <c r="F55" s="26"/>
      <c r="G55" s="26">
        <f t="shared" si="8"/>
        <v>6711.108792</v>
      </c>
      <c r="H55" s="26">
        <f t="shared" si="7"/>
        <v>1132674.051</v>
      </c>
      <c r="I55" s="26">
        <f t="shared" si="1"/>
        <v>6711.108792</v>
      </c>
      <c r="J55" s="26"/>
      <c r="K55" s="26">
        <f t="shared" si="9"/>
        <v>24512.85026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B56" s="26">
        <v>7.0</v>
      </c>
      <c r="C56" s="26"/>
      <c r="D56" s="26"/>
      <c r="E56" s="26">
        <f t="shared" si="10"/>
        <v>17905.58496</v>
      </c>
      <c r="F56" s="26">
        <f>SUM(E50:E61)/6*N34</f>
        <v>25000.06141</v>
      </c>
      <c r="G56" s="26">
        <f t="shared" si="8"/>
        <v>6607.2653</v>
      </c>
      <c r="H56" s="26">
        <f t="shared" si="7"/>
        <v>1114768.466</v>
      </c>
      <c r="I56" s="26">
        <f t="shared" si="1"/>
        <v>6607.2653</v>
      </c>
      <c r="J56" s="26">
        <f>SUM(I50:I61)/6*N34</f>
        <v>9317.928954</v>
      </c>
      <c r="K56" s="26">
        <f t="shared" si="9"/>
        <v>24512.85026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B57" s="26">
        <v>8.0</v>
      </c>
      <c r="C57" s="26"/>
      <c r="D57" s="26"/>
      <c r="E57" s="26">
        <f t="shared" si="10"/>
        <v>18010.0342</v>
      </c>
      <c r="F57" s="26">
        <f t="shared" ref="F57:F61" si="15">F56</f>
        <v>25000.06141</v>
      </c>
      <c r="G57" s="26">
        <f t="shared" si="8"/>
        <v>6502.816055</v>
      </c>
      <c r="H57" s="26">
        <f t="shared" si="7"/>
        <v>1096758.432</v>
      </c>
      <c r="I57" s="26">
        <f t="shared" si="1"/>
        <v>6502.816055</v>
      </c>
      <c r="J57" s="26">
        <f t="shared" ref="J57:J61" si="16">J56</f>
        <v>9317.928954</v>
      </c>
      <c r="K57" s="26">
        <f t="shared" si="9"/>
        <v>24512.85026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B58" s="26">
        <v>9.0</v>
      </c>
      <c r="C58" s="26"/>
      <c r="D58" s="26"/>
      <c r="E58" s="26">
        <f t="shared" si="10"/>
        <v>18115.09274</v>
      </c>
      <c r="F58" s="26">
        <f t="shared" si="15"/>
        <v>25000.06141</v>
      </c>
      <c r="G58" s="26">
        <f t="shared" si="8"/>
        <v>6397.757522</v>
      </c>
      <c r="H58" s="26">
        <f t="shared" si="7"/>
        <v>1078643.34</v>
      </c>
      <c r="I58" s="26">
        <f t="shared" si="1"/>
        <v>6397.757522</v>
      </c>
      <c r="J58" s="26">
        <f t="shared" si="16"/>
        <v>9317.928954</v>
      </c>
      <c r="K58" s="26">
        <f t="shared" si="9"/>
        <v>24512.85026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B59" s="26">
        <v>10.0</v>
      </c>
      <c r="C59" s="26"/>
      <c r="D59" s="26"/>
      <c r="E59" s="26">
        <f t="shared" si="10"/>
        <v>18220.76411</v>
      </c>
      <c r="F59" s="26">
        <f t="shared" si="15"/>
        <v>25000.06141</v>
      </c>
      <c r="G59" s="26">
        <f t="shared" si="8"/>
        <v>6292.086147</v>
      </c>
      <c r="H59" s="26">
        <f t="shared" si="7"/>
        <v>1060422.575</v>
      </c>
      <c r="I59" s="26">
        <f t="shared" si="1"/>
        <v>6292.086147</v>
      </c>
      <c r="J59" s="26">
        <f t="shared" si="16"/>
        <v>9317.928954</v>
      </c>
      <c r="K59" s="26">
        <f t="shared" si="9"/>
        <v>24512.85026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B60" s="26">
        <v>11.0</v>
      </c>
      <c r="C60" s="26"/>
      <c r="D60" s="26"/>
      <c r="E60" s="26">
        <f t="shared" si="10"/>
        <v>18327.0519</v>
      </c>
      <c r="F60" s="26">
        <f t="shared" si="15"/>
        <v>25000.06141</v>
      </c>
      <c r="G60" s="26">
        <f t="shared" si="8"/>
        <v>6185.798357</v>
      </c>
      <c r="H60" s="26">
        <f t="shared" si="7"/>
        <v>1042095.524</v>
      </c>
      <c r="I60" s="26">
        <f t="shared" si="1"/>
        <v>6185.798357</v>
      </c>
      <c r="J60" s="26">
        <f t="shared" si="16"/>
        <v>9317.928954</v>
      </c>
      <c r="K60" s="26">
        <f t="shared" si="9"/>
        <v>24512.85026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98"/>
      <c r="B61" s="72">
        <v>12.0</v>
      </c>
      <c r="C61" s="72"/>
      <c r="D61" s="72"/>
      <c r="E61" s="72">
        <f t="shared" si="10"/>
        <v>18433.95971</v>
      </c>
      <c r="F61" s="72">
        <f t="shared" si="15"/>
        <v>25000.06141</v>
      </c>
      <c r="G61" s="72">
        <f t="shared" si="8"/>
        <v>6078.890554</v>
      </c>
      <c r="H61" s="72">
        <f t="shared" si="7"/>
        <v>1023661.564</v>
      </c>
      <c r="I61" s="72">
        <f t="shared" si="1"/>
        <v>6078.890554</v>
      </c>
      <c r="J61" s="72">
        <f t="shared" si="16"/>
        <v>9317.928954</v>
      </c>
      <c r="K61" s="72">
        <f t="shared" si="9"/>
        <v>24512.85026</v>
      </c>
      <c r="L61" s="26"/>
      <c r="M61" s="26"/>
      <c r="N61" s="26"/>
      <c r="O61" s="26"/>
      <c r="P61" s="26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88">
        <v>2030.0</v>
      </c>
      <c r="B62" s="26">
        <v>1.0</v>
      </c>
      <c r="C62" s="287"/>
      <c r="D62" s="26"/>
      <c r="E62" s="26">
        <f t="shared" si="10"/>
        <v>18541.49114</v>
      </c>
      <c r="F62" s="26"/>
      <c r="G62" s="26">
        <f t="shared" si="8"/>
        <v>5971.359122</v>
      </c>
      <c r="H62" s="26">
        <f t="shared" si="7"/>
        <v>1005120.073</v>
      </c>
      <c r="I62" s="26">
        <f t="shared" si="1"/>
        <v>5971.359122</v>
      </c>
      <c r="J62" s="26"/>
      <c r="K62" s="26">
        <f t="shared" si="9"/>
        <v>24512.85026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B63" s="26">
        <v>2.0</v>
      </c>
      <c r="C63" s="26"/>
      <c r="D63" s="26"/>
      <c r="E63" s="26">
        <f t="shared" si="10"/>
        <v>18649.64984</v>
      </c>
      <c r="F63" s="26"/>
      <c r="G63" s="26">
        <f t="shared" si="8"/>
        <v>5863.200424</v>
      </c>
      <c r="H63" s="26">
        <f t="shared" si="7"/>
        <v>986470.4229</v>
      </c>
      <c r="I63" s="26">
        <f t="shared" si="1"/>
        <v>5863.200424</v>
      </c>
      <c r="J63" s="26"/>
      <c r="K63" s="26">
        <f t="shared" si="9"/>
        <v>24512.85026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B64" s="26">
        <v>3.0</v>
      </c>
      <c r="C64" s="26"/>
      <c r="D64" s="26"/>
      <c r="E64" s="26">
        <f t="shared" si="10"/>
        <v>18758.43946</v>
      </c>
      <c r="F64" s="26"/>
      <c r="G64" s="26">
        <f t="shared" si="8"/>
        <v>5754.4108</v>
      </c>
      <c r="H64" s="26">
        <f t="shared" si="7"/>
        <v>967711.9834</v>
      </c>
      <c r="I64" s="26">
        <f t="shared" si="1"/>
        <v>5754.4108</v>
      </c>
      <c r="J64" s="26"/>
      <c r="K64" s="26">
        <f t="shared" si="9"/>
        <v>24512.85026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B65" s="26">
        <v>4.0</v>
      </c>
      <c r="C65" s="26"/>
      <c r="D65" s="26"/>
      <c r="E65" s="26">
        <f t="shared" si="10"/>
        <v>18867.86369</v>
      </c>
      <c r="F65" s="26"/>
      <c r="G65" s="26">
        <f t="shared" si="8"/>
        <v>5644.98657</v>
      </c>
      <c r="H65" s="26">
        <f t="shared" si="7"/>
        <v>948844.1197</v>
      </c>
      <c r="I65" s="26">
        <f t="shared" si="1"/>
        <v>5644.98657</v>
      </c>
      <c r="J65" s="26"/>
      <c r="K65" s="26">
        <f t="shared" si="9"/>
        <v>24512.85026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B66" s="26">
        <v>5.0</v>
      </c>
      <c r="C66" s="26"/>
      <c r="D66" s="26"/>
      <c r="E66" s="26">
        <f t="shared" si="10"/>
        <v>18977.92623</v>
      </c>
      <c r="F66" s="26"/>
      <c r="G66" s="26">
        <f t="shared" si="8"/>
        <v>5534.924032</v>
      </c>
      <c r="H66" s="26">
        <f t="shared" si="7"/>
        <v>929866.1935</v>
      </c>
      <c r="I66" s="26">
        <f t="shared" si="1"/>
        <v>5534.924032</v>
      </c>
      <c r="J66" s="26"/>
      <c r="K66" s="26">
        <f t="shared" si="9"/>
        <v>24512.85026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B67" s="26">
        <v>6.0</v>
      </c>
      <c r="C67" s="26"/>
      <c r="D67" s="26"/>
      <c r="E67" s="26">
        <f t="shared" si="10"/>
        <v>19088.6308</v>
      </c>
      <c r="F67" s="26"/>
      <c r="G67" s="26">
        <f t="shared" si="8"/>
        <v>5424.219462</v>
      </c>
      <c r="H67" s="26">
        <f t="shared" si="7"/>
        <v>910777.5627</v>
      </c>
      <c r="I67" s="26">
        <f t="shared" si="1"/>
        <v>5424.219462</v>
      </c>
      <c r="J67" s="26"/>
      <c r="K67" s="26">
        <f t="shared" si="9"/>
        <v>24512.85026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B68" s="26">
        <v>7.0</v>
      </c>
      <c r="C68" s="26"/>
      <c r="D68" s="26"/>
      <c r="E68" s="26">
        <f t="shared" si="10"/>
        <v>19199.98114</v>
      </c>
      <c r="F68" s="26">
        <f>SUM(E62:E73)/6+SUM(E26:E37)/6*(100%-N32)</f>
        <v>45345.55691</v>
      </c>
      <c r="G68" s="26">
        <f t="shared" si="8"/>
        <v>5312.869116</v>
      </c>
      <c r="H68" s="26">
        <f t="shared" si="7"/>
        <v>891577.5815</v>
      </c>
      <c r="I68" s="26">
        <f t="shared" si="1"/>
        <v>5312.869116</v>
      </c>
      <c r="J68" s="26">
        <f>SUM(I62:I73)/6+SUM(I26:I37)/6*(100%-N32)</f>
        <v>16092.35468</v>
      </c>
      <c r="K68" s="26">
        <f t="shared" si="9"/>
        <v>24512.85026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B69" s="26">
        <v>8.0</v>
      </c>
      <c r="C69" s="26"/>
      <c r="D69" s="26"/>
      <c r="E69" s="26">
        <f t="shared" si="10"/>
        <v>19311.98103</v>
      </c>
      <c r="F69" s="26">
        <f t="shared" ref="F69:F73" si="17">F68</f>
        <v>45345.55691</v>
      </c>
      <c r="G69" s="26">
        <f t="shared" si="8"/>
        <v>5200.869226</v>
      </c>
      <c r="H69" s="26">
        <f t="shared" si="7"/>
        <v>872265.6005</v>
      </c>
      <c r="I69" s="26">
        <f t="shared" si="1"/>
        <v>5200.869226</v>
      </c>
      <c r="J69" s="26">
        <f t="shared" ref="J69:J73" si="18">J68</f>
        <v>16092.35468</v>
      </c>
      <c r="K69" s="26">
        <f t="shared" si="9"/>
        <v>24512.85026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B70" s="26">
        <v>9.0</v>
      </c>
      <c r="C70" s="26"/>
      <c r="D70" s="26"/>
      <c r="E70" s="26">
        <f t="shared" si="10"/>
        <v>19424.63426</v>
      </c>
      <c r="F70" s="26">
        <f t="shared" si="17"/>
        <v>45345.55691</v>
      </c>
      <c r="G70" s="26">
        <f t="shared" si="8"/>
        <v>5088.216003</v>
      </c>
      <c r="H70" s="26">
        <f t="shared" si="7"/>
        <v>852840.9663</v>
      </c>
      <c r="I70" s="26">
        <f t="shared" si="1"/>
        <v>5088.216003</v>
      </c>
      <c r="J70" s="26">
        <f t="shared" si="18"/>
        <v>16092.35468</v>
      </c>
      <c r="K70" s="26">
        <f t="shared" si="9"/>
        <v>24512.85026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B71" s="26">
        <v>10.0</v>
      </c>
      <c r="C71" s="26"/>
      <c r="D71" s="26"/>
      <c r="E71" s="26">
        <f t="shared" si="10"/>
        <v>19537.94462</v>
      </c>
      <c r="F71" s="26">
        <f t="shared" si="17"/>
        <v>45345.55691</v>
      </c>
      <c r="G71" s="26">
        <f t="shared" si="8"/>
        <v>4974.905636</v>
      </c>
      <c r="H71" s="26">
        <f t="shared" si="7"/>
        <v>833303.0216</v>
      </c>
      <c r="I71" s="26">
        <f t="shared" si="1"/>
        <v>4974.905636</v>
      </c>
      <c r="J71" s="26">
        <f t="shared" si="18"/>
        <v>16092.35468</v>
      </c>
      <c r="K71" s="26">
        <f t="shared" si="9"/>
        <v>24512.85026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B72" s="26">
        <v>11.0</v>
      </c>
      <c r="C72" s="26"/>
      <c r="D72" s="26"/>
      <c r="E72" s="26">
        <f t="shared" si="10"/>
        <v>19651.91597</v>
      </c>
      <c r="F72" s="26">
        <f t="shared" si="17"/>
        <v>45345.55691</v>
      </c>
      <c r="G72" s="26">
        <f t="shared" si="8"/>
        <v>4860.934293</v>
      </c>
      <c r="H72" s="26">
        <f t="shared" si="7"/>
        <v>813651.1057</v>
      </c>
      <c r="I72" s="26">
        <f t="shared" si="1"/>
        <v>4860.934293</v>
      </c>
      <c r="J72" s="26">
        <f t="shared" si="18"/>
        <v>16092.35468</v>
      </c>
      <c r="K72" s="26">
        <f t="shared" si="9"/>
        <v>24512.85026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98"/>
      <c r="B73" s="26">
        <v>12.0</v>
      </c>
      <c r="C73" s="72"/>
      <c r="D73" s="72"/>
      <c r="E73" s="72">
        <f t="shared" si="10"/>
        <v>19766.55214</v>
      </c>
      <c r="F73" s="72">
        <f t="shared" si="17"/>
        <v>45345.55691</v>
      </c>
      <c r="G73" s="72">
        <f t="shared" si="8"/>
        <v>4746.298116</v>
      </c>
      <c r="H73" s="72">
        <f t="shared" si="7"/>
        <v>793884.5535</v>
      </c>
      <c r="I73" s="72">
        <f t="shared" si="1"/>
        <v>4746.298116</v>
      </c>
      <c r="J73" s="72">
        <f t="shared" si="18"/>
        <v>16092.35468</v>
      </c>
      <c r="K73" s="72">
        <f t="shared" si="9"/>
        <v>24512.85026</v>
      </c>
      <c r="L73" s="26"/>
      <c r="M73" s="26"/>
      <c r="N73" s="26"/>
      <c r="O73" s="26"/>
      <c r="P73" s="26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88">
        <v>2031.0</v>
      </c>
      <c r="B74" s="287">
        <v>1.0</v>
      </c>
      <c r="C74" s="287"/>
      <c r="D74" s="26"/>
      <c r="E74" s="26">
        <f t="shared" si="10"/>
        <v>19881.85703</v>
      </c>
      <c r="F74" s="26"/>
      <c r="G74" s="26">
        <f t="shared" si="8"/>
        <v>10353.52211</v>
      </c>
      <c r="H74" s="26">
        <f t="shared" si="7"/>
        <v>774002.6965</v>
      </c>
      <c r="I74" s="26">
        <f t="shared" si="1"/>
        <v>10353.52211</v>
      </c>
      <c r="J74" s="26"/>
      <c r="K74" s="26">
        <f t="shared" ref="K74:K109" si="19">($C$9/12)/(1-(1+$C$9/12)^(-$C$10))*$H$27</f>
        <v>30235.37914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B75" s="26">
        <v>2.0</v>
      </c>
      <c r="C75" s="26"/>
      <c r="D75" s="26"/>
      <c r="E75" s="26">
        <f t="shared" si="10"/>
        <v>19997.83453</v>
      </c>
      <c r="F75" s="26"/>
      <c r="G75" s="26">
        <f t="shared" si="8"/>
        <v>10237.54461</v>
      </c>
      <c r="H75" s="26">
        <f t="shared" si="7"/>
        <v>754004.862</v>
      </c>
      <c r="I75" s="26">
        <f t="shared" si="1"/>
        <v>10237.54461</v>
      </c>
      <c r="J75" s="26"/>
      <c r="K75" s="26">
        <f t="shared" si="19"/>
        <v>30235.37914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B76" s="26">
        <v>3.0</v>
      </c>
      <c r="C76" s="26"/>
      <c r="D76" s="26"/>
      <c r="E76" s="26">
        <f t="shared" si="10"/>
        <v>20114.48856</v>
      </c>
      <c r="F76" s="26"/>
      <c r="G76" s="26">
        <f t="shared" si="8"/>
        <v>10120.89057</v>
      </c>
      <c r="H76" s="26">
        <f t="shared" si="7"/>
        <v>733890.3734</v>
      </c>
      <c r="I76" s="26">
        <f t="shared" si="1"/>
        <v>10120.89057</v>
      </c>
      <c r="J76" s="26"/>
      <c r="K76" s="26">
        <f t="shared" si="19"/>
        <v>30235.37914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B77" s="26">
        <v>4.0</v>
      </c>
      <c r="C77" s="26"/>
      <c r="D77" s="26"/>
      <c r="E77" s="26">
        <f t="shared" si="10"/>
        <v>20231.82308</v>
      </c>
      <c r="F77" s="26"/>
      <c r="G77" s="26">
        <f t="shared" si="8"/>
        <v>10003.55606</v>
      </c>
      <c r="H77" s="26">
        <f t="shared" si="7"/>
        <v>713658.5503</v>
      </c>
      <c r="I77" s="26">
        <f t="shared" si="1"/>
        <v>10003.55606</v>
      </c>
      <c r="J77" s="26"/>
      <c r="K77" s="26">
        <f t="shared" si="19"/>
        <v>30235.37914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B78" s="26">
        <v>5.0</v>
      </c>
      <c r="C78" s="26"/>
      <c r="D78" s="26"/>
      <c r="E78" s="26">
        <f t="shared" si="10"/>
        <v>20349.84205</v>
      </c>
      <c r="F78" s="26"/>
      <c r="G78" s="26">
        <f t="shared" si="8"/>
        <v>9885.537088</v>
      </c>
      <c r="H78" s="26">
        <f t="shared" si="7"/>
        <v>693308.7083</v>
      </c>
      <c r="I78" s="26">
        <f t="shared" si="1"/>
        <v>9885.537088</v>
      </c>
      <c r="J78" s="26"/>
      <c r="K78" s="26">
        <f t="shared" si="19"/>
        <v>30235.37914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B79" s="26">
        <v>6.0</v>
      </c>
      <c r="C79" s="26"/>
      <c r="D79" s="26"/>
      <c r="E79" s="26">
        <f t="shared" si="10"/>
        <v>20468.54946</v>
      </c>
      <c r="F79" s="26"/>
      <c r="G79" s="26">
        <f t="shared" si="8"/>
        <v>9766.829676</v>
      </c>
      <c r="H79" s="26">
        <f t="shared" si="7"/>
        <v>672840.1588</v>
      </c>
      <c r="I79" s="26">
        <f t="shared" si="1"/>
        <v>9766.829676</v>
      </c>
      <c r="J79" s="26"/>
      <c r="K79" s="26">
        <f t="shared" si="19"/>
        <v>30235.37914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B80" s="26">
        <v>7.0</v>
      </c>
      <c r="C80" s="26"/>
      <c r="D80" s="26"/>
      <c r="E80" s="26">
        <f t="shared" si="10"/>
        <v>20587.94933</v>
      </c>
      <c r="F80" s="26">
        <f>SUM(E74:E85)/6+SUM(E38:E49)/6*(100%-N33)</f>
        <v>51056.59174</v>
      </c>
      <c r="G80" s="26">
        <f t="shared" si="8"/>
        <v>9647.429804</v>
      </c>
      <c r="H80" s="26">
        <f t="shared" si="7"/>
        <v>652252.2095</v>
      </c>
      <c r="I80" s="26">
        <f t="shared" si="1"/>
        <v>9647.429804</v>
      </c>
      <c r="J80" s="26">
        <f>SUM(I74:I85)/6+SUM(I38:I49)/6*(100%-N33)</f>
        <v>24121.87669</v>
      </c>
      <c r="K80" s="26">
        <f t="shared" si="19"/>
        <v>30235.37914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B81" s="26">
        <v>8.0</v>
      </c>
      <c r="C81" s="26"/>
      <c r="D81" s="26"/>
      <c r="E81" s="26">
        <f t="shared" si="10"/>
        <v>20708.0457</v>
      </c>
      <c r="F81" s="26">
        <f t="shared" ref="F81:F85" si="20">F80</f>
        <v>51056.59174</v>
      </c>
      <c r="G81" s="26">
        <f t="shared" si="8"/>
        <v>9527.333433</v>
      </c>
      <c r="H81" s="26">
        <f t="shared" si="7"/>
        <v>631544.1638</v>
      </c>
      <c r="I81" s="26">
        <f t="shared" si="1"/>
        <v>9527.333433</v>
      </c>
      <c r="J81" s="26">
        <f t="shared" ref="J81:J85" si="21">J80</f>
        <v>24121.87669</v>
      </c>
      <c r="K81" s="26">
        <f t="shared" si="19"/>
        <v>30235.37914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B82" s="26">
        <v>9.0</v>
      </c>
      <c r="C82" s="26"/>
      <c r="D82" s="26"/>
      <c r="E82" s="26">
        <f t="shared" si="10"/>
        <v>20828.84264</v>
      </c>
      <c r="F82" s="26">
        <f t="shared" si="20"/>
        <v>51056.59174</v>
      </c>
      <c r="G82" s="26">
        <f t="shared" si="8"/>
        <v>9406.536499</v>
      </c>
      <c r="H82" s="26">
        <f t="shared" si="7"/>
        <v>610715.3211</v>
      </c>
      <c r="I82" s="26">
        <f t="shared" si="1"/>
        <v>9406.536499</v>
      </c>
      <c r="J82" s="26">
        <f t="shared" si="21"/>
        <v>24121.87669</v>
      </c>
      <c r="K82" s="26">
        <f t="shared" si="19"/>
        <v>30235.37914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B83" s="26">
        <v>10.0</v>
      </c>
      <c r="C83" s="26"/>
      <c r="D83" s="26"/>
      <c r="E83" s="26">
        <f t="shared" si="10"/>
        <v>20950.34422</v>
      </c>
      <c r="F83" s="26">
        <f t="shared" si="20"/>
        <v>51056.59174</v>
      </c>
      <c r="G83" s="26">
        <f t="shared" si="8"/>
        <v>9285.034917</v>
      </c>
      <c r="H83" s="26">
        <f t="shared" si="7"/>
        <v>589764.9769</v>
      </c>
      <c r="I83" s="26">
        <f t="shared" si="1"/>
        <v>9285.034917</v>
      </c>
      <c r="J83" s="26">
        <f t="shared" si="21"/>
        <v>24121.87669</v>
      </c>
      <c r="K83" s="26">
        <f t="shared" si="19"/>
        <v>30235.37914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B84" s="26">
        <v>11.0</v>
      </c>
      <c r="C84" s="26"/>
      <c r="D84" s="26"/>
      <c r="E84" s="26">
        <f t="shared" si="10"/>
        <v>21072.55456</v>
      </c>
      <c r="F84" s="26">
        <f t="shared" si="20"/>
        <v>51056.59174</v>
      </c>
      <c r="G84" s="26">
        <f t="shared" si="8"/>
        <v>9162.824576</v>
      </c>
      <c r="H84" s="26">
        <f t="shared" si="7"/>
        <v>568692.4224</v>
      </c>
      <c r="I84" s="26">
        <f t="shared" si="1"/>
        <v>9162.824576</v>
      </c>
      <c r="J84" s="26">
        <f t="shared" si="21"/>
        <v>24121.87669</v>
      </c>
      <c r="K84" s="26">
        <f t="shared" si="19"/>
        <v>30235.37914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98"/>
      <c r="B85" s="72">
        <v>12.0</v>
      </c>
      <c r="C85" s="72"/>
      <c r="D85" s="72"/>
      <c r="E85" s="72">
        <f t="shared" si="10"/>
        <v>21195.4778</v>
      </c>
      <c r="F85" s="72">
        <f t="shared" si="20"/>
        <v>51056.59174</v>
      </c>
      <c r="G85" s="72">
        <f t="shared" si="8"/>
        <v>9039.901341</v>
      </c>
      <c r="H85" s="72">
        <f t="shared" si="7"/>
        <v>547496.9446</v>
      </c>
      <c r="I85" s="72">
        <f t="shared" si="1"/>
        <v>9039.901341</v>
      </c>
      <c r="J85" s="72">
        <f t="shared" si="21"/>
        <v>24121.87669</v>
      </c>
      <c r="K85" s="72">
        <f t="shared" si="19"/>
        <v>30235.37914</v>
      </c>
      <c r="L85" s="26"/>
      <c r="M85" s="26"/>
      <c r="N85" s="26"/>
      <c r="O85" s="26"/>
      <c r="P85" s="26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88">
        <v>2032.0</v>
      </c>
      <c r="B86" s="287">
        <v>1.0</v>
      </c>
      <c r="C86" s="287"/>
      <c r="D86" s="26"/>
      <c r="E86" s="26">
        <f t="shared" si="10"/>
        <v>21319.11808</v>
      </c>
      <c r="F86" s="26"/>
      <c r="G86" s="26">
        <f t="shared" si="8"/>
        <v>8916.261054</v>
      </c>
      <c r="H86" s="26">
        <f t="shared" si="7"/>
        <v>526177.8265</v>
      </c>
      <c r="I86" s="26">
        <f t="shared" si="1"/>
        <v>8916.261054</v>
      </c>
      <c r="J86" s="26"/>
      <c r="K86" s="26">
        <f t="shared" si="19"/>
        <v>30235.37914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B87" s="26">
        <v>2.0</v>
      </c>
      <c r="C87" s="26"/>
      <c r="D87" s="26"/>
      <c r="E87" s="26">
        <f t="shared" si="10"/>
        <v>21443.4796</v>
      </c>
      <c r="F87" s="26"/>
      <c r="G87" s="26">
        <f t="shared" si="8"/>
        <v>8791.899532</v>
      </c>
      <c r="H87" s="26">
        <f t="shared" si="7"/>
        <v>504734.3469</v>
      </c>
      <c r="I87" s="26">
        <f t="shared" si="1"/>
        <v>8791.899532</v>
      </c>
      <c r="J87" s="26"/>
      <c r="K87" s="26">
        <f t="shared" si="19"/>
        <v>30235.37914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B88" s="26">
        <v>3.0</v>
      </c>
      <c r="C88" s="26"/>
      <c r="D88" s="26"/>
      <c r="E88" s="26">
        <f t="shared" si="10"/>
        <v>21568.56657</v>
      </c>
      <c r="F88" s="26"/>
      <c r="G88" s="26">
        <f t="shared" si="8"/>
        <v>8666.812567</v>
      </c>
      <c r="H88" s="26">
        <f t="shared" si="7"/>
        <v>483165.7803</v>
      </c>
      <c r="I88" s="26">
        <f t="shared" si="1"/>
        <v>8666.812567</v>
      </c>
      <c r="J88" s="26"/>
      <c r="K88" s="26">
        <f t="shared" si="19"/>
        <v>30235.37914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B89" s="26">
        <v>4.0</v>
      </c>
      <c r="C89" s="26"/>
      <c r="D89" s="26"/>
      <c r="E89" s="26">
        <f t="shared" si="10"/>
        <v>21694.38321</v>
      </c>
      <c r="F89" s="26"/>
      <c r="G89" s="26">
        <f t="shared" si="8"/>
        <v>8540.995929</v>
      </c>
      <c r="H89" s="26">
        <f t="shared" si="7"/>
        <v>461471.3971</v>
      </c>
      <c r="I89" s="26">
        <f t="shared" si="1"/>
        <v>8540.995929</v>
      </c>
      <c r="J89" s="26"/>
      <c r="K89" s="26">
        <f t="shared" si="19"/>
        <v>30235.37914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B90" s="26">
        <v>5.0</v>
      </c>
      <c r="C90" s="26"/>
      <c r="D90" s="26"/>
      <c r="E90" s="26">
        <f t="shared" si="10"/>
        <v>21820.93378</v>
      </c>
      <c r="F90" s="26"/>
      <c r="G90" s="26">
        <f t="shared" si="8"/>
        <v>8414.44536</v>
      </c>
      <c r="H90" s="26">
        <f t="shared" si="7"/>
        <v>439650.4633</v>
      </c>
      <c r="I90" s="26">
        <f t="shared" si="1"/>
        <v>8414.44536</v>
      </c>
      <c r="J90" s="26"/>
      <c r="K90" s="26">
        <f t="shared" si="19"/>
        <v>30235.37914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B91" s="26">
        <v>6.0</v>
      </c>
      <c r="C91" s="26"/>
      <c r="D91" s="26"/>
      <c r="E91" s="26">
        <f t="shared" si="10"/>
        <v>21948.22256</v>
      </c>
      <c r="F91" s="26"/>
      <c r="G91" s="26">
        <f t="shared" si="8"/>
        <v>8287.15658</v>
      </c>
      <c r="H91" s="26">
        <f t="shared" si="7"/>
        <v>417702.2408</v>
      </c>
      <c r="I91" s="26">
        <f t="shared" si="1"/>
        <v>8287.15658</v>
      </c>
      <c r="J91" s="26"/>
      <c r="K91" s="26">
        <f t="shared" si="19"/>
        <v>30235.37914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B92" s="26">
        <v>7.0</v>
      </c>
      <c r="C92" s="26"/>
      <c r="D92" s="26"/>
      <c r="E92" s="26">
        <f t="shared" si="10"/>
        <v>22076.25385</v>
      </c>
      <c r="F92" s="26">
        <f>SUM(E86:E97)/6+SUM(E50:E61)/6*(100%-N34)</f>
        <v>54747.47689</v>
      </c>
      <c r="G92" s="26">
        <f t="shared" si="8"/>
        <v>8159.125282</v>
      </c>
      <c r="H92" s="26">
        <f t="shared" si="7"/>
        <v>395625.9869</v>
      </c>
      <c r="I92" s="26">
        <f t="shared" si="1"/>
        <v>8159.125282</v>
      </c>
      <c r="J92" s="26">
        <f>SUM(I86:I97)/6+SUM(I50:I61)/6*(100%-N34)</f>
        <v>20430.99154</v>
      </c>
      <c r="K92" s="26">
        <f t="shared" si="19"/>
        <v>30235.37914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B93" s="26">
        <v>8.0</v>
      </c>
      <c r="C93" s="26"/>
      <c r="D93" s="26"/>
      <c r="E93" s="26">
        <f t="shared" si="10"/>
        <v>22205.032</v>
      </c>
      <c r="F93" s="26">
        <f t="shared" ref="F93:F97" si="22">F92</f>
        <v>54747.47689</v>
      </c>
      <c r="G93" s="26">
        <f t="shared" si="8"/>
        <v>8030.347134</v>
      </c>
      <c r="H93" s="26">
        <f t="shared" si="7"/>
        <v>373420.9549</v>
      </c>
      <c r="I93" s="26">
        <f t="shared" si="1"/>
        <v>8030.347134</v>
      </c>
      <c r="J93" s="26">
        <f t="shared" ref="J93:J97" si="23">J92</f>
        <v>20430.99154</v>
      </c>
      <c r="K93" s="26">
        <f t="shared" si="19"/>
        <v>30235.37914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B94" s="26">
        <v>9.0</v>
      </c>
      <c r="C94" s="26"/>
      <c r="D94" s="26"/>
      <c r="E94" s="26">
        <f t="shared" si="10"/>
        <v>22334.56136</v>
      </c>
      <c r="F94" s="26">
        <f t="shared" si="22"/>
        <v>54747.47689</v>
      </c>
      <c r="G94" s="26">
        <f t="shared" si="8"/>
        <v>7900.817781</v>
      </c>
      <c r="H94" s="26">
        <f t="shared" si="7"/>
        <v>351086.3936</v>
      </c>
      <c r="I94" s="26">
        <f t="shared" si="1"/>
        <v>7900.817781</v>
      </c>
      <c r="J94" s="26">
        <f t="shared" si="23"/>
        <v>20430.99154</v>
      </c>
      <c r="K94" s="26">
        <f t="shared" si="19"/>
        <v>30235.37914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B95" s="26">
        <v>10.0</v>
      </c>
      <c r="C95" s="26"/>
      <c r="D95" s="26"/>
      <c r="E95" s="26">
        <f t="shared" si="10"/>
        <v>22464.8463</v>
      </c>
      <c r="F95" s="26">
        <f t="shared" si="22"/>
        <v>54747.47689</v>
      </c>
      <c r="G95" s="26">
        <f t="shared" si="8"/>
        <v>7770.53284</v>
      </c>
      <c r="H95" s="26">
        <f t="shared" si="7"/>
        <v>328621.5473</v>
      </c>
      <c r="I95" s="26">
        <f t="shared" si="1"/>
        <v>7770.53284</v>
      </c>
      <c r="J95" s="26">
        <f t="shared" si="23"/>
        <v>20430.99154</v>
      </c>
      <c r="K95" s="26">
        <f t="shared" si="19"/>
        <v>30235.37914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B96" s="26">
        <v>11.0</v>
      </c>
      <c r="C96" s="26"/>
      <c r="D96" s="26"/>
      <c r="E96" s="26">
        <f t="shared" si="10"/>
        <v>22595.89123</v>
      </c>
      <c r="F96" s="26">
        <f t="shared" si="22"/>
        <v>54747.47689</v>
      </c>
      <c r="G96" s="26">
        <f t="shared" si="8"/>
        <v>7639.487903</v>
      </c>
      <c r="H96" s="26">
        <f t="shared" si="7"/>
        <v>306025.656</v>
      </c>
      <c r="I96" s="26">
        <f t="shared" si="1"/>
        <v>7639.487903</v>
      </c>
      <c r="J96" s="26">
        <f t="shared" si="23"/>
        <v>20430.99154</v>
      </c>
      <c r="K96" s="26">
        <f t="shared" si="19"/>
        <v>30235.37914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98"/>
      <c r="B97" s="72">
        <v>12.0</v>
      </c>
      <c r="C97" s="72"/>
      <c r="D97" s="72"/>
      <c r="E97" s="72">
        <f t="shared" si="10"/>
        <v>22727.7006</v>
      </c>
      <c r="F97" s="72">
        <f t="shared" si="22"/>
        <v>54747.47689</v>
      </c>
      <c r="G97" s="72">
        <f t="shared" si="8"/>
        <v>7507.678537</v>
      </c>
      <c r="H97" s="72">
        <f t="shared" si="7"/>
        <v>283297.9554</v>
      </c>
      <c r="I97" s="72">
        <f t="shared" si="1"/>
        <v>7507.678537</v>
      </c>
      <c r="J97" s="72">
        <f t="shared" si="23"/>
        <v>20430.99154</v>
      </c>
      <c r="K97" s="72">
        <f t="shared" si="19"/>
        <v>30235.37914</v>
      </c>
      <c r="L97" s="26"/>
      <c r="M97" s="26"/>
      <c r="N97" s="26"/>
      <c r="O97" s="26"/>
      <c r="P97" s="26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88">
        <v>2033.0</v>
      </c>
      <c r="B98" s="287">
        <v>1.0</v>
      </c>
      <c r="C98" s="287"/>
      <c r="D98" s="26"/>
      <c r="E98" s="26">
        <f t="shared" si="10"/>
        <v>22860.27885</v>
      </c>
      <c r="F98" s="26"/>
      <c r="G98" s="26">
        <f t="shared" si="8"/>
        <v>7375.100284</v>
      </c>
      <c r="H98" s="26">
        <f t="shared" si="7"/>
        <v>260437.6766</v>
      </c>
      <c r="I98" s="26">
        <f t="shared" si="1"/>
        <v>7375.100284</v>
      </c>
      <c r="J98" s="26"/>
      <c r="K98" s="26">
        <f t="shared" si="19"/>
        <v>30235.37914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B99" s="26">
        <v>2.0</v>
      </c>
      <c r="C99" s="26"/>
      <c r="D99" s="26"/>
      <c r="E99" s="26">
        <f t="shared" si="10"/>
        <v>22993.63048</v>
      </c>
      <c r="F99" s="26"/>
      <c r="G99" s="26">
        <f t="shared" si="8"/>
        <v>7241.748657</v>
      </c>
      <c r="H99" s="26">
        <f t="shared" si="7"/>
        <v>237444.0461</v>
      </c>
      <c r="I99" s="26">
        <f t="shared" si="1"/>
        <v>7241.748657</v>
      </c>
      <c r="J99" s="26"/>
      <c r="K99" s="26">
        <f t="shared" si="19"/>
        <v>30235.37914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B100" s="26">
        <v>3.0</v>
      </c>
      <c r="C100" s="26"/>
      <c r="D100" s="26"/>
      <c r="E100" s="26">
        <f t="shared" si="10"/>
        <v>23127.75999</v>
      </c>
      <c r="F100" s="26"/>
      <c r="G100" s="26">
        <f t="shared" si="8"/>
        <v>7107.619146</v>
      </c>
      <c r="H100" s="26">
        <f t="shared" si="7"/>
        <v>214316.2861</v>
      </c>
      <c r="I100" s="26">
        <f t="shared" si="1"/>
        <v>7107.619146</v>
      </c>
      <c r="J100" s="26"/>
      <c r="K100" s="26">
        <f t="shared" si="19"/>
        <v>30235.37914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B101" s="26">
        <v>4.0</v>
      </c>
      <c r="C101" s="26"/>
      <c r="D101" s="26"/>
      <c r="E101" s="26">
        <f t="shared" si="10"/>
        <v>23262.67192</v>
      </c>
      <c r="F101" s="26"/>
      <c r="G101" s="26">
        <f t="shared" si="8"/>
        <v>6972.707213</v>
      </c>
      <c r="H101" s="26">
        <f t="shared" si="7"/>
        <v>191053.6142</v>
      </c>
      <c r="I101" s="26">
        <f t="shared" si="1"/>
        <v>6972.707213</v>
      </c>
      <c r="J101" s="26"/>
      <c r="K101" s="26">
        <f t="shared" si="19"/>
        <v>30235.37914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B102" s="26">
        <v>5.0</v>
      </c>
      <c r="C102" s="26"/>
      <c r="D102" s="26"/>
      <c r="E102" s="26">
        <f t="shared" si="10"/>
        <v>23398.37084</v>
      </c>
      <c r="F102" s="26"/>
      <c r="G102" s="26">
        <f t="shared" si="8"/>
        <v>6837.008293</v>
      </c>
      <c r="H102" s="26">
        <f t="shared" si="7"/>
        <v>167655.2433</v>
      </c>
      <c r="I102" s="26">
        <f t="shared" si="1"/>
        <v>6837.008293</v>
      </c>
      <c r="J102" s="26"/>
      <c r="K102" s="26">
        <f t="shared" si="19"/>
        <v>30235.37914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B103" s="26">
        <v>6.0</v>
      </c>
      <c r="C103" s="26"/>
      <c r="D103" s="26"/>
      <c r="E103" s="26">
        <f t="shared" si="10"/>
        <v>23534.86134</v>
      </c>
      <c r="F103" s="26"/>
      <c r="G103" s="26">
        <f t="shared" si="8"/>
        <v>6700.517797</v>
      </c>
      <c r="H103" s="26">
        <f t="shared" si="7"/>
        <v>144120.382</v>
      </c>
      <c r="I103" s="26">
        <f t="shared" si="1"/>
        <v>6700.517797</v>
      </c>
      <c r="J103" s="26"/>
      <c r="K103" s="26">
        <f t="shared" si="19"/>
        <v>30235.37914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B104" s="26">
        <v>7.0</v>
      </c>
      <c r="C104" s="26"/>
      <c r="D104" s="26"/>
      <c r="E104" s="26">
        <f t="shared" si="10"/>
        <v>23672.14803</v>
      </c>
      <c r="F104" s="26">
        <f>SUM(E98:E109)/6</f>
        <v>47216.3259</v>
      </c>
      <c r="G104" s="26">
        <f t="shared" si="8"/>
        <v>6563.231106</v>
      </c>
      <c r="H104" s="26">
        <f t="shared" si="7"/>
        <v>120448.234</v>
      </c>
      <c r="I104" s="26">
        <f t="shared" si="1"/>
        <v>6563.231106</v>
      </c>
      <c r="J104" s="26">
        <f>SUM(I98:I109)/6</f>
        <v>13254.43237</v>
      </c>
      <c r="K104" s="26">
        <f t="shared" si="19"/>
        <v>30235.37914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B105" s="26">
        <v>8.0</v>
      </c>
      <c r="C105" s="26"/>
      <c r="D105" s="26"/>
      <c r="E105" s="26">
        <f t="shared" si="10"/>
        <v>23810.23556</v>
      </c>
      <c r="F105" s="26">
        <f t="shared" ref="F105:F109" si="24">F104</f>
        <v>47216.3259</v>
      </c>
      <c r="G105" s="26">
        <f t="shared" si="8"/>
        <v>6425.143575</v>
      </c>
      <c r="H105" s="26">
        <f t="shared" si="7"/>
        <v>96637.9984</v>
      </c>
      <c r="I105" s="26">
        <f t="shared" si="1"/>
        <v>6425.143575</v>
      </c>
      <c r="J105" s="26">
        <f t="shared" ref="J105:J109" si="25">J104</f>
        <v>13254.43237</v>
      </c>
      <c r="K105" s="26">
        <f t="shared" si="19"/>
        <v>30235.37914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B106" s="26">
        <v>9.0</v>
      </c>
      <c r="C106" s="26"/>
      <c r="D106" s="26"/>
      <c r="E106" s="26">
        <f t="shared" si="10"/>
        <v>23949.1286</v>
      </c>
      <c r="F106" s="26">
        <f t="shared" si="24"/>
        <v>47216.3259</v>
      </c>
      <c r="G106" s="26">
        <f t="shared" si="8"/>
        <v>6286.250535</v>
      </c>
      <c r="H106" s="26">
        <f t="shared" si="7"/>
        <v>72688.8698</v>
      </c>
      <c r="I106" s="26">
        <f t="shared" si="1"/>
        <v>6286.250535</v>
      </c>
      <c r="J106" s="26">
        <f t="shared" si="25"/>
        <v>13254.43237</v>
      </c>
      <c r="K106" s="26">
        <f t="shared" si="19"/>
        <v>30235.37914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B107" s="26">
        <v>10.0</v>
      </c>
      <c r="C107" s="26"/>
      <c r="D107" s="26"/>
      <c r="E107" s="26">
        <f t="shared" si="10"/>
        <v>24088.83185</v>
      </c>
      <c r="F107" s="26">
        <f t="shared" si="24"/>
        <v>47216.3259</v>
      </c>
      <c r="G107" s="26">
        <f t="shared" si="8"/>
        <v>6146.547285</v>
      </c>
      <c r="H107" s="26">
        <f t="shared" si="7"/>
        <v>48600.03795</v>
      </c>
      <c r="I107" s="26">
        <f t="shared" si="1"/>
        <v>6146.547285</v>
      </c>
      <c r="J107" s="26">
        <f t="shared" si="25"/>
        <v>13254.43237</v>
      </c>
      <c r="K107" s="26">
        <f t="shared" si="19"/>
        <v>30235.37914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B108" s="26">
        <v>11.0</v>
      </c>
      <c r="C108" s="26"/>
      <c r="D108" s="26"/>
      <c r="E108" s="26">
        <f t="shared" si="10"/>
        <v>24229.35004</v>
      </c>
      <c r="F108" s="26">
        <f t="shared" si="24"/>
        <v>47216.3259</v>
      </c>
      <c r="G108" s="26">
        <f t="shared" si="8"/>
        <v>6006.029099</v>
      </c>
      <c r="H108" s="26">
        <f t="shared" si="7"/>
        <v>24370.68791</v>
      </c>
      <c r="I108" s="26">
        <f t="shared" si="1"/>
        <v>6006.029099</v>
      </c>
      <c r="J108" s="26">
        <f t="shared" si="25"/>
        <v>13254.43237</v>
      </c>
      <c r="K108" s="26">
        <f t="shared" si="19"/>
        <v>30235.37914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98"/>
      <c r="B109" s="72">
        <v>12.0</v>
      </c>
      <c r="C109" s="72"/>
      <c r="D109" s="72"/>
      <c r="E109" s="72">
        <f t="shared" si="10"/>
        <v>24370.68791</v>
      </c>
      <c r="F109" s="72">
        <f t="shared" si="24"/>
        <v>47216.3259</v>
      </c>
      <c r="G109" s="72">
        <f t="shared" si="8"/>
        <v>5864.691223</v>
      </c>
      <c r="H109" s="72">
        <f t="shared" si="7"/>
        <v>0.000000005322362995</v>
      </c>
      <c r="I109" s="72">
        <f t="shared" si="1"/>
        <v>5864.691223</v>
      </c>
      <c r="J109" s="72">
        <f t="shared" si="25"/>
        <v>13254.43237</v>
      </c>
      <c r="K109" s="72">
        <f t="shared" si="19"/>
        <v>30235.37914</v>
      </c>
      <c r="L109" s="26"/>
      <c r="M109" s="26"/>
      <c r="N109" s="26"/>
      <c r="O109" s="26"/>
      <c r="P109" s="26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88">
        <v>2034.0</v>
      </c>
      <c r="B110" s="287">
        <v>1.0</v>
      </c>
      <c r="C110" s="287"/>
      <c r="D110" s="26"/>
      <c r="E110" s="26"/>
      <c r="F110" s="26"/>
      <c r="G110" s="26"/>
      <c r="H110" s="26"/>
      <c r="I110" s="26"/>
      <c r="J110" s="26"/>
      <c r="K110" s="26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B111" s="26">
        <v>2.0</v>
      </c>
      <c r="C111" s="26"/>
      <c r="D111" s="26"/>
      <c r="E111" s="26"/>
      <c r="F111" s="26"/>
      <c r="G111" s="26"/>
      <c r="H111" s="26"/>
      <c r="I111" s="26"/>
      <c r="J111" s="26"/>
      <c r="K111" s="26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B112" s="26">
        <v>3.0</v>
      </c>
      <c r="C112" s="26"/>
      <c r="D112" s="26"/>
      <c r="E112" s="26"/>
      <c r="F112" s="26"/>
      <c r="G112" s="26"/>
      <c r="H112" s="26"/>
      <c r="I112" s="26"/>
      <c r="J112" s="26"/>
      <c r="K112" s="26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B113" s="26">
        <v>4.0</v>
      </c>
      <c r="C113" s="26"/>
      <c r="D113" s="26"/>
      <c r="E113" s="26"/>
      <c r="F113" s="26"/>
      <c r="G113" s="26"/>
      <c r="H113" s="26"/>
      <c r="I113" s="26"/>
      <c r="J113" s="26"/>
      <c r="K113" s="26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B114" s="26">
        <v>5.0</v>
      </c>
      <c r="C114" s="26"/>
      <c r="D114" s="26"/>
      <c r="E114" s="26"/>
      <c r="F114" s="26"/>
      <c r="G114" s="26"/>
      <c r="H114" s="26"/>
      <c r="I114" s="26"/>
      <c r="J114" s="26"/>
      <c r="K114" s="26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B115" s="26">
        <v>6.0</v>
      </c>
      <c r="C115" s="26"/>
      <c r="D115" s="26"/>
      <c r="E115" s="26"/>
      <c r="F115" s="26"/>
      <c r="G115" s="26"/>
      <c r="H115" s="26"/>
      <c r="I115" s="26"/>
      <c r="J115" s="26"/>
      <c r="K115" s="26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B116" s="26">
        <v>7.0</v>
      </c>
      <c r="C116" s="26"/>
      <c r="D116" s="26"/>
      <c r="E116" s="26"/>
      <c r="F116" s="26"/>
      <c r="G116" s="26"/>
      <c r="H116" s="26"/>
      <c r="I116" s="26"/>
      <c r="J116" s="26"/>
      <c r="K116" s="26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B117" s="26">
        <v>8.0</v>
      </c>
      <c r="C117" s="26"/>
      <c r="D117" s="26"/>
      <c r="E117" s="26"/>
      <c r="F117" s="26"/>
      <c r="G117" s="26"/>
      <c r="H117" s="26"/>
      <c r="I117" s="26"/>
      <c r="J117" s="26"/>
      <c r="K117" s="26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B118" s="26">
        <v>9.0</v>
      </c>
      <c r="C118" s="26"/>
      <c r="D118" s="26"/>
      <c r="E118" s="26"/>
      <c r="F118" s="26"/>
      <c r="G118" s="26"/>
      <c r="H118" s="26"/>
      <c r="I118" s="26"/>
      <c r="J118" s="26"/>
      <c r="K118" s="26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B119" s="26">
        <v>10.0</v>
      </c>
      <c r="C119" s="26"/>
      <c r="D119" s="26"/>
      <c r="E119" s="26"/>
      <c r="F119" s="26"/>
      <c r="G119" s="26"/>
      <c r="H119" s="26"/>
      <c r="I119" s="26"/>
      <c r="J119" s="26"/>
      <c r="K119" s="26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B120" s="26">
        <v>11.0</v>
      </c>
      <c r="C120" s="26"/>
      <c r="D120" s="26"/>
      <c r="E120" s="26"/>
      <c r="F120" s="26"/>
      <c r="G120" s="26"/>
      <c r="H120" s="26"/>
      <c r="I120" s="26"/>
      <c r="J120" s="26"/>
      <c r="K120" s="26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98"/>
      <c r="B121" s="72">
        <v>12.0</v>
      </c>
      <c r="C121" s="72"/>
      <c r="D121" s="72"/>
      <c r="E121" s="72"/>
      <c r="F121" s="72"/>
      <c r="G121" s="72"/>
      <c r="H121" s="72"/>
      <c r="I121" s="72"/>
      <c r="J121" s="72"/>
      <c r="K121" s="72"/>
      <c r="L121" s="26"/>
      <c r="M121" s="26"/>
      <c r="N121" s="26"/>
      <c r="O121" s="26"/>
      <c r="P121" s="26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88">
        <v>2035.0</v>
      </c>
      <c r="B122" s="287">
        <v>1.0</v>
      </c>
      <c r="C122" s="287"/>
      <c r="D122" s="26"/>
      <c r="E122" s="26"/>
      <c r="F122" s="26"/>
      <c r="G122" s="26"/>
      <c r="H122" s="26"/>
      <c r="I122" s="26"/>
      <c r="J122" s="26"/>
      <c r="K122" s="26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B123" s="26">
        <v>2.0</v>
      </c>
      <c r="C123" s="26"/>
      <c r="D123" s="26"/>
      <c r="E123" s="26"/>
      <c r="F123" s="26"/>
      <c r="G123" s="26"/>
      <c r="H123" s="26"/>
      <c r="I123" s="26"/>
      <c r="J123" s="26"/>
      <c r="K123" s="26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B124" s="26">
        <v>3.0</v>
      </c>
      <c r="C124" s="26"/>
      <c r="D124" s="26"/>
      <c r="E124" s="26"/>
      <c r="F124" s="26"/>
      <c r="G124" s="26"/>
      <c r="H124" s="26"/>
      <c r="I124" s="26"/>
      <c r="J124" s="26"/>
      <c r="K124" s="26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B125" s="26">
        <v>4.0</v>
      </c>
      <c r="C125" s="26"/>
      <c r="D125" s="26"/>
      <c r="E125" s="26"/>
      <c r="F125" s="26"/>
      <c r="G125" s="26"/>
      <c r="H125" s="26"/>
      <c r="I125" s="26"/>
      <c r="J125" s="26"/>
      <c r="K125" s="26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B126" s="26">
        <v>5.0</v>
      </c>
      <c r="C126" s="26"/>
      <c r="D126" s="26"/>
      <c r="E126" s="26"/>
      <c r="F126" s="26"/>
      <c r="G126" s="26"/>
      <c r="H126" s="26"/>
      <c r="I126" s="26"/>
      <c r="J126" s="26"/>
      <c r="K126" s="26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B127" s="26">
        <v>6.0</v>
      </c>
      <c r="C127" s="26"/>
      <c r="D127" s="26"/>
      <c r="E127" s="26"/>
      <c r="F127" s="26"/>
      <c r="G127" s="26"/>
      <c r="H127" s="26"/>
      <c r="I127" s="26"/>
      <c r="J127" s="26"/>
      <c r="K127" s="26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B128" s="26">
        <v>7.0</v>
      </c>
      <c r="C128" s="26"/>
      <c r="D128" s="26"/>
      <c r="E128" s="26"/>
      <c r="F128" s="26"/>
      <c r="G128" s="26"/>
      <c r="H128" s="26"/>
      <c r="I128" s="26"/>
      <c r="J128" s="26"/>
      <c r="K128" s="26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B129" s="26">
        <v>8.0</v>
      </c>
      <c r="C129" s="26"/>
      <c r="D129" s="26"/>
      <c r="E129" s="26"/>
      <c r="F129" s="26"/>
      <c r="G129" s="26"/>
      <c r="H129" s="26"/>
      <c r="I129" s="26"/>
      <c r="J129" s="26"/>
      <c r="K129" s="26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B130" s="26">
        <v>9.0</v>
      </c>
      <c r="C130" s="26"/>
      <c r="D130" s="26"/>
      <c r="E130" s="26"/>
      <c r="F130" s="26"/>
      <c r="G130" s="26"/>
      <c r="H130" s="26"/>
      <c r="I130" s="26"/>
      <c r="J130" s="26"/>
      <c r="K130" s="26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B131" s="26">
        <v>10.0</v>
      </c>
      <c r="C131" s="26"/>
      <c r="D131" s="26"/>
      <c r="E131" s="26"/>
      <c r="F131" s="26"/>
      <c r="G131" s="26"/>
      <c r="H131" s="26"/>
      <c r="I131" s="26"/>
      <c r="J131" s="26"/>
      <c r="K131" s="26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B132" s="26">
        <v>11.0</v>
      </c>
      <c r="C132" s="26"/>
      <c r="D132" s="26"/>
      <c r="E132" s="26"/>
      <c r="F132" s="26"/>
      <c r="G132" s="26"/>
      <c r="H132" s="26"/>
      <c r="I132" s="26"/>
      <c r="J132" s="26"/>
      <c r="K132" s="26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98"/>
      <c r="B133" s="72">
        <v>12.0</v>
      </c>
      <c r="C133" s="72"/>
      <c r="D133" s="72"/>
      <c r="E133" s="72"/>
      <c r="F133" s="72"/>
      <c r="G133" s="72"/>
      <c r="H133" s="72"/>
      <c r="I133" s="72"/>
      <c r="J133" s="72"/>
      <c r="K133" s="72"/>
      <c r="L133" s="26"/>
      <c r="M133" s="26"/>
      <c r="N133" s="26"/>
      <c r="O133" s="26"/>
      <c r="P133" s="26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89"/>
      <c r="B134" s="289"/>
      <c r="C134" s="290"/>
      <c r="D134" s="290">
        <f t="shared" ref="D134:G134" si="26">SUM(D14:D133)</f>
        <v>1578775.38</v>
      </c>
      <c r="E134" s="290">
        <f t="shared" si="26"/>
        <v>1578775.38</v>
      </c>
      <c r="F134" s="290">
        <f t="shared" si="26"/>
        <v>1578775.38</v>
      </c>
      <c r="G134" s="290">
        <f t="shared" si="26"/>
        <v>696078.5712</v>
      </c>
      <c r="H134" s="290"/>
      <c r="I134" s="290">
        <f t="shared" ref="I134:K134" si="27">SUM(I14:I133)</f>
        <v>696078.5712</v>
      </c>
      <c r="J134" s="290">
        <f t="shared" si="27"/>
        <v>696078.5712</v>
      </c>
      <c r="K134" s="290">
        <f t="shared" si="27"/>
        <v>2274853.951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54"/>
      <c r="F137" s="54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A98:A109"/>
    <mergeCell ref="A110:A121"/>
    <mergeCell ref="A122:A133"/>
    <mergeCell ref="A14:A25"/>
    <mergeCell ref="A26:A37"/>
    <mergeCell ref="A38:A49"/>
    <mergeCell ref="A50:A61"/>
    <mergeCell ref="A62:A73"/>
    <mergeCell ref="A74:A85"/>
    <mergeCell ref="A86:A97"/>
  </mergeCells>
  <printOptions/>
  <pageMargins bottom="0.48" footer="0.0" header="0.0" left="0.75" right="0.75" top="0.49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 outlineLevelCol="1" outlineLevelRow="1"/>
  <cols>
    <col customWidth="1" min="1" max="1" width="65.14"/>
    <col customWidth="1" min="2" max="13" width="11.43" outlineLevel="1"/>
    <col customWidth="1" min="14" max="14" width="13.86"/>
    <col customWidth="1" min="15" max="26" width="11.71" outlineLevel="1"/>
    <col customWidth="1" min="27" max="27" width="11.86"/>
    <col customWidth="1" min="28" max="39" width="11.71" outlineLevel="1"/>
    <col customWidth="1" min="40" max="42" width="11.86"/>
    <col customWidth="1" min="43" max="43" width="11.71" outlineLevel="1"/>
    <col customWidth="1" min="44" max="46" width="11.29" outlineLevel="1"/>
    <col customWidth="1" min="47" max="47" width="11.29"/>
    <col customWidth="1" min="48" max="51" width="11.29" outlineLevel="1"/>
    <col customWidth="1" min="52" max="74" width="11.29"/>
  </cols>
  <sheetData>
    <row r="1" ht="12.75" customHeight="1">
      <c r="A1" s="1" t="str">
        <f>Panel!A1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</row>
    <row r="2" ht="12.75" customHeight="1">
      <c r="A2" s="1" t="str">
        <f>Panel!A2</f>
        <v>Строительство ГЭС -5 МВТ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</row>
    <row r="3" ht="12.75" customHeight="1">
      <c r="A3" s="2"/>
      <c r="B3" s="2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</row>
    <row r="4" ht="12.75" customHeight="1">
      <c r="A4" s="1" t="s">
        <v>308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2"/>
      <c r="AF5" s="292"/>
      <c r="AG5" s="292"/>
      <c r="AH5" s="292"/>
      <c r="AI5" s="292"/>
      <c r="AJ5" s="292"/>
      <c r="AK5" s="292"/>
      <c r="AL5" s="292"/>
      <c r="AM5" s="292"/>
      <c r="AN5" s="292"/>
      <c r="AO5" s="292"/>
      <c r="AP5" s="292"/>
      <c r="AQ5" s="29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</row>
    <row r="6" ht="12.75" customHeight="1">
      <c r="A6" s="34" t="s">
        <v>124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</row>
    <row r="7" ht="12.75" customHeight="1">
      <c r="A7" s="293" t="s">
        <v>309</v>
      </c>
      <c r="B7" s="59" t="s">
        <v>59</v>
      </c>
      <c r="C7" s="59" t="s">
        <v>60</v>
      </c>
      <c r="D7" s="59" t="s">
        <v>61</v>
      </c>
      <c r="E7" s="59" t="s">
        <v>62</v>
      </c>
      <c r="F7" s="59" t="s">
        <v>63</v>
      </c>
      <c r="G7" s="59" t="s">
        <v>64</v>
      </c>
      <c r="H7" s="59" t="s">
        <v>65</v>
      </c>
      <c r="I7" s="59" t="s">
        <v>66</v>
      </c>
      <c r="J7" s="59" t="s">
        <v>67</v>
      </c>
      <c r="K7" s="59" t="s">
        <v>68</v>
      </c>
      <c r="L7" s="59" t="s">
        <v>69</v>
      </c>
      <c r="M7" s="59" t="s">
        <v>70</v>
      </c>
      <c r="N7" s="162">
        <v>2026.0</v>
      </c>
      <c r="O7" s="162" t="s">
        <v>59</v>
      </c>
      <c r="P7" s="162" t="s">
        <v>60</v>
      </c>
      <c r="Q7" s="162" t="s">
        <v>61</v>
      </c>
      <c r="R7" s="162" t="s">
        <v>62</v>
      </c>
      <c r="S7" s="162" t="s">
        <v>63</v>
      </c>
      <c r="T7" s="162" t="s">
        <v>64</v>
      </c>
      <c r="U7" s="162" t="s">
        <v>65</v>
      </c>
      <c r="V7" s="162" t="s">
        <v>66</v>
      </c>
      <c r="W7" s="162" t="s">
        <v>67</v>
      </c>
      <c r="X7" s="162" t="s">
        <v>68</v>
      </c>
      <c r="Y7" s="162" t="s">
        <v>69</v>
      </c>
      <c r="Z7" s="162" t="s">
        <v>70</v>
      </c>
      <c r="AA7" s="162">
        <v>2027.0</v>
      </c>
      <c r="AB7" s="162" t="s">
        <v>59</v>
      </c>
      <c r="AC7" s="162" t="s">
        <v>60</v>
      </c>
      <c r="AD7" s="162" t="s">
        <v>61</v>
      </c>
      <c r="AE7" s="162" t="s">
        <v>62</v>
      </c>
      <c r="AF7" s="162" t="s">
        <v>63</v>
      </c>
      <c r="AG7" s="162" t="s">
        <v>64</v>
      </c>
      <c r="AH7" s="162" t="s">
        <v>65</v>
      </c>
      <c r="AI7" s="162" t="s">
        <v>66</v>
      </c>
      <c r="AJ7" s="162" t="s">
        <v>67</v>
      </c>
      <c r="AK7" s="162" t="s">
        <v>68</v>
      </c>
      <c r="AL7" s="162" t="s">
        <v>69</v>
      </c>
      <c r="AM7" s="162" t="s">
        <v>70</v>
      </c>
      <c r="AN7" s="162">
        <v>2028.0</v>
      </c>
      <c r="AO7" s="162">
        <v>2029.0</v>
      </c>
      <c r="AP7" s="162">
        <v>2030.0</v>
      </c>
      <c r="AQ7" s="162">
        <v>2031.0</v>
      </c>
      <c r="AR7" s="162">
        <v>2032.0</v>
      </c>
      <c r="AS7" s="162">
        <v>2033.0</v>
      </c>
      <c r="AT7" s="162">
        <v>2034.0</v>
      </c>
      <c r="AU7" s="162">
        <v>2035.0</v>
      </c>
      <c r="AV7" s="162">
        <v>2036.0</v>
      </c>
      <c r="AW7" s="162">
        <v>2037.0</v>
      </c>
      <c r="AX7" s="162">
        <v>2038.0</v>
      </c>
      <c r="AY7" s="162">
        <v>2039.0</v>
      </c>
      <c r="AZ7" s="162">
        <v>2040.0</v>
      </c>
      <c r="BA7" s="162">
        <v>2041.0</v>
      </c>
      <c r="BB7" s="162">
        <v>2042.0</v>
      </c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</row>
    <row r="8" ht="12.75" customHeight="1">
      <c r="A8" s="294" t="s">
        <v>310</v>
      </c>
      <c r="B8" s="295">
        <f>'Выручка'!C13</f>
        <v>29009.2994</v>
      </c>
      <c r="C8" s="295">
        <f>'Выручка'!D13</f>
        <v>24623.4929</v>
      </c>
      <c r="D8" s="295">
        <f>'Выручка'!E13</f>
        <v>38688.9252</v>
      </c>
      <c r="E8" s="295">
        <f>'Выручка'!F13</f>
        <v>22817.10127</v>
      </c>
      <c r="F8" s="295">
        <f>'Выручка'!G13</f>
        <v>51857.62172</v>
      </c>
      <c r="G8" s="295">
        <f>'Выручка'!H13</f>
        <v>58345.5535</v>
      </c>
      <c r="H8" s="295">
        <f>'Выручка'!I13</f>
        <v>72710.3537</v>
      </c>
      <c r="I8" s="295">
        <f>'Выручка'!J13</f>
        <v>72710.3537</v>
      </c>
      <c r="J8" s="295">
        <f>'Выручка'!K13</f>
        <v>60074.3216</v>
      </c>
      <c r="K8" s="295">
        <f>'Выручка'!L13</f>
        <v>49228.57803</v>
      </c>
      <c r="L8" s="295">
        <f>'Выручка'!M13</f>
        <v>38621.91006</v>
      </c>
      <c r="M8" s="295">
        <f>'Выручка'!N13</f>
        <v>29890.89473</v>
      </c>
      <c r="N8" s="295">
        <f>'Выручка'!O13</f>
        <v>548578.4058</v>
      </c>
      <c r="O8" s="295">
        <f>'Выручка'!P13</f>
        <v>31881.22004</v>
      </c>
      <c r="P8" s="295">
        <f>'Выручка'!Q13</f>
        <v>27061.21869</v>
      </c>
      <c r="Q8" s="295">
        <f>'Выручка'!R13</f>
        <v>42519.1288</v>
      </c>
      <c r="R8" s="295">
        <f>'Выручка'!S13</f>
        <v>25075.99429</v>
      </c>
      <c r="S8" s="295">
        <f>'Выручка'!T13</f>
        <v>56991.52628</v>
      </c>
      <c r="T8" s="295">
        <f>'Выручка'!U13</f>
        <v>64121.76329</v>
      </c>
      <c r="U8" s="295">
        <f>'Выручка'!V13</f>
        <v>79908.67871</v>
      </c>
      <c r="V8" s="295">
        <f>'Выручка'!W13</f>
        <v>79908.67871</v>
      </c>
      <c r="W8" s="295">
        <f>'Выручка'!X13</f>
        <v>66021.67944</v>
      </c>
      <c r="X8" s="295">
        <f>'Выручка'!Y13</f>
        <v>54102.20725</v>
      </c>
      <c r="Y8" s="295">
        <f>'Выручка'!Z13</f>
        <v>42445.47916</v>
      </c>
      <c r="Z8" s="295">
        <f>'Выручка'!AA13</f>
        <v>32850.0933</v>
      </c>
      <c r="AA8" s="295">
        <f>'Выручка'!AB13</f>
        <v>602887.668</v>
      </c>
      <c r="AB8" s="295">
        <f>'Выручка'!AC13</f>
        <v>35037.46082</v>
      </c>
      <c r="AC8" s="295">
        <f>'Выручка'!AD13</f>
        <v>29740.27934</v>
      </c>
      <c r="AD8" s="295">
        <f>'Выручка'!AE13</f>
        <v>46728.52255</v>
      </c>
      <c r="AE8" s="295">
        <f>'Выручка'!AF13</f>
        <v>27558.51773</v>
      </c>
      <c r="AF8" s="295">
        <f>'Выручка'!AG13</f>
        <v>62633.68738</v>
      </c>
      <c r="AG8" s="295">
        <f>'Выручка'!AH13</f>
        <v>70469.81786</v>
      </c>
      <c r="AH8" s="295">
        <f>'Выручка'!AI13</f>
        <v>87819.63791</v>
      </c>
      <c r="AI8" s="295">
        <f>'Выручка'!AJ13</f>
        <v>87819.63791</v>
      </c>
      <c r="AJ8" s="295">
        <f>'Выручка'!AK13</f>
        <v>72557.8257</v>
      </c>
      <c r="AK8" s="295">
        <f>'Выручка'!AL13</f>
        <v>59458.32577</v>
      </c>
      <c r="AL8" s="295">
        <f>'Выручка'!AM13</f>
        <v>46647.58159</v>
      </c>
      <c r="AM8" s="295">
        <f>'Выручка'!AN13</f>
        <v>36102.25254</v>
      </c>
      <c r="AN8" s="295">
        <f>'Выручка'!AO13</f>
        <v>662573.5471</v>
      </c>
      <c r="AO8" s="295">
        <f>'Выручка'!AP13</f>
        <v>728168.3283</v>
      </c>
      <c r="AP8" s="295">
        <f>'Выручка'!AQ13</f>
        <v>800256.9928</v>
      </c>
      <c r="AQ8" s="295">
        <f>'Выручка'!AR13</f>
        <v>879482.435</v>
      </c>
      <c r="AR8" s="295">
        <f>'Выручка'!AS13</f>
        <v>966551.1961</v>
      </c>
      <c r="AS8" s="295">
        <f>'Выручка'!AT13</f>
        <v>1062239.765</v>
      </c>
      <c r="AT8" s="295">
        <f>'Выручка'!AU13</f>
        <v>1167401.501</v>
      </c>
      <c r="AU8" s="295">
        <f>'Выручка'!AV13</f>
        <v>1282974.25</v>
      </c>
      <c r="AV8" s="295">
        <f>'Выручка'!AW13</f>
        <v>1409988.701</v>
      </c>
      <c r="AW8" s="295">
        <f>'Выручка'!AX13</f>
        <v>1549577.582</v>
      </c>
      <c r="AX8" s="295">
        <f>'Выручка'!AY13</f>
        <v>1702985.763</v>
      </c>
      <c r="AY8" s="295">
        <f>'Выручка'!AZ13</f>
        <v>1871581.353</v>
      </c>
      <c r="AZ8" s="295">
        <f>'Выручка'!BA13</f>
        <v>2056867.907</v>
      </c>
      <c r="BA8" s="295">
        <f>'Выручка'!BB13</f>
        <v>2260497.83</v>
      </c>
      <c r="BB8" s="295">
        <f>'Выручка'!BC13</f>
        <v>2484287.115</v>
      </c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</row>
    <row r="9" ht="12.75" customHeight="1">
      <c r="A9" s="294" t="s">
        <v>311</v>
      </c>
      <c r="B9" s="295">
        <f>'Произв.затраты'!C17</f>
        <v>18528.62049</v>
      </c>
      <c r="C9" s="295">
        <f>'Произв.затраты'!D17</f>
        <v>18470.42635</v>
      </c>
      <c r="D9" s="295">
        <f>'Произв.затраты'!E17</f>
        <v>18808.57303</v>
      </c>
      <c r="E9" s="295">
        <f>'Произв.затраты'!F17</f>
        <v>18426.99894</v>
      </c>
      <c r="F9" s="295">
        <f>'Произв.затраты'!G17</f>
        <v>19125.16131</v>
      </c>
      <c r="G9" s="295">
        <f>'Произв.затраты'!H17</f>
        <v>19281.13751</v>
      </c>
      <c r="H9" s="295">
        <f>'Произв.затраты'!I17</f>
        <v>19626.48128</v>
      </c>
      <c r="I9" s="295">
        <f>'Произв.затраты'!J17</f>
        <v>19626.48128</v>
      </c>
      <c r="J9" s="295">
        <f>'Произв.затраты'!K17</f>
        <v>19322.69877</v>
      </c>
      <c r="K9" s="295">
        <f>'Произв.затраты'!L17</f>
        <v>19061.95654</v>
      </c>
      <c r="L9" s="295">
        <f>'Произв.затраты'!M17</f>
        <v>18806.96192</v>
      </c>
      <c r="M9" s="295">
        <f>'Произв.затраты'!N17</f>
        <v>18597.05982</v>
      </c>
      <c r="N9" s="295">
        <f>'Произв.затраты'!O17</f>
        <v>227682.5572</v>
      </c>
      <c r="O9" s="295">
        <f>'Произв.затраты'!P17</f>
        <v>18803.93269</v>
      </c>
      <c r="P9" s="295">
        <f>'Произв.затраты'!Q17</f>
        <v>18741.11674</v>
      </c>
      <c r="Q9" s="295">
        <f>'Произв.затраты'!R17</f>
        <v>19111.81308</v>
      </c>
      <c r="R9" s="295">
        <f>'Произв.затраты'!S17</f>
        <v>18693.50904</v>
      </c>
      <c r="S9" s="295">
        <f>'Произв.затраты'!T17</f>
        <v>19458.87584</v>
      </c>
      <c r="T9" s="295">
        <f>'Произв.затраты'!U17</f>
        <v>19629.86615</v>
      </c>
      <c r="U9" s="295">
        <f>'Произв.затраты'!V17</f>
        <v>20008.45238</v>
      </c>
      <c r="V9" s="295">
        <f>'Произв.затраты'!W17</f>
        <v>20008.45238</v>
      </c>
      <c r="W9" s="295">
        <f>'Произв.затраты'!X17</f>
        <v>19675.42806</v>
      </c>
      <c r="X9" s="295">
        <f>'Произв.затраты'!Y17</f>
        <v>19389.58704</v>
      </c>
      <c r="Y9" s="295">
        <f>'Произв.затраты'!Z17</f>
        <v>19110.04689</v>
      </c>
      <c r="Z9" s="295">
        <f>'Произв.затраты'!AA17</f>
        <v>18879.93982</v>
      </c>
      <c r="AA9" s="295">
        <f>'Произв.затраты'!AB17</f>
        <v>231511.0201</v>
      </c>
      <c r="AB9" s="295">
        <f>'Произв.затраты'!AC17</f>
        <v>19119.65411</v>
      </c>
      <c r="AC9" s="295">
        <f>'Произв.затраты'!AD17</f>
        <v>19051.71468</v>
      </c>
      <c r="AD9" s="295">
        <f>'Произв.затраты'!AE17</f>
        <v>19458.64368</v>
      </c>
      <c r="AE9" s="295">
        <f>'Произв.затраты'!AF17</f>
        <v>18999.45371</v>
      </c>
      <c r="AF9" s="295">
        <f>'Произв.затраты'!AG17</f>
        <v>19839.62909</v>
      </c>
      <c r="AG9" s="295">
        <f>'Произв.затраты'!AH17</f>
        <v>20027.33236</v>
      </c>
      <c r="AH9" s="295">
        <f>'Произв.затраты'!AI17</f>
        <v>20442.92241</v>
      </c>
      <c r="AI9" s="295">
        <f>'Произв.затраты'!AJ17</f>
        <v>20442.92241</v>
      </c>
      <c r="AJ9" s="295">
        <f>'Произв.затраты'!AK17</f>
        <v>20077.34759</v>
      </c>
      <c r="AK9" s="295">
        <f>'Произв.затраты'!AL17</f>
        <v>19763.56786</v>
      </c>
      <c r="AL9" s="295">
        <f>'Произв.затраты'!AM17</f>
        <v>19456.70486</v>
      </c>
      <c r="AM9" s="295">
        <f>'Произв.затраты'!AN17</f>
        <v>19204.10663</v>
      </c>
      <c r="AN9" s="295">
        <f>'Произв.затраты'!AO17</f>
        <v>235883.9994</v>
      </c>
      <c r="AO9" s="295">
        <f>'Произв.затраты'!AP17</f>
        <v>240864.7197</v>
      </c>
      <c r="AP9" s="295">
        <f>'Произв.затраты'!AQ17</f>
        <v>246523.7548</v>
      </c>
      <c r="AQ9" s="295">
        <f>'Произв.затраты'!AR17</f>
        <v>252939.8832</v>
      </c>
      <c r="AR9" s="295">
        <f>'Произв.затраты'!AS17</f>
        <v>260201.0425</v>
      </c>
      <c r="AS9" s="295">
        <f>'Произв.затраты'!AT17</f>
        <v>268405.3953</v>
      </c>
      <c r="AT9" s="295">
        <f>'Произв.затраты'!AU17</f>
        <v>277662.5195</v>
      </c>
      <c r="AU9" s="295">
        <f>'Произв.затраты'!AV17</f>
        <v>288094.7369</v>
      </c>
      <c r="AV9" s="295">
        <f>'Произв.затраты'!AW17</f>
        <v>299838.5962</v>
      </c>
      <c r="AW9" s="295">
        <f>'Произв.затраты'!AX17</f>
        <v>313046.5299</v>
      </c>
      <c r="AX9" s="295">
        <f>'Произв.затраты'!AY17</f>
        <v>327888.703</v>
      </c>
      <c r="AY9" s="295">
        <f>'Произв.затраты'!AZ17</f>
        <v>344555.0778</v>
      </c>
      <c r="AZ9" s="295">
        <f>'Произв.затраты'!BA17</f>
        <v>363397.4975</v>
      </c>
      <c r="BA9" s="295">
        <f>'Произв.затраты'!BB17</f>
        <v>385143.4314</v>
      </c>
      <c r="BB9" s="295">
        <f>'Произв.затраты'!BC17</f>
        <v>409523.6783</v>
      </c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</row>
    <row r="10" ht="12.75" customHeight="1" outlineLevel="1">
      <c r="A10" s="2" t="str">
        <f>'Произв.затраты'!B8</f>
        <v>Амортизационные отчисления</v>
      </c>
      <c r="B10" s="26">
        <f>'Произв.затраты'!C8</f>
        <v>14417.24594</v>
      </c>
      <c r="C10" s="26">
        <f>'Произв.затраты'!D8</f>
        <v>14417.24594</v>
      </c>
      <c r="D10" s="26">
        <f>'Произв.затраты'!E8</f>
        <v>14417.24594</v>
      </c>
      <c r="E10" s="26">
        <f>'Произв.затраты'!F8</f>
        <v>14417.24594</v>
      </c>
      <c r="F10" s="26">
        <f>'Произв.затраты'!G8</f>
        <v>14417.24594</v>
      </c>
      <c r="G10" s="26">
        <f>'Произв.затраты'!H8</f>
        <v>14417.24594</v>
      </c>
      <c r="H10" s="26">
        <f>'Произв.затраты'!I8</f>
        <v>14417.24594</v>
      </c>
      <c r="I10" s="26">
        <f>'Произв.затраты'!J8</f>
        <v>14417.24594</v>
      </c>
      <c r="J10" s="26">
        <f>'Произв.затраты'!K8</f>
        <v>14417.24594</v>
      </c>
      <c r="K10" s="26">
        <f>'Произв.затраты'!L8</f>
        <v>14417.24594</v>
      </c>
      <c r="L10" s="26">
        <f>'Произв.затраты'!M8</f>
        <v>14417.24594</v>
      </c>
      <c r="M10" s="26">
        <f>'Произв.затраты'!N8</f>
        <v>14417.24594</v>
      </c>
      <c r="N10" s="26">
        <f>'Произв.затраты'!O8</f>
        <v>173006.9512</v>
      </c>
      <c r="O10" s="26">
        <f>'Произв.затраты'!P8</f>
        <v>14417.24594</v>
      </c>
      <c r="P10" s="26">
        <f>'Произв.затраты'!Q8</f>
        <v>14417.24594</v>
      </c>
      <c r="Q10" s="26">
        <f>'Произв.затраты'!R8</f>
        <v>14417.24594</v>
      </c>
      <c r="R10" s="26">
        <f>'Произв.затраты'!S8</f>
        <v>14417.24594</v>
      </c>
      <c r="S10" s="26">
        <f>'Произв.затраты'!T8</f>
        <v>14417.24594</v>
      </c>
      <c r="T10" s="26">
        <f>'Произв.затраты'!U8</f>
        <v>14417.24594</v>
      </c>
      <c r="U10" s="26">
        <f>'Произв.затраты'!V8</f>
        <v>14417.24594</v>
      </c>
      <c r="V10" s="26">
        <f>'Произв.затраты'!W8</f>
        <v>14417.24594</v>
      </c>
      <c r="W10" s="26">
        <f>'Произв.затраты'!X8</f>
        <v>14417.24594</v>
      </c>
      <c r="X10" s="26">
        <f>'Произв.затраты'!Y8</f>
        <v>14417.24594</v>
      </c>
      <c r="Y10" s="26">
        <f>'Произв.затраты'!Z8</f>
        <v>14417.24594</v>
      </c>
      <c r="Z10" s="26">
        <f>'Произв.затраты'!AA8</f>
        <v>14417.24594</v>
      </c>
      <c r="AA10" s="26">
        <f>'Произв.затраты'!AB8</f>
        <v>173006.9512</v>
      </c>
      <c r="AB10" s="26">
        <f>'Произв.затраты'!AC8</f>
        <v>14417.24594</v>
      </c>
      <c r="AC10" s="26">
        <f>'Произв.затраты'!AD8</f>
        <v>14417.24594</v>
      </c>
      <c r="AD10" s="26">
        <f>'Произв.затраты'!AE8</f>
        <v>14417.24594</v>
      </c>
      <c r="AE10" s="26">
        <f>'Произв.затраты'!AF8</f>
        <v>14417.24594</v>
      </c>
      <c r="AF10" s="26">
        <f>'Произв.затраты'!AG8</f>
        <v>14417.24594</v>
      </c>
      <c r="AG10" s="26">
        <f>'Произв.затраты'!AH8</f>
        <v>14417.24594</v>
      </c>
      <c r="AH10" s="26">
        <f>'Произв.затраты'!AI8</f>
        <v>14417.24594</v>
      </c>
      <c r="AI10" s="26">
        <f>'Произв.затраты'!AJ8</f>
        <v>14417.24594</v>
      </c>
      <c r="AJ10" s="26">
        <f>'Произв.затраты'!AK8</f>
        <v>14417.24594</v>
      </c>
      <c r="AK10" s="26">
        <f>'Произв.затраты'!AL8</f>
        <v>14417.24594</v>
      </c>
      <c r="AL10" s="26">
        <f>'Произв.затраты'!AM8</f>
        <v>14417.24594</v>
      </c>
      <c r="AM10" s="26">
        <f>'Произв.затраты'!AN8</f>
        <v>14417.24594</v>
      </c>
      <c r="AN10" s="26">
        <f>'Произв.затраты'!AO8</f>
        <v>173006.9512</v>
      </c>
      <c r="AO10" s="26">
        <f>'Произв.затраты'!AP8</f>
        <v>173006.9512</v>
      </c>
      <c r="AP10" s="26">
        <f>'Произв.затраты'!AQ8</f>
        <v>173006.9512</v>
      </c>
      <c r="AQ10" s="26">
        <f>'Произв.затраты'!AR8</f>
        <v>173006.9512</v>
      </c>
      <c r="AR10" s="26">
        <f>'Произв.затраты'!AS8</f>
        <v>173006.9512</v>
      </c>
      <c r="AS10" s="26">
        <f>'Произв.затраты'!AT8</f>
        <v>173006.9512</v>
      </c>
      <c r="AT10" s="26">
        <f>'Произв.затраты'!AU8</f>
        <v>173006.9512</v>
      </c>
      <c r="AU10" s="26">
        <f>'Произв.затраты'!AV8</f>
        <v>173006.9512</v>
      </c>
      <c r="AV10" s="26">
        <f>'Произв.затраты'!AW8</f>
        <v>173006.9512</v>
      </c>
      <c r="AW10" s="26">
        <f>'Произв.затраты'!AX8</f>
        <v>173006.9512</v>
      </c>
      <c r="AX10" s="26">
        <f>'Произв.затраты'!AY8</f>
        <v>173006.9512</v>
      </c>
      <c r="AY10" s="26">
        <f>'Произв.затраты'!AZ8</f>
        <v>173006.9512</v>
      </c>
      <c r="AZ10" s="26">
        <f>'Произв.затраты'!BA8</f>
        <v>173006.9512</v>
      </c>
      <c r="BA10" s="26">
        <f>'Произв.затраты'!BB8</f>
        <v>173006.9512</v>
      </c>
      <c r="BB10" s="26">
        <f>'Произв.затраты'!BC8</f>
        <v>173006.9512</v>
      </c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</row>
    <row r="11" ht="12.75" customHeight="1" outlineLevel="1">
      <c r="A11" s="2" t="str">
        <f>'Произв.затраты'!B9</f>
        <v>Текущий ремонт оборудования</v>
      </c>
      <c r="B11" s="26">
        <f>'Произв.затраты'!C9</f>
        <v>194.0534807</v>
      </c>
      <c r="C11" s="26">
        <f>'Произв.затраты'!D9</f>
        <v>194.0534807</v>
      </c>
      <c r="D11" s="26">
        <f>'Произв.затраты'!E9</f>
        <v>194.0534807</v>
      </c>
      <c r="E11" s="26">
        <f>'Произв.затраты'!F9</f>
        <v>194.0534807</v>
      </c>
      <c r="F11" s="26">
        <f>'Произв.затраты'!G9</f>
        <v>194.0534807</v>
      </c>
      <c r="G11" s="26">
        <f>'Произв.затраты'!H9</f>
        <v>194.0534807</v>
      </c>
      <c r="H11" s="26">
        <f>'Произв.затраты'!I9</f>
        <v>194.0534807</v>
      </c>
      <c r="I11" s="26">
        <f>'Произв.затраты'!J9</f>
        <v>194.0534807</v>
      </c>
      <c r="J11" s="26">
        <f>'Произв.затраты'!K9</f>
        <v>194.0534807</v>
      </c>
      <c r="K11" s="26">
        <f>'Произв.затраты'!L9</f>
        <v>194.0534807</v>
      </c>
      <c r="L11" s="26">
        <f>'Произв.затраты'!M9</f>
        <v>194.0534807</v>
      </c>
      <c r="M11" s="26">
        <f>'Произв.затраты'!N9</f>
        <v>194.0534807</v>
      </c>
      <c r="N11" s="26">
        <f>'Произв.затраты'!O9</f>
        <v>2328.641768</v>
      </c>
      <c r="O11" s="26">
        <f>'Произв.затраты'!P9</f>
        <v>216.7577379</v>
      </c>
      <c r="P11" s="26">
        <f>'Произв.затраты'!Q9</f>
        <v>216.7577379</v>
      </c>
      <c r="Q11" s="26">
        <f>'Произв.затраты'!R9</f>
        <v>216.7577379</v>
      </c>
      <c r="R11" s="26">
        <f>'Произв.затраты'!S9</f>
        <v>216.7577379</v>
      </c>
      <c r="S11" s="26">
        <f>'Произв.затраты'!T9</f>
        <v>216.7577379</v>
      </c>
      <c r="T11" s="26">
        <f>'Произв.затраты'!U9</f>
        <v>216.7577379</v>
      </c>
      <c r="U11" s="26">
        <f>'Произв.затраты'!V9</f>
        <v>216.7577379</v>
      </c>
      <c r="V11" s="26">
        <f>'Произв.затраты'!W9</f>
        <v>216.7577379</v>
      </c>
      <c r="W11" s="26">
        <f>'Произв.затраты'!X9</f>
        <v>216.7577379</v>
      </c>
      <c r="X11" s="26">
        <f>'Произв.затраты'!Y9</f>
        <v>216.7577379</v>
      </c>
      <c r="Y11" s="26">
        <f>'Произв.затраты'!Z9</f>
        <v>216.7577379</v>
      </c>
      <c r="Z11" s="26">
        <f>'Произв.затраты'!AA9</f>
        <v>216.7577379</v>
      </c>
      <c r="AA11" s="26">
        <f>'Произв.затраты'!AB9</f>
        <v>2601.092855</v>
      </c>
      <c r="AB11" s="26">
        <f>'Произв.затраты'!AC9</f>
        <v>242.1183932</v>
      </c>
      <c r="AC11" s="26">
        <f>'Произв.затраты'!AD9</f>
        <v>242.1183932</v>
      </c>
      <c r="AD11" s="26">
        <f>'Произв.затраты'!AE9</f>
        <v>242.1183932</v>
      </c>
      <c r="AE11" s="26">
        <f>'Произв.затраты'!AF9</f>
        <v>242.1183932</v>
      </c>
      <c r="AF11" s="26">
        <f>'Произв.затраты'!AG9</f>
        <v>242.1183932</v>
      </c>
      <c r="AG11" s="26">
        <f>'Произв.затраты'!AH9</f>
        <v>242.1183932</v>
      </c>
      <c r="AH11" s="26">
        <f>'Произв.затраты'!AI9</f>
        <v>242.1183932</v>
      </c>
      <c r="AI11" s="26">
        <f>'Произв.затраты'!AJ9</f>
        <v>242.1183932</v>
      </c>
      <c r="AJ11" s="26">
        <f>'Произв.затраты'!AK9</f>
        <v>242.1183932</v>
      </c>
      <c r="AK11" s="26">
        <f>'Произв.затраты'!AL9</f>
        <v>242.1183932</v>
      </c>
      <c r="AL11" s="26">
        <f>'Произв.затраты'!AM9</f>
        <v>242.1183932</v>
      </c>
      <c r="AM11" s="26">
        <f>'Произв.затраты'!AN9</f>
        <v>242.1183932</v>
      </c>
      <c r="AN11" s="26">
        <f>'Произв.затраты'!AO9</f>
        <v>2905.420719</v>
      </c>
      <c r="AO11" s="26">
        <f>'Произв.затраты'!AP9</f>
        <v>3245.354943</v>
      </c>
      <c r="AP11" s="26">
        <f>'Произв.затраты'!AQ9</f>
        <v>3625.061471</v>
      </c>
      <c r="AQ11" s="26">
        <f>'Произв.затраты'!AR9</f>
        <v>4049.193663</v>
      </c>
      <c r="AR11" s="26">
        <f>'Произв.затраты'!AS9</f>
        <v>4522.949322</v>
      </c>
      <c r="AS11" s="26">
        <f>'Произв.затраты'!AT9</f>
        <v>5052.134393</v>
      </c>
      <c r="AT11" s="26">
        <f>'Произв.затраты'!AU9</f>
        <v>5643.234117</v>
      </c>
      <c r="AU11" s="26">
        <f>'Произв.затраты'!AV9</f>
        <v>6303.492508</v>
      </c>
      <c r="AV11" s="26">
        <f>'Произв.затраты'!AW9</f>
        <v>7041.001132</v>
      </c>
      <c r="AW11" s="26">
        <f>'Произв.затраты'!AX9</f>
        <v>7864.798264</v>
      </c>
      <c r="AX11" s="26">
        <f>'Произв.затраты'!AY9</f>
        <v>8784.979661</v>
      </c>
      <c r="AY11" s="26">
        <f>'Произв.затраты'!AZ9</f>
        <v>9812.822282</v>
      </c>
      <c r="AZ11" s="26">
        <f>'Произв.затраты'!BA9</f>
        <v>10960.92249</v>
      </c>
      <c r="BA11" s="26">
        <f>'Произв.затраты'!BB9</f>
        <v>12243.35042</v>
      </c>
      <c r="BB11" s="26">
        <f>'Произв.затраты'!BC9</f>
        <v>13675.82242</v>
      </c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</row>
    <row r="12" ht="12.75" customHeight="1" outlineLevel="1">
      <c r="A12" s="2" t="str">
        <f>'Произв.затраты'!B10</f>
        <v>Электроэнергия на объекте</v>
      </c>
      <c r="B12" s="26">
        <f>'Произв.затраты'!C10</f>
        <v>99.05511624</v>
      </c>
      <c r="C12" s="26">
        <f>'Произв.затраты'!D10</f>
        <v>99.05511624</v>
      </c>
      <c r="D12" s="26">
        <f>'Произв.затраты'!E10</f>
        <v>99.05511624</v>
      </c>
      <c r="E12" s="26">
        <f>'Произв.затраты'!F10</f>
        <v>99.05511624</v>
      </c>
      <c r="F12" s="26">
        <f>'Произв.затраты'!G10</f>
        <v>99.05511624</v>
      </c>
      <c r="G12" s="26">
        <f>'Произв.затраты'!H10</f>
        <v>99.05511624</v>
      </c>
      <c r="H12" s="26">
        <f>'Произв.затраты'!I10</f>
        <v>99.05511624</v>
      </c>
      <c r="I12" s="26">
        <f>'Произв.затраты'!J10</f>
        <v>99.05511624</v>
      </c>
      <c r="J12" s="26">
        <f>'Произв.затраты'!K10</f>
        <v>99.05511624</v>
      </c>
      <c r="K12" s="26">
        <f>'Произв.затраты'!L10</f>
        <v>99.05511624</v>
      </c>
      <c r="L12" s="26">
        <f>'Произв.затраты'!M10</f>
        <v>99.05511624</v>
      </c>
      <c r="M12" s="26">
        <f>'Произв.затраты'!N10</f>
        <v>99.05511624</v>
      </c>
      <c r="N12" s="26">
        <f>'Произв.затраты'!O10</f>
        <v>1188.661395</v>
      </c>
      <c r="O12" s="26">
        <f>'Произв.затраты'!P10</f>
        <v>110.6445648</v>
      </c>
      <c r="P12" s="26">
        <f>'Произв.затраты'!Q10</f>
        <v>110.6445648</v>
      </c>
      <c r="Q12" s="26">
        <f>'Произв.затраты'!R10</f>
        <v>110.6445648</v>
      </c>
      <c r="R12" s="26">
        <f>'Произв.затраты'!S10</f>
        <v>110.6445648</v>
      </c>
      <c r="S12" s="26">
        <f>'Произв.затраты'!T10</f>
        <v>110.6445648</v>
      </c>
      <c r="T12" s="26">
        <f>'Произв.затраты'!U10</f>
        <v>110.6445648</v>
      </c>
      <c r="U12" s="26">
        <f>'Произв.затраты'!V10</f>
        <v>110.6445648</v>
      </c>
      <c r="V12" s="26">
        <f>'Произв.затраты'!W10</f>
        <v>110.6445648</v>
      </c>
      <c r="W12" s="26">
        <f>'Произв.затраты'!X10</f>
        <v>110.6445648</v>
      </c>
      <c r="X12" s="26">
        <f>'Произв.затраты'!Y10</f>
        <v>110.6445648</v>
      </c>
      <c r="Y12" s="26">
        <f>'Произв.затраты'!Z10</f>
        <v>110.6445648</v>
      </c>
      <c r="Z12" s="26">
        <f>'Произв.затраты'!AA10</f>
        <v>110.6445648</v>
      </c>
      <c r="AA12" s="26">
        <f>'Произв.затраты'!AB10</f>
        <v>1327.734778</v>
      </c>
      <c r="AB12" s="26">
        <f>'Произв.затраты'!AC10</f>
        <v>123.5899789</v>
      </c>
      <c r="AC12" s="26">
        <f>'Произв.затраты'!AD10</f>
        <v>123.5899789</v>
      </c>
      <c r="AD12" s="26">
        <f>'Произв.затраты'!AE10</f>
        <v>123.5899789</v>
      </c>
      <c r="AE12" s="26">
        <f>'Произв.затраты'!AF10</f>
        <v>123.5899789</v>
      </c>
      <c r="AF12" s="26">
        <f>'Произв.затраты'!AG10</f>
        <v>123.5899789</v>
      </c>
      <c r="AG12" s="26">
        <f>'Произв.затраты'!AH10</f>
        <v>123.5899789</v>
      </c>
      <c r="AH12" s="26">
        <f>'Произв.затраты'!AI10</f>
        <v>123.5899789</v>
      </c>
      <c r="AI12" s="26">
        <f>'Произв.затраты'!AJ10</f>
        <v>123.5899789</v>
      </c>
      <c r="AJ12" s="26">
        <f>'Произв.затраты'!AK10</f>
        <v>123.5899789</v>
      </c>
      <c r="AK12" s="26">
        <f>'Произв.затраты'!AL10</f>
        <v>123.5899789</v>
      </c>
      <c r="AL12" s="26">
        <f>'Произв.затраты'!AM10</f>
        <v>123.5899789</v>
      </c>
      <c r="AM12" s="26">
        <f>'Произв.затраты'!AN10</f>
        <v>123.5899789</v>
      </c>
      <c r="AN12" s="26">
        <f>'Произв.затраты'!AO10</f>
        <v>1483.079747</v>
      </c>
      <c r="AO12" s="26">
        <f>'Произв.затраты'!AP10</f>
        <v>1656.600078</v>
      </c>
      <c r="AP12" s="26">
        <f>'Произв.затраты'!AQ10</f>
        <v>1850.422287</v>
      </c>
      <c r="AQ12" s="26">
        <f>'Произв.затраты'!AR10</f>
        <v>2066.921694</v>
      </c>
      <c r="AR12" s="26">
        <f>'Произв.затраты'!AS10</f>
        <v>2308.751532</v>
      </c>
      <c r="AS12" s="26">
        <f>'Произв.затраты'!AT10</f>
        <v>2578.875462</v>
      </c>
      <c r="AT12" s="26">
        <f>'Произв.затраты'!AU10</f>
        <v>2880.603891</v>
      </c>
      <c r="AU12" s="26">
        <f>'Произв.затраты'!AV10</f>
        <v>3217.634546</v>
      </c>
      <c r="AV12" s="26">
        <f>'Произв.затраты'!AW10</f>
        <v>3594.097788</v>
      </c>
      <c r="AW12" s="26">
        <f>'Произв.затраты'!AX10</f>
        <v>4014.607229</v>
      </c>
      <c r="AX12" s="26">
        <f>'Произв.затраты'!AY10</f>
        <v>4484.316275</v>
      </c>
      <c r="AY12" s="26">
        <f>'Произв.затраты'!AZ10</f>
        <v>5008.981279</v>
      </c>
      <c r="AZ12" s="26">
        <f>'Произв.затраты'!BA10</f>
        <v>5595.032088</v>
      </c>
      <c r="BA12" s="26">
        <f>'Произв.затраты'!BB10</f>
        <v>6249.650843</v>
      </c>
      <c r="BB12" s="26">
        <f>'Произв.затраты'!BC10</f>
        <v>6980.859991</v>
      </c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</row>
    <row r="13" ht="12.75" customHeight="1" outlineLevel="1">
      <c r="A13" s="2" t="str">
        <f>'Произв.затраты'!B11</f>
        <v>Налог на имущество</v>
      </c>
      <c r="B13" s="26">
        <f>'Произв.затраты'!C11</f>
        <v>1008.286568</v>
      </c>
      <c r="C13" s="26">
        <f>'Произв.затраты'!D11</f>
        <v>1008.286568</v>
      </c>
      <c r="D13" s="26">
        <f>'Произв.затраты'!E11</f>
        <v>1008.286568</v>
      </c>
      <c r="E13" s="26">
        <f>'Произв.затраты'!F11</f>
        <v>1008.286568</v>
      </c>
      <c r="F13" s="26">
        <f>'Произв.затраты'!G11</f>
        <v>1008.286568</v>
      </c>
      <c r="G13" s="26">
        <f>'Произв.затраты'!H11</f>
        <v>1008.286568</v>
      </c>
      <c r="H13" s="26">
        <f>'Произв.затраты'!I11</f>
        <v>1008.286568</v>
      </c>
      <c r="I13" s="26">
        <f>'Произв.затраты'!J11</f>
        <v>1008.286568</v>
      </c>
      <c r="J13" s="26">
        <f>'Произв.затраты'!K11</f>
        <v>1008.286568</v>
      </c>
      <c r="K13" s="26">
        <f>'Произв.затраты'!L11</f>
        <v>1008.286568</v>
      </c>
      <c r="L13" s="26">
        <f>'Произв.затраты'!M11</f>
        <v>1008.286568</v>
      </c>
      <c r="M13" s="26">
        <f>'Произв.затраты'!N11</f>
        <v>1008.286568</v>
      </c>
      <c r="N13" s="26">
        <f>'Произв.затраты'!O11</f>
        <v>12099.43881</v>
      </c>
      <c r="O13" s="26">
        <f>'Произв.затраты'!P11</f>
        <v>936.0115515</v>
      </c>
      <c r="P13" s="26">
        <f>'Произв.затраты'!Q11</f>
        <v>936.0115515</v>
      </c>
      <c r="Q13" s="26">
        <f>'Произв.затраты'!R11</f>
        <v>936.0115515</v>
      </c>
      <c r="R13" s="26">
        <f>'Произв.затраты'!S11</f>
        <v>936.0115515</v>
      </c>
      <c r="S13" s="26">
        <f>'Произв.затраты'!T11</f>
        <v>936.0115515</v>
      </c>
      <c r="T13" s="26">
        <f>'Произв.затраты'!U11</f>
        <v>936.0115515</v>
      </c>
      <c r="U13" s="26">
        <f>'Произв.затраты'!V11</f>
        <v>936.0115515</v>
      </c>
      <c r="V13" s="26">
        <f>'Произв.затраты'!W11</f>
        <v>936.0115515</v>
      </c>
      <c r="W13" s="26">
        <f>'Произв.затраты'!X11</f>
        <v>936.0115515</v>
      </c>
      <c r="X13" s="26">
        <f>'Произв.затраты'!Y11</f>
        <v>936.0115515</v>
      </c>
      <c r="Y13" s="26">
        <f>'Произв.затраты'!Z11</f>
        <v>936.0115515</v>
      </c>
      <c r="Z13" s="26">
        <f>'Произв.затраты'!AA11</f>
        <v>936.0115515</v>
      </c>
      <c r="AA13" s="26">
        <f>'Произв.затраты'!AB11</f>
        <v>11232.13862</v>
      </c>
      <c r="AB13" s="26">
        <f>'Произв.затраты'!AC11</f>
        <v>863.7365354</v>
      </c>
      <c r="AC13" s="26">
        <f>'Произв.затраты'!AD11</f>
        <v>863.7365354</v>
      </c>
      <c r="AD13" s="26">
        <f>'Произв.затраты'!AE11</f>
        <v>863.7365354</v>
      </c>
      <c r="AE13" s="26">
        <f>'Произв.затраты'!AF11</f>
        <v>863.7365354</v>
      </c>
      <c r="AF13" s="26">
        <f>'Произв.затраты'!AG11</f>
        <v>863.7365354</v>
      </c>
      <c r="AG13" s="26">
        <f>'Произв.затраты'!AH11</f>
        <v>863.7365354</v>
      </c>
      <c r="AH13" s="26">
        <f>'Произв.затраты'!AI11</f>
        <v>863.7365354</v>
      </c>
      <c r="AI13" s="26">
        <f>'Произв.затраты'!AJ11</f>
        <v>863.7365354</v>
      </c>
      <c r="AJ13" s="26">
        <f>'Произв.затраты'!AK11</f>
        <v>863.7365354</v>
      </c>
      <c r="AK13" s="26">
        <f>'Произв.затраты'!AL11</f>
        <v>863.7365354</v>
      </c>
      <c r="AL13" s="26">
        <f>'Произв.затраты'!AM11</f>
        <v>863.7365354</v>
      </c>
      <c r="AM13" s="26">
        <f>'Произв.затраты'!AN11</f>
        <v>863.7365354</v>
      </c>
      <c r="AN13" s="26">
        <f>'Произв.затраты'!AO11</f>
        <v>10364.83842</v>
      </c>
      <c r="AO13" s="26">
        <f>'Произв.затраты'!AP11</f>
        <v>9497.538231</v>
      </c>
      <c r="AP13" s="26">
        <f>'Произв.затраты'!AQ11</f>
        <v>8630.238038</v>
      </c>
      <c r="AQ13" s="26">
        <f>'Произв.затраты'!AR11</f>
        <v>7762.937845</v>
      </c>
      <c r="AR13" s="26">
        <f>'Произв.затраты'!AS11</f>
        <v>6895.637651</v>
      </c>
      <c r="AS13" s="26">
        <f>'Произв.затраты'!AT11</f>
        <v>6028.337458</v>
      </c>
      <c r="AT13" s="26">
        <f>'Произв.затраты'!AU11</f>
        <v>5161.037265</v>
      </c>
      <c r="AU13" s="26">
        <f>'Произв.затраты'!AV11</f>
        <v>4293.737072</v>
      </c>
      <c r="AV13" s="26">
        <f>'Произв.затраты'!AW11</f>
        <v>3426.436878</v>
      </c>
      <c r="AW13" s="26">
        <f>'Произв.затраты'!AX11</f>
        <v>2559.136685</v>
      </c>
      <c r="AX13" s="26">
        <f>'Произв.затраты'!AY11</f>
        <v>1691.836492</v>
      </c>
      <c r="AY13" s="26">
        <f>'Произв.затраты'!AZ11</f>
        <v>824.5362987</v>
      </c>
      <c r="AZ13" s="26">
        <f>'Произв.затраты'!BA11</f>
        <v>97.01476699</v>
      </c>
      <c r="BA13" s="26">
        <f>'Произв.затраты'!BB11</f>
        <v>0</v>
      </c>
      <c r="BB13" s="26">
        <f>'Произв.затраты'!BC11</f>
        <v>0</v>
      </c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</row>
    <row r="14" ht="12.75" customHeight="1" outlineLevel="1">
      <c r="A14" s="2" t="str">
        <f>'Произв.затраты'!B12</f>
        <v>Земельный налог</v>
      </c>
      <c r="B14" s="26">
        <f>'Произв.затраты'!C12</f>
        <v>8.624583333</v>
      </c>
      <c r="C14" s="26">
        <f>'Произв.затраты'!D12</f>
        <v>8.624583333</v>
      </c>
      <c r="D14" s="26">
        <f>'Произв.затраты'!E12</f>
        <v>8.624583333</v>
      </c>
      <c r="E14" s="26">
        <f>'Произв.затраты'!F12</f>
        <v>8.624583333</v>
      </c>
      <c r="F14" s="26">
        <f>'Произв.затраты'!G12</f>
        <v>8.624583333</v>
      </c>
      <c r="G14" s="26">
        <f>'Произв.затраты'!H12</f>
        <v>8.624583333</v>
      </c>
      <c r="H14" s="26">
        <f>'Произв.затраты'!I12</f>
        <v>8.624583333</v>
      </c>
      <c r="I14" s="26">
        <f>'Произв.затраты'!J12</f>
        <v>8.624583333</v>
      </c>
      <c r="J14" s="26">
        <f>'Произв.затраты'!K12</f>
        <v>8.624583333</v>
      </c>
      <c r="K14" s="26">
        <f>'Произв.затраты'!L12</f>
        <v>8.624583333</v>
      </c>
      <c r="L14" s="26">
        <f>'Произв.затраты'!M12</f>
        <v>8.624583333</v>
      </c>
      <c r="M14" s="26">
        <f>'Произв.затраты'!N12</f>
        <v>8.624583333</v>
      </c>
      <c r="N14" s="26">
        <f>'Произв.затраты'!O12</f>
        <v>103.495</v>
      </c>
      <c r="O14" s="26">
        <f>'Произв.затраты'!P12</f>
        <v>8.624583333</v>
      </c>
      <c r="P14" s="26">
        <f>'Произв.затраты'!Q12</f>
        <v>8.624583333</v>
      </c>
      <c r="Q14" s="26">
        <f>'Произв.затраты'!R12</f>
        <v>8.624583333</v>
      </c>
      <c r="R14" s="26">
        <f>'Произв.затраты'!S12</f>
        <v>8.624583333</v>
      </c>
      <c r="S14" s="26">
        <f>'Произв.затраты'!T12</f>
        <v>8.624583333</v>
      </c>
      <c r="T14" s="26">
        <f>'Произв.затраты'!U12</f>
        <v>8.624583333</v>
      </c>
      <c r="U14" s="26">
        <f>'Произв.затраты'!V12</f>
        <v>8.624583333</v>
      </c>
      <c r="V14" s="26">
        <f>'Произв.затраты'!W12</f>
        <v>8.624583333</v>
      </c>
      <c r="W14" s="26">
        <f>'Произв.затраты'!X12</f>
        <v>8.624583333</v>
      </c>
      <c r="X14" s="26">
        <f>'Произв.затраты'!Y12</f>
        <v>8.624583333</v>
      </c>
      <c r="Y14" s="26">
        <f>'Произв.затраты'!Z12</f>
        <v>8.624583333</v>
      </c>
      <c r="Z14" s="26">
        <f>'Произв.затраты'!AA12</f>
        <v>8.624583333</v>
      </c>
      <c r="AA14" s="26">
        <f>'Произв.затраты'!AB12</f>
        <v>103.495</v>
      </c>
      <c r="AB14" s="26">
        <f>'Произв.затраты'!AC12</f>
        <v>8.624583333</v>
      </c>
      <c r="AC14" s="26">
        <f>'Произв.затраты'!AD12</f>
        <v>8.624583333</v>
      </c>
      <c r="AD14" s="26">
        <f>'Произв.затраты'!AE12</f>
        <v>8.624583333</v>
      </c>
      <c r="AE14" s="26">
        <f>'Произв.затраты'!AF12</f>
        <v>8.624583333</v>
      </c>
      <c r="AF14" s="26">
        <f>'Произв.затраты'!AG12</f>
        <v>8.624583333</v>
      </c>
      <c r="AG14" s="26">
        <f>'Произв.затраты'!AH12</f>
        <v>8.624583333</v>
      </c>
      <c r="AH14" s="26">
        <f>'Произв.затраты'!AI12</f>
        <v>8.624583333</v>
      </c>
      <c r="AI14" s="26">
        <f>'Произв.затраты'!AJ12</f>
        <v>8.624583333</v>
      </c>
      <c r="AJ14" s="26">
        <f>'Произв.затраты'!AK12</f>
        <v>8.624583333</v>
      </c>
      <c r="AK14" s="26">
        <f>'Произв.затраты'!AL12</f>
        <v>8.624583333</v>
      </c>
      <c r="AL14" s="26">
        <f>'Произв.затраты'!AM12</f>
        <v>8.624583333</v>
      </c>
      <c r="AM14" s="26">
        <f>'Произв.затраты'!AN12</f>
        <v>8.624583333</v>
      </c>
      <c r="AN14" s="26">
        <f>'Произв.затраты'!AO12</f>
        <v>103.495</v>
      </c>
      <c r="AO14" s="26">
        <f>'Произв.затраты'!AP12</f>
        <v>103.495</v>
      </c>
      <c r="AP14" s="26">
        <f>'Произв.затраты'!AQ12</f>
        <v>103.495</v>
      </c>
      <c r="AQ14" s="26">
        <f>'Произв.затраты'!AR12</f>
        <v>103.495</v>
      </c>
      <c r="AR14" s="26">
        <f>'Произв.затраты'!AS12</f>
        <v>103.495</v>
      </c>
      <c r="AS14" s="26">
        <f>'Произв.затраты'!AT12</f>
        <v>103.495</v>
      </c>
      <c r="AT14" s="26">
        <f>'Произв.затраты'!AU12</f>
        <v>103.495</v>
      </c>
      <c r="AU14" s="26">
        <f>'Произв.затраты'!AV12</f>
        <v>103.495</v>
      </c>
      <c r="AV14" s="26">
        <f>'Произв.затраты'!AW12</f>
        <v>103.495</v>
      </c>
      <c r="AW14" s="26">
        <f>'Произв.затраты'!AX12</f>
        <v>103.495</v>
      </c>
      <c r="AX14" s="26">
        <f>'Произв.затраты'!AY12</f>
        <v>103.495</v>
      </c>
      <c r="AY14" s="26">
        <f>'Произв.затраты'!AZ12</f>
        <v>103.495</v>
      </c>
      <c r="AZ14" s="26">
        <f>'Произв.затраты'!BA12</f>
        <v>103.495</v>
      </c>
      <c r="BA14" s="26">
        <f>'Произв.затраты'!BB12</f>
        <v>103.495</v>
      </c>
      <c r="BB14" s="26">
        <f>'Произв.затраты'!BC12</f>
        <v>103.495</v>
      </c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</row>
    <row r="15" ht="12.75" customHeight="1" outlineLevel="1">
      <c r="A15" s="2" t="str">
        <f>'Произв.затраты'!B13</f>
        <v>Плата за пользование водными ресурсами</v>
      </c>
      <c r="B15" s="26">
        <f>'Произв.затраты'!C13</f>
        <v>101.3177155</v>
      </c>
      <c r="C15" s="26">
        <f>'Произв.затраты'!D13</f>
        <v>85.99987246</v>
      </c>
      <c r="D15" s="26">
        <f>'Произв.затраты'!E13</f>
        <v>135.124722</v>
      </c>
      <c r="E15" s="26">
        <f>'Произв.затраты'!F13</f>
        <v>79.69087924</v>
      </c>
      <c r="F15" s="26">
        <f>'Произв.затраты'!G13</f>
        <v>181.1176373</v>
      </c>
      <c r="G15" s="26">
        <f>'Произв.затраты'!H13</f>
        <v>203.7773512</v>
      </c>
      <c r="H15" s="26">
        <f>'Произв.затраты'!I13</f>
        <v>253.9477714</v>
      </c>
      <c r="I15" s="26">
        <f>'Произв.затраты'!J13</f>
        <v>253.9477714</v>
      </c>
      <c r="J15" s="26">
        <f>'Произв.затраты'!K13</f>
        <v>209.8152369</v>
      </c>
      <c r="K15" s="26">
        <f>'Произв.затраты'!L13</f>
        <v>171.9354541</v>
      </c>
      <c r="L15" s="26">
        <f>'Произв.затраты'!M13</f>
        <v>134.8906653</v>
      </c>
      <c r="M15" s="26">
        <f>'Произв.затраты'!N13</f>
        <v>104.3967704</v>
      </c>
      <c r="N15" s="26">
        <f>'Произв.затраты'!O13</f>
        <v>1915.961847</v>
      </c>
      <c r="O15" s="26">
        <f>'Произв.затраты'!P13</f>
        <v>101.3177155</v>
      </c>
      <c r="P15" s="26">
        <f>'Произв.затраты'!Q13</f>
        <v>85.99987246</v>
      </c>
      <c r="Q15" s="26">
        <f>'Произв.затраты'!R13</f>
        <v>135.124722</v>
      </c>
      <c r="R15" s="26">
        <f>'Произв.затраты'!S13</f>
        <v>79.69087924</v>
      </c>
      <c r="S15" s="26">
        <f>'Произв.затраты'!T13</f>
        <v>181.1176373</v>
      </c>
      <c r="T15" s="26">
        <f>'Произв.затраты'!U13</f>
        <v>203.7773512</v>
      </c>
      <c r="U15" s="26">
        <f>'Произв.затраты'!V13</f>
        <v>253.9477714</v>
      </c>
      <c r="V15" s="26">
        <f>'Произв.затраты'!W13</f>
        <v>253.9477714</v>
      </c>
      <c r="W15" s="26">
        <f>'Произв.затраты'!X13</f>
        <v>209.8152369</v>
      </c>
      <c r="X15" s="26">
        <f>'Произв.затраты'!Y13</f>
        <v>171.9354541</v>
      </c>
      <c r="Y15" s="26">
        <f>'Произв.затраты'!Z13</f>
        <v>134.8906653</v>
      </c>
      <c r="Z15" s="26">
        <f>'Произв.затраты'!AA13</f>
        <v>104.3967704</v>
      </c>
      <c r="AA15" s="26">
        <f>'Произв.затраты'!AB13</f>
        <v>1915.961847</v>
      </c>
      <c r="AB15" s="26">
        <f>'Произв.затраты'!AC13</f>
        <v>101.3177155</v>
      </c>
      <c r="AC15" s="26">
        <f>'Произв.затраты'!AD13</f>
        <v>85.99987246</v>
      </c>
      <c r="AD15" s="26">
        <f>'Произв.затраты'!AE13</f>
        <v>135.124722</v>
      </c>
      <c r="AE15" s="26">
        <f>'Произв.затраты'!AF13</f>
        <v>79.69087924</v>
      </c>
      <c r="AF15" s="26">
        <f>'Произв.затраты'!AG13</f>
        <v>181.1176373</v>
      </c>
      <c r="AG15" s="26">
        <f>'Произв.затраты'!AH13</f>
        <v>203.7773512</v>
      </c>
      <c r="AH15" s="26">
        <f>'Произв.затраты'!AI13</f>
        <v>253.9477714</v>
      </c>
      <c r="AI15" s="26">
        <f>'Произв.затраты'!AJ13</f>
        <v>253.9477714</v>
      </c>
      <c r="AJ15" s="26">
        <f>'Произв.затраты'!AK13</f>
        <v>209.8152369</v>
      </c>
      <c r="AK15" s="26">
        <f>'Произв.затраты'!AL13</f>
        <v>171.9354541</v>
      </c>
      <c r="AL15" s="26">
        <f>'Произв.затраты'!AM13</f>
        <v>134.8906653</v>
      </c>
      <c r="AM15" s="26">
        <f>'Произв.затраты'!AN13</f>
        <v>104.3967704</v>
      </c>
      <c r="AN15" s="26">
        <f>'Произв.затраты'!AO13</f>
        <v>1915.961847</v>
      </c>
      <c r="AO15" s="26">
        <f>'Произв.затраты'!AP13</f>
        <v>1915.961847</v>
      </c>
      <c r="AP15" s="26">
        <f>'Произв.затраты'!AQ13</f>
        <v>1915.961847</v>
      </c>
      <c r="AQ15" s="26">
        <f>'Произв.затраты'!AR13</f>
        <v>1915.961847</v>
      </c>
      <c r="AR15" s="26">
        <f>'Произв.затраты'!AS13</f>
        <v>1915.961847</v>
      </c>
      <c r="AS15" s="26">
        <f>'Произв.затраты'!AT13</f>
        <v>1915.961847</v>
      </c>
      <c r="AT15" s="26">
        <f>'Произв.затраты'!AU13</f>
        <v>1915.961847</v>
      </c>
      <c r="AU15" s="26">
        <f>'Произв.затраты'!AV13</f>
        <v>1915.961847</v>
      </c>
      <c r="AV15" s="26">
        <f>'Произв.затраты'!AW13</f>
        <v>1915.961847</v>
      </c>
      <c r="AW15" s="26">
        <f>'Произв.затраты'!AX13</f>
        <v>1915.961847</v>
      </c>
      <c r="AX15" s="26">
        <f>'Произв.затраты'!AY13</f>
        <v>1915.961847</v>
      </c>
      <c r="AY15" s="26">
        <f>'Произв.затраты'!AZ13</f>
        <v>1915.961847</v>
      </c>
      <c r="AZ15" s="26">
        <f>'Произв.затраты'!BA13</f>
        <v>1915.961847</v>
      </c>
      <c r="BA15" s="26">
        <f>'Произв.затраты'!BB13</f>
        <v>1915.961847</v>
      </c>
      <c r="BB15" s="26">
        <f>'Произв.затраты'!BC13</f>
        <v>1915.961847</v>
      </c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</row>
    <row r="16" ht="12.75" customHeight="1" outlineLevel="1">
      <c r="A16" s="2" t="str">
        <f>'Произв.затраты'!B14</f>
        <v>Услуги диспетчеризации</v>
      </c>
      <c r="B16" s="26">
        <f>'Произв.затраты'!C14</f>
        <v>403.8026655</v>
      </c>
      <c r="C16" s="26">
        <f>'Произв.затраты'!D14</f>
        <v>382.8553963</v>
      </c>
      <c r="D16" s="26">
        <f>'Произв.затраты'!E14</f>
        <v>601.5500665</v>
      </c>
      <c r="E16" s="26">
        <f>'Произв.затраты'!F14</f>
        <v>354.7689349</v>
      </c>
      <c r="F16" s="26">
        <f>'Произв.затраты'!G14</f>
        <v>806.3019491</v>
      </c>
      <c r="G16" s="26">
        <f>'Произв.затраты'!H14</f>
        <v>907.1787703</v>
      </c>
      <c r="H16" s="26">
        <f>'Произв.затраты'!I14</f>
        <v>1130.528126</v>
      </c>
      <c r="I16" s="26">
        <f>'Произв.затраты'!J14</f>
        <v>1130.528126</v>
      </c>
      <c r="J16" s="26">
        <f>'Произв.затраты'!K14</f>
        <v>934.0583117</v>
      </c>
      <c r="K16" s="26">
        <f>'Произв.затраты'!L14</f>
        <v>765.4245816</v>
      </c>
      <c r="L16" s="26">
        <f>'Произв.затраты'!M14</f>
        <v>600.5080897</v>
      </c>
      <c r="M16" s="26">
        <f>'Произв.затраты'!N14</f>
        <v>464.7549555</v>
      </c>
      <c r="N16" s="26">
        <f>'Произв.затраты'!O14</f>
        <v>8482.259973</v>
      </c>
      <c r="O16" s="26">
        <f>'Произв.затраты'!P14</f>
        <v>451.0475774</v>
      </c>
      <c r="P16" s="26">
        <f>'Произв.затраты'!Q14</f>
        <v>427.6494776</v>
      </c>
      <c r="Q16" s="26">
        <f>'Произв.затраты'!R14</f>
        <v>671.9314243</v>
      </c>
      <c r="R16" s="26">
        <f>'Произв.затраты'!S14</f>
        <v>396.2769002</v>
      </c>
      <c r="S16" s="26">
        <f>'Произв.затраты'!T14</f>
        <v>900.6392771</v>
      </c>
      <c r="T16" s="26">
        <f>'Произв.затраты'!U14</f>
        <v>1013.318686</v>
      </c>
      <c r="U16" s="26">
        <f>'Произв.затраты'!V14</f>
        <v>1262.799917</v>
      </c>
      <c r="V16" s="26">
        <f>'Произв.затраты'!W14</f>
        <v>1262.799917</v>
      </c>
      <c r="W16" s="26">
        <f>'Произв.затраты'!X14</f>
        <v>1043.343134</v>
      </c>
      <c r="X16" s="26">
        <f>'Произв.затраты'!Y14</f>
        <v>854.9792577</v>
      </c>
      <c r="Y16" s="26">
        <f>'Произв.затраты'!Z14</f>
        <v>670.7675362</v>
      </c>
      <c r="Z16" s="26">
        <f>'Произв.затраты'!AA14</f>
        <v>519.1312853</v>
      </c>
      <c r="AA16" s="26">
        <f>'Произв.затраты'!AB14</f>
        <v>9474.68439</v>
      </c>
      <c r="AB16" s="26">
        <f>'Произв.затраты'!AC14</f>
        <v>503.8201439</v>
      </c>
      <c r="AC16" s="26">
        <f>'Произв.затраты'!AD14</f>
        <v>477.6844665</v>
      </c>
      <c r="AD16" s="26">
        <f>'Произв.затраты'!AE14</f>
        <v>750.547401</v>
      </c>
      <c r="AE16" s="26">
        <f>'Произв.затраты'!AF14</f>
        <v>442.6412976</v>
      </c>
      <c r="AF16" s="26">
        <f>'Произв.затраты'!AG14</f>
        <v>1006.014073</v>
      </c>
      <c r="AG16" s="26">
        <f>'Произв.затраты'!AH14</f>
        <v>1131.876973</v>
      </c>
      <c r="AH16" s="26">
        <f>'Произв.затраты'!AI14</f>
        <v>1410.547507</v>
      </c>
      <c r="AI16" s="26">
        <f>'Произв.затраты'!AJ14</f>
        <v>1410.547507</v>
      </c>
      <c r="AJ16" s="26">
        <f>'Произв.затраты'!AK14</f>
        <v>1165.414281</v>
      </c>
      <c r="AK16" s="26">
        <f>'Произв.затраты'!AL14</f>
        <v>955.0118308</v>
      </c>
      <c r="AL16" s="26">
        <f>'Произв.затраты'!AM14</f>
        <v>749.247338</v>
      </c>
      <c r="AM16" s="26">
        <f>'Произв.затраты'!AN14</f>
        <v>579.8696457</v>
      </c>
      <c r="AN16" s="26">
        <f>'Произв.затраты'!AO14</f>
        <v>10583.22246</v>
      </c>
      <c r="AO16" s="26">
        <f>'Произв.затраты'!AP14</f>
        <v>11821.45949</v>
      </c>
      <c r="AP16" s="26">
        <f>'Произв.затраты'!AQ14</f>
        <v>13204.57025</v>
      </c>
      <c r="AQ16" s="26">
        <f>'Произв.затраты'!AR14</f>
        <v>14749.50497</v>
      </c>
      <c r="AR16" s="26">
        <f>'Произв.затраты'!AS14</f>
        <v>16475.19705</v>
      </c>
      <c r="AS16" s="26">
        <f>'Произв.затраты'!AT14</f>
        <v>18402.79511</v>
      </c>
      <c r="AT16" s="26">
        <f>'Произв.затраты'!AU14</f>
        <v>20555.92214</v>
      </c>
      <c r="AU16" s="26">
        <f>'Произв.затраты'!AV14</f>
        <v>22960.96503</v>
      </c>
      <c r="AV16" s="26">
        <f>'Произв.затраты'!AW14</f>
        <v>25647.39793</v>
      </c>
      <c r="AW16" s="26">
        <f>'Произв.затраты'!AX14</f>
        <v>28648.14349</v>
      </c>
      <c r="AX16" s="26">
        <f>'Произв.затраты'!AY14</f>
        <v>31999.97628</v>
      </c>
      <c r="AY16" s="26">
        <f>'Произв.затраты'!AZ14</f>
        <v>35743.97351</v>
      </c>
      <c r="AZ16" s="26">
        <f>'Произв.затраты'!BA14</f>
        <v>39926.01841</v>
      </c>
      <c r="BA16" s="26">
        <f>'Произв.затраты'!BB14</f>
        <v>44597.36256</v>
      </c>
      <c r="BB16" s="26">
        <f>'Произв.затраты'!BC14</f>
        <v>49815.25398</v>
      </c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</row>
    <row r="17" ht="12.75" customHeight="1" outlineLevel="1">
      <c r="A17" s="2" t="str">
        <f>'Произв.затраты'!B15</f>
        <v>Оперативно-техническое и диспетчерское обслуживание</v>
      </c>
      <c r="B17" s="26">
        <f>'Произв.затраты'!C15</f>
        <v>2151.187931</v>
      </c>
      <c r="C17" s="26">
        <f>'Произв.затраты'!D15</f>
        <v>2151.187931</v>
      </c>
      <c r="D17" s="26">
        <f>'Произв.затраты'!E15</f>
        <v>2151.187931</v>
      </c>
      <c r="E17" s="26">
        <f>'Произв.затраты'!F15</f>
        <v>2151.187931</v>
      </c>
      <c r="F17" s="26">
        <f>'Произв.затраты'!G15</f>
        <v>2151.187931</v>
      </c>
      <c r="G17" s="26">
        <f>'Произв.затраты'!H15</f>
        <v>2151.187931</v>
      </c>
      <c r="H17" s="26">
        <f>'Произв.затраты'!I15</f>
        <v>2151.187931</v>
      </c>
      <c r="I17" s="26">
        <f>'Произв.затраты'!J15</f>
        <v>2151.187931</v>
      </c>
      <c r="J17" s="26">
        <f>'Произв.затраты'!K15</f>
        <v>2151.187931</v>
      </c>
      <c r="K17" s="26">
        <f>'Произв.затраты'!L15</f>
        <v>2151.187931</v>
      </c>
      <c r="L17" s="26">
        <f>'Произв.затраты'!M15</f>
        <v>2151.187931</v>
      </c>
      <c r="M17" s="26">
        <f>'Произв.затраты'!N15</f>
        <v>2151.187931</v>
      </c>
      <c r="N17" s="26">
        <f>'Произв.затраты'!O15</f>
        <v>25814.25517</v>
      </c>
      <c r="O17" s="26">
        <f>'Произв.затраты'!P15</f>
        <v>2402.876919</v>
      </c>
      <c r="P17" s="26">
        <f>'Произв.затраты'!Q15</f>
        <v>2402.876919</v>
      </c>
      <c r="Q17" s="26">
        <f>'Произв.затраты'!R15</f>
        <v>2402.876919</v>
      </c>
      <c r="R17" s="26">
        <f>'Произв.затраты'!S15</f>
        <v>2402.876919</v>
      </c>
      <c r="S17" s="26">
        <f>'Произв.затраты'!T15</f>
        <v>2402.876919</v>
      </c>
      <c r="T17" s="26">
        <f>'Произв.затраты'!U15</f>
        <v>2402.876919</v>
      </c>
      <c r="U17" s="26">
        <f>'Произв.затраты'!V15</f>
        <v>2402.876919</v>
      </c>
      <c r="V17" s="26">
        <f>'Произв.затраты'!W15</f>
        <v>2402.876919</v>
      </c>
      <c r="W17" s="26">
        <f>'Произв.затраты'!X15</f>
        <v>2402.876919</v>
      </c>
      <c r="X17" s="26">
        <f>'Произв.затраты'!Y15</f>
        <v>2402.876919</v>
      </c>
      <c r="Y17" s="26">
        <f>'Произв.затраты'!Z15</f>
        <v>2402.876919</v>
      </c>
      <c r="Z17" s="26">
        <f>'Произв.затраты'!AA15</f>
        <v>2402.876919</v>
      </c>
      <c r="AA17" s="26">
        <f>'Произв.затраты'!AB15</f>
        <v>28834.52303</v>
      </c>
      <c r="AB17" s="26">
        <f>'Произв.затраты'!AC15</f>
        <v>2684.013518</v>
      </c>
      <c r="AC17" s="26">
        <f>'Произв.затраты'!AD15</f>
        <v>2684.013518</v>
      </c>
      <c r="AD17" s="26">
        <f>'Произв.затраты'!AE15</f>
        <v>2684.013518</v>
      </c>
      <c r="AE17" s="26">
        <f>'Произв.затраты'!AF15</f>
        <v>2684.013518</v>
      </c>
      <c r="AF17" s="26">
        <f>'Произв.затраты'!AG15</f>
        <v>2684.013518</v>
      </c>
      <c r="AG17" s="26">
        <f>'Произв.затраты'!AH15</f>
        <v>2684.013518</v>
      </c>
      <c r="AH17" s="26">
        <f>'Произв.затраты'!AI15</f>
        <v>2684.013518</v>
      </c>
      <c r="AI17" s="26">
        <f>'Произв.затраты'!AJ15</f>
        <v>2684.013518</v>
      </c>
      <c r="AJ17" s="26">
        <f>'Произв.затраты'!AK15</f>
        <v>2684.013518</v>
      </c>
      <c r="AK17" s="26">
        <f>'Произв.затраты'!AL15</f>
        <v>2684.013518</v>
      </c>
      <c r="AL17" s="26">
        <f>'Произв.затраты'!AM15</f>
        <v>2684.013518</v>
      </c>
      <c r="AM17" s="26">
        <f>'Произв.затраты'!AN15</f>
        <v>2684.013518</v>
      </c>
      <c r="AN17" s="26">
        <f>'Произв.затраты'!AO15</f>
        <v>32208.16222</v>
      </c>
      <c r="AO17" s="26">
        <f>'Произв.затраты'!AP15</f>
        <v>35976.5172</v>
      </c>
      <c r="AP17" s="26">
        <f>'Произв.затраты'!AQ15</f>
        <v>40185.76971</v>
      </c>
      <c r="AQ17" s="26">
        <f>'Произв.затраты'!AR15</f>
        <v>44887.50477</v>
      </c>
      <c r="AR17" s="26">
        <f>'Произв.затраты'!AS15</f>
        <v>50139.34283</v>
      </c>
      <c r="AS17" s="26">
        <f>'Произв.затраты'!AT15</f>
        <v>56005.64594</v>
      </c>
      <c r="AT17" s="26">
        <f>'Произв.затраты'!AU15</f>
        <v>62558.30652</v>
      </c>
      <c r="AU17" s="26">
        <f>'Произв.затраты'!AV15</f>
        <v>69877.62838</v>
      </c>
      <c r="AV17" s="26">
        <f>'Произв.затраты'!AW15</f>
        <v>78053.3109</v>
      </c>
      <c r="AW17" s="26">
        <f>'Произв.затраты'!AX15</f>
        <v>87185.54827</v>
      </c>
      <c r="AX17" s="26">
        <f>'Произв.затраты'!AY15</f>
        <v>97386.25742</v>
      </c>
      <c r="AY17" s="26">
        <f>'Произв.затраты'!AZ15</f>
        <v>108780.4495</v>
      </c>
      <c r="AZ17" s="26">
        <f>'Произв.затраты'!BA15</f>
        <v>121507.7621</v>
      </c>
      <c r="BA17" s="26">
        <f>'Произв.затраты'!BB15</f>
        <v>135724.1703</v>
      </c>
      <c r="BB17" s="26">
        <f>'Произв.затраты'!BC15</f>
        <v>151603.8982</v>
      </c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</row>
    <row r="18" ht="12.75" customHeight="1" outlineLevel="1">
      <c r="A18" s="2" t="str">
        <f>'Произв.затраты'!B16</f>
        <v>Непредвиденные расходы</v>
      </c>
      <c r="B18" s="26">
        <f>'Произв.затраты'!C16</f>
        <v>145.046497</v>
      </c>
      <c r="C18" s="26">
        <f>'Произв.затраты'!D16</f>
        <v>123.1174645</v>
      </c>
      <c r="D18" s="26">
        <f>'Произв.затраты'!E16</f>
        <v>193.444626</v>
      </c>
      <c r="E18" s="26">
        <f>'Произв.затраты'!F16</f>
        <v>114.0855063</v>
      </c>
      <c r="F18" s="26">
        <f>'Произв.затраты'!G16</f>
        <v>259.2881086</v>
      </c>
      <c r="G18" s="26">
        <f>'Произв.затраты'!H16</f>
        <v>291.7277675</v>
      </c>
      <c r="H18" s="26">
        <f>'Произв.затраты'!I16</f>
        <v>363.5517685</v>
      </c>
      <c r="I18" s="26">
        <f>'Произв.затраты'!J16</f>
        <v>363.5517685</v>
      </c>
      <c r="J18" s="26">
        <f>'Произв.затраты'!K16</f>
        <v>300.371608</v>
      </c>
      <c r="K18" s="26">
        <f>'Произв.затраты'!L16</f>
        <v>246.1428901</v>
      </c>
      <c r="L18" s="26">
        <f>'Произв.затраты'!M16</f>
        <v>193.1095503</v>
      </c>
      <c r="M18" s="26">
        <f>'Произв.затраты'!N16</f>
        <v>149.4544736</v>
      </c>
      <c r="N18" s="26">
        <f>'Произв.затраты'!O16</f>
        <v>2742.892029</v>
      </c>
      <c r="O18" s="26">
        <f>'Произв.затраты'!P16</f>
        <v>159.4061002</v>
      </c>
      <c r="P18" s="26">
        <f>'Произв.затраты'!Q16</f>
        <v>135.3060935</v>
      </c>
      <c r="Q18" s="26">
        <f>'Произв.затраты'!R16</f>
        <v>212.595644</v>
      </c>
      <c r="R18" s="26">
        <f>'Произв.затраты'!S16</f>
        <v>125.3799715</v>
      </c>
      <c r="S18" s="26">
        <f>'Произв.затраты'!T16</f>
        <v>284.9576314</v>
      </c>
      <c r="T18" s="26">
        <f>'Произв.затраты'!U16</f>
        <v>320.6088165</v>
      </c>
      <c r="U18" s="26">
        <f>'Произв.затраты'!V16</f>
        <v>399.5433936</v>
      </c>
      <c r="V18" s="26">
        <f>'Произв.затраты'!W16</f>
        <v>399.5433936</v>
      </c>
      <c r="W18" s="26">
        <f>'Произв.затраты'!X16</f>
        <v>330.1083972</v>
      </c>
      <c r="X18" s="26">
        <f>'Произв.затраты'!Y16</f>
        <v>270.5110362</v>
      </c>
      <c r="Y18" s="26">
        <f>'Произв.затраты'!Z16</f>
        <v>212.2273958</v>
      </c>
      <c r="Z18" s="26">
        <f>'Произв.затраты'!AA16</f>
        <v>164.2504665</v>
      </c>
      <c r="AA18" s="26">
        <f>'Произв.затраты'!AB16</f>
        <v>3014.43834</v>
      </c>
      <c r="AB18" s="26">
        <f>'Произв.затраты'!AC16</f>
        <v>175.1873041</v>
      </c>
      <c r="AC18" s="26">
        <f>'Произв.затраты'!AD16</f>
        <v>148.7013967</v>
      </c>
      <c r="AD18" s="26">
        <f>'Произв.затраты'!AE16</f>
        <v>233.6426127</v>
      </c>
      <c r="AE18" s="26">
        <f>'Произв.затраты'!AF16</f>
        <v>137.7925886</v>
      </c>
      <c r="AF18" s="26">
        <f>'Произв.затраты'!AG16</f>
        <v>313.1684369</v>
      </c>
      <c r="AG18" s="26">
        <f>'Произв.затраты'!AH16</f>
        <v>352.3490893</v>
      </c>
      <c r="AH18" s="26">
        <f>'Произв.затраты'!AI16</f>
        <v>439.0981895</v>
      </c>
      <c r="AI18" s="26">
        <f>'Произв.затраты'!AJ16</f>
        <v>439.0981895</v>
      </c>
      <c r="AJ18" s="26">
        <f>'Произв.затраты'!AK16</f>
        <v>362.7891285</v>
      </c>
      <c r="AK18" s="26">
        <f>'Произв.затраты'!AL16</f>
        <v>297.2916288</v>
      </c>
      <c r="AL18" s="26">
        <f>'Произв.затраты'!AM16</f>
        <v>233.237908</v>
      </c>
      <c r="AM18" s="26">
        <f>'Произв.затраты'!AN16</f>
        <v>180.5112627</v>
      </c>
      <c r="AN18" s="26">
        <f>'Произв.затраты'!AO16</f>
        <v>3312.867735</v>
      </c>
      <c r="AO18" s="26">
        <f>'Произв.затраты'!AP16</f>
        <v>3640.841641</v>
      </c>
      <c r="AP18" s="26">
        <f>'Произв.затраты'!AQ16</f>
        <v>4001.284964</v>
      </c>
      <c r="AQ18" s="26">
        <f>'Произв.затраты'!AR16</f>
        <v>4397.412175</v>
      </c>
      <c r="AR18" s="26">
        <f>'Произв.затраты'!AS16</f>
        <v>4832.755981</v>
      </c>
      <c r="AS18" s="26">
        <f>'Произв.затраты'!AT16</f>
        <v>5311.198823</v>
      </c>
      <c r="AT18" s="26">
        <f>'Произв.затраты'!AU16</f>
        <v>5837.007506</v>
      </c>
      <c r="AU18" s="26">
        <f>'Произв.затраты'!AV16</f>
        <v>6414.871249</v>
      </c>
      <c r="AV18" s="26">
        <f>'Произв.затраты'!AW16</f>
        <v>7049.943503</v>
      </c>
      <c r="AW18" s="26">
        <f>'Произв.затраты'!AX16</f>
        <v>7747.88791</v>
      </c>
      <c r="AX18" s="26">
        <f>'Произв.затраты'!AY16</f>
        <v>8514.928813</v>
      </c>
      <c r="AY18" s="26">
        <f>'Произв.затраты'!AZ16</f>
        <v>9357.906765</v>
      </c>
      <c r="AZ18" s="26">
        <f>'Произв.затраты'!BA16</f>
        <v>10284.33953</v>
      </c>
      <c r="BA18" s="26">
        <f>'Произв.затраты'!BB16</f>
        <v>11302.48915</v>
      </c>
      <c r="BB18" s="26">
        <f>'Произв.затраты'!BC16</f>
        <v>12421.43557</v>
      </c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</row>
    <row r="19" ht="12.75" customHeight="1">
      <c r="A19" s="296" t="s">
        <v>312</v>
      </c>
      <c r="B19" s="297">
        <f t="shared" ref="B19:BB19" si="1">B8-B9</f>
        <v>10480.67891</v>
      </c>
      <c r="C19" s="297">
        <f t="shared" si="1"/>
        <v>6153.066546</v>
      </c>
      <c r="D19" s="297">
        <f t="shared" si="1"/>
        <v>19880.35217</v>
      </c>
      <c r="E19" s="297">
        <f t="shared" si="1"/>
        <v>4390.10233</v>
      </c>
      <c r="F19" s="297">
        <f t="shared" si="1"/>
        <v>32732.46041</v>
      </c>
      <c r="G19" s="297">
        <f t="shared" si="1"/>
        <v>39064.41599</v>
      </c>
      <c r="H19" s="297">
        <f t="shared" si="1"/>
        <v>53083.87242</v>
      </c>
      <c r="I19" s="297">
        <f t="shared" si="1"/>
        <v>53083.87242</v>
      </c>
      <c r="J19" s="297">
        <f t="shared" si="1"/>
        <v>40751.62283</v>
      </c>
      <c r="K19" s="297">
        <f t="shared" si="1"/>
        <v>30166.62148</v>
      </c>
      <c r="L19" s="297">
        <f t="shared" si="1"/>
        <v>19814.94814</v>
      </c>
      <c r="M19" s="297">
        <f t="shared" si="1"/>
        <v>11293.83491</v>
      </c>
      <c r="N19" s="297">
        <f t="shared" si="1"/>
        <v>320895.8486</v>
      </c>
      <c r="O19" s="297">
        <f t="shared" si="1"/>
        <v>13077.28735</v>
      </c>
      <c r="P19" s="297">
        <f t="shared" si="1"/>
        <v>8320.101954</v>
      </c>
      <c r="Q19" s="297">
        <f t="shared" si="1"/>
        <v>23407.31571</v>
      </c>
      <c r="R19" s="297">
        <f t="shared" si="1"/>
        <v>6382.485247</v>
      </c>
      <c r="S19" s="297">
        <f t="shared" si="1"/>
        <v>37532.65044</v>
      </c>
      <c r="T19" s="297">
        <f t="shared" si="1"/>
        <v>44491.89715</v>
      </c>
      <c r="U19" s="297">
        <f t="shared" si="1"/>
        <v>59900.22634</v>
      </c>
      <c r="V19" s="297">
        <f t="shared" si="1"/>
        <v>59900.22634</v>
      </c>
      <c r="W19" s="297">
        <f t="shared" si="1"/>
        <v>46346.25138</v>
      </c>
      <c r="X19" s="297">
        <f t="shared" si="1"/>
        <v>34712.62021</v>
      </c>
      <c r="Y19" s="297">
        <f t="shared" si="1"/>
        <v>23335.43227</v>
      </c>
      <c r="Z19" s="297">
        <f t="shared" si="1"/>
        <v>13970.15349</v>
      </c>
      <c r="AA19" s="297">
        <f t="shared" si="1"/>
        <v>371376.6479</v>
      </c>
      <c r="AB19" s="297">
        <f t="shared" si="1"/>
        <v>15917.80671</v>
      </c>
      <c r="AC19" s="297">
        <f t="shared" si="1"/>
        <v>10688.56466</v>
      </c>
      <c r="AD19" s="297">
        <f t="shared" si="1"/>
        <v>27269.87887</v>
      </c>
      <c r="AE19" s="297">
        <f t="shared" si="1"/>
        <v>8559.064015</v>
      </c>
      <c r="AF19" s="297">
        <f t="shared" si="1"/>
        <v>42794.05828</v>
      </c>
      <c r="AG19" s="297">
        <f t="shared" si="1"/>
        <v>50442.4855</v>
      </c>
      <c r="AH19" s="297">
        <f t="shared" si="1"/>
        <v>67376.71549</v>
      </c>
      <c r="AI19" s="297">
        <f t="shared" si="1"/>
        <v>67376.71549</v>
      </c>
      <c r="AJ19" s="297">
        <f t="shared" si="1"/>
        <v>52480.47811</v>
      </c>
      <c r="AK19" s="297">
        <f t="shared" si="1"/>
        <v>39694.75791</v>
      </c>
      <c r="AL19" s="297">
        <f t="shared" si="1"/>
        <v>27190.87674</v>
      </c>
      <c r="AM19" s="297">
        <f t="shared" si="1"/>
        <v>16898.14592</v>
      </c>
      <c r="AN19" s="297">
        <f t="shared" si="1"/>
        <v>426689.5477</v>
      </c>
      <c r="AO19" s="297">
        <f t="shared" si="1"/>
        <v>487303.6086</v>
      </c>
      <c r="AP19" s="297">
        <f t="shared" si="1"/>
        <v>553733.2379</v>
      </c>
      <c r="AQ19" s="297">
        <f t="shared" si="1"/>
        <v>626542.5518</v>
      </c>
      <c r="AR19" s="297">
        <f t="shared" si="1"/>
        <v>706350.1536</v>
      </c>
      <c r="AS19" s="297">
        <f t="shared" si="1"/>
        <v>793834.3692</v>
      </c>
      <c r="AT19" s="297">
        <f t="shared" si="1"/>
        <v>889738.9817</v>
      </c>
      <c r="AU19" s="297">
        <f t="shared" si="1"/>
        <v>994879.513</v>
      </c>
      <c r="AV19" s="297">
        <f t="shared" si="1"/>
        <v>1110150.104</v>
      </c>
      <c r="AW19" s="297">
        <f t="shared" si="1"/>
        <v>1236531.052</v>
      </c>
      <c r="AX19" s="297">
        <f t="shared" si="1"/>
        <v>1375097.06</v>
      </c>
      <c r="AY19" s="297">
        <f t="shared" si="1"/>
        <v>1527026.275</v>
      </c>
      <c r="AZ19" s="297">
        <f t="shared" si="1"/>
        <v>1693470.409</v>
      </c>
      <c r="BA19" s="297">
        <f t="shared" si="1"/>
        <v>1875354.398</v>
      </c>
      <c r="BB19" s="297">
        <f t="shared" si="1"/>
        <v>2074763.437</v>
      </c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</row>
    <row r="20" ht="12.75" customHeight="1">
      <c r="A20" s="298" t="s">
        <v>313</v>
      </c>
      <c r="B20" s="299">
        <f t="shared" ref="B20:BB20" si="2">IF(B8=0,0,B19/B8)</f>
        <v>0.3612868674</v>
      </c>
      <c r="C20" s="299">
        <f t="shared" si="2"/>
        <v>0.2498860162</v>
      </c>
      <c r="D20" s="299">
        <f t="shared" si="2"/>
        <v>0.5138512395</v>
      </c>
      <c r="E20" s="299">
        <f t="shared" si="2"/>
        <v>0.1924040341</v>
      </c>
      <c r="F20" s="299">
        <f t="shared" si="2"/>
        <v>0.6311986421</v>
      </c>
      <c r="G20" s="299">
        <f t="shared" si="2"/>
        <v>0.6695354427</v>
      </c>
      <c r="H20" s="299">
        <f t="shared" si="2"/>
        <v>0.7300730875</v>
      </c>
      <c r="I20" s="299">
        <f t="shared" si="2"/>
        <v>0.7300730875</v>
      </c>
      <c r="J20" s="299">
        <f t="shared" si="2"/>
        <v>0.6783534419</v>
      </c>
      <c r="K20" s="299">
        <f t="shared" si="2"/>
        <v>0.6127867733</v>
      </c>
      <c r="L20" s="299">
        <f t="shared" si="2"/>
        <v>0.5130494092</v>
      </c>
      <c r="M20" s="299">
        <f t="shared" si="2"/>
        <v>0.3778352911</v>
      </c>
      <c r="N20" s="299">
        <f t="shared" si="2"/>
        <v>0.5849589506</v>
      </c>
      <c r="O20" s="299">
        <f t="shared" si="2"/>
        <v>0.4101877951</v>
      </c>
      <c r="P20" s="299">
        <f t="shared" si="2"/>
        <v>0.3074548138</v>
      </c>
      <c r="Q20" s="299">
        <f t="shared" si="2"/>
        <v>0.5505125899</v>
      </c>
      <c r="R20" s="299">
        <f t="shared" si="2"/>
        <v>0.2545257098</v>
      </c>
      <c r="S20" s="299">
        <f t="shared" si="2"/>
        <v>0.6585654551</v>
      </c>
      <c r="T20" s="299">
        <f t="shared" si="2"/>
        <v>0.6938657776</v>
      </c>
      <c r="U20" s="299">
        <f t="shared" si="2"/>
        <v>0.7496085194</v>
      </c>
      <c r="V20" s="299">
        <f t="shared" si="2"/>
        <v>0.7496085194</v>
      </c>
      <c r="W20" s="299">
        <f t="shared" si="2"/>
        <v>0.7019853444</v>
      </c>
      <c r="X20" s="299">
        <f t="shared" si="2"/>
        <v>0.6416119041</v>
      </c>
      <c r="Y20" s="299">
        <f t="shared" si="2"/>
        <v>0.5497742688</v>
      </c>
      <c r="Z20" s="299">
        <f t="shared" si="2"/>
        <v>0.4252698268</v>
      </c>
      <c r="AA20" s="299">
        <f t="shared" si="2"/>
        <v>0.6159964245</v>
      </c>
      <c r="AB20" s="299">
        <f t="shared" si="2"/>
        <v>0.4543082272</v>
      </c>
      <c r="AC20" s="299">
        <f t="shared" si="2"/>
        <v>0.3593969154</v>
      </c>
      <c r="AD20" s="299">
        <f t="shared" si="2"/>
        <v>0.5835810203</v>
      </c>
      <c r="AE20" s="299">
        <f t="shared" si="2"/>
        <v>0.3105778075</v>
      </c>
      <c r="AF20" s="299">
        <f t="shared" si="2"/>
        <v>0.6832434761</v>
      </c>
      <c r="AG20" s="299">
        <f t="shared" si="2"/>
        <v>0.7158026944</v>
      </c>
      <c r="AH20" s="299">
        <f t="shared" si="2"/>
        <v>0.7672169585</v>
      </c>
      <c r="AI20" s="299">
        <f t="shared" si="2"/>
        <v>0.7672169585</v>
      </c>
      <c r="AJ20" s="299">
        <f t="shared" si="2"/>
        <v>0.723291769</v>
      </c>
      <c r="AK20" s="299">
        <f t="shared" si="2"/>
        <v>0.6676063847</v>
      </c>
      <c r="AL20" s="299">
        <f t="shared" si="2"/>
        <v>0.5829000306</v>
      </c>
      <c r="AM20" s="299">
        <f t="shared" si="2"/>
        <v>0.4680634788</v>
      </c>
      <c r="AN20" s="299">
        <f t="shared" si="2"/>
        <v>0.6439882026</v>
      </c>
      <c r="AO20" s="299">
        <f t="shared" si="2"/>
        <v>0.6692183519</v>
      </c>
      <c r="AP20" s="299">
        <f t="shared" si="2"/>
        <v>0.6919442666</v>
      </c>
      <c r="AQ20" s="299">
        <f t="shared" si="2"/>
        <v>0.7123991644</v>
      </c>
      <c r="AR20" s="299">
        <f t="shared" si="2"/>
        <v>0.7307943506</v>
      </c>
      <c r="AS20" s="299">
        <f t="shared" si="2"/>
        <v>0.7473212694</v>
      </c>
      <c r="AT20" s="299">
        <f t="shared" si="2"/>
        <v>0.7621533643</v>
      </c>
      <c r="AU20" s="299">
        <f t="shared" si="2"/>
        <v>0.7754477637</v>
      </c>
      <c r="AV20" s="299">
        <f t="shared" si="2"/>
        <v>0.7873468092</v>
      </c>
      <c r="AW20" s="299">
        <f t="shared" si="2"/>
        <v>0.7979794406</v>
      </c>
      <c r="AX20" s="299">
        <f t="shared" si="2"/>
        <v>0.807462452</v>
      </c>
      <c r="AY20" s="299">
        <f t="shared" si="2"/>
        <v>0.8159016293</v>
      </c>
      <c r="AZ20" s="299">
        <f t="shared" si="2"/>
        <v>0.823324825</v>
      </c>
      <c r="BA20" s="299">
        <f t="shared" si="2"/>
        <v>0.8296200836</v>
      </c>
      <c r="BB20" s="299">
        <f t="shared" si="2"/>
        <v>0.835154449</v>
      </c>
      <c r="BC20" s="300"/>
      <c r="BD20" s="300"/>
      <c r="BE20" s="300"/>
      <c r="BF20" s="300"/>
      <c r="BG20" s="300"/>
      <c r="BH20" s="300"/>
      <c r="BI20" s="300"/>
      <c r="BJ20" s="300"/>
      <c r="BK20" s="300"/>
      <c r="BL20" s="300"/>
      <c r="BM20" s="300"/>
      <c r="BN20" s="300"/>
      <c r="BO20" s="300"/>
      <c r="BP20" s="300"/>
      <c r="BQ20" s="300"/>
      <c r="BR20" s="300"/>
      <c r="BS20" s="300"/>
      <c r="BT20" s="300"/>
      <c r="BU20" s="300"/>
      <c r="BV20" s="300"/>
    </row>
    <row r="21" ht="12.75" customHeight="1">
      <c r="A21" s="255" t="s">
        <v>314</v>
      </c>
      <c r="B21" s="233">
        <f>'Адм.затраты'!C24</f>
        <v>2004.120792</v>
      </c>
      <c r="C21" s="233">
        <f>'Адм.затраты'!D24</f>
        <v>2004.120792</v>
      </c>
      <c r="D21" s="233">
        <f>'Адм.затраты'!E24</f>
        <v>2004.120792</v>
      </c>
      <c r="E21" s="233">
        <f>'Адм.затраты'!F24</f>
        <v>2004.120792</v>
      </c>
      <c r="F21" s="233">
        <f>'Адм.затраты'!G24</f>
        <v>2004.120792</v>
      </c>
      <c r="G21" s="233">
        <f>'Адм.затраты'!H24</f>
        <v>2004.120792</v>
      </c>
      <c r="H21" s="233">
        <f>'Адм.затраты'!I24</f>
        <v>2004.120792</v>
      </c>
      <c r="I21" s="233">
        <f>'Адм.затраты'!J24</f>
        <v>2004.120792</v>
      </c>
      <c r="J21" s="233">
        <f>'Адм.затраты'!K24</f>
        <v>2004.120792</v>
      </c>
      <c r="K21" s="233">
        <f>'Адм.затраты'!L24</f>
        <v>2004.120792</v>
      </c>
      <c r="L21" s="233">
        <f>'Адм.затраты'!M24</f>
        <v>2004.120792</v>
      </c>
      <c r="M21" s="233">
        <f>'Адм.затраты'!N24</f>
        <v>2004.120792</v>
      </c>
      <c r="N21" s="233">
        <f>'Адм.затраты'!O24</f>
        <v>24049.44951</v>
      </c>
      <c r="O21" s="233">
        <f>'Адм.затраты'!P24</f>
        <v>2130.075624</v>
      </c>
      <c r="P21" s="233">
        <f>'Адм.затраты'!Q24</f>
        <v>2130.075624</v>
      </c>
      <c r="Q21" s="233">
        <f>'Адм.затраты'!R24</f>
        <v>2130.075624</v>
      </c>
      <c r="R21" s="233">
        <f>'Адм.затраты'!S24</f>
        <v>2130.075624</v>
      </c>
      <c r="S21" s="233">
        <f>'Адм.затраты'!T24</f>
        <v>2130.075624</v>
      </c>
      <c r="T21" s="233">
        <f>'Адм.затраты'!U24</f>
        <v>2130.075624</v>
      </c>
      <c r="U21" s="233">
        <f>'Адм.затраты'!V24</f>
        <v>2130.075624</v>
      </c>
      <c r="V21" s="233">
        <f>'Адм.затраты'!W24</f>
        <v>2130.075624</v>
      </c>
      <c r="W21" s="233">
        <f>'Адм.затраты'!X24</f>
        <v>2130.075624</v>
      </c>
      <c r="X21" s="233">
        <f>'Адм.затраты'!Y24</f>
        <v>2130.075624</v>
      </c>
      <c r="Y21" s="233">
        <f>'Адм.затраты'!Z24</f>
        <v>2130.075624</v>
      </c>
      <c r="Z21" s="233">
        <f>'Адм.затраты'!AA24</f>
        <v>2130.075624</v>
      </c>
      <c r="AA21" s="233">
        <f>'Адм.затраты'!AB24</f>
        <v>25560.90749</v>
      </c>
      <c r="AB21" s="233">
        <f>'Адм.затраты'!AC24</f>
        <v>2281.878282</v>
      </c>
      <c r="AC21" s="233">
        <f>'Адм.затраты'!AD24</f>
        <v>2281.878282</v>
      </c>
      <c r="AD21" s="233">
        <f>'Адм.затраты'!AE24</f>
        <v>2281.878282</v>
      </c>
      <c r="AE21" s="233">
        <f>'Адм.затраты'!AF24</f>
        <v>2281.878282</v>
      </c>
      <c r="AF21" s="233">
        <f>'Адм.затраты'!AG24</f>
        <v>2281.878282</v>
      </c>
      <c r="AG21" s="233">
        <f>'Адм.затраты'!AH24</f>
        <v>2281.878282</v>
      </c>
      <c r="AH21" s="233">
        <f>'Адм.затраты'!AI24</f>
        <v>2281.878282</v>
      </c>
      <c r="AI21" s="233">
        <f>'Адм.затраты'!AJ24</f>
        <v>2281.878282</v>
      </c>
      <c r="AJ21" s="233">
        <f>'Адм.затраты'!AK24</f>
        <v>2281.878282</v>
      </c>
      <c r="AK21" s="233">
        <f>'Адм.затраты'!AL24</f>
        <v>2281.878282</v>
      </c>
      <c r="AL21" s="233">
        <f>'Адм.затраты'!AM24</f>
        <v>2281.878282</v>
      </c>
      <c r="AM21" s="233">
        <f>'Адм.затраты'!AN24</f>
        <v>2281.878282</v>
      </c>
      <c r="AN21" s="233">
        <f>'Адм.затраты'!AO24</f>
        <v>27382.53939</v>
      </c>
      <c r="AO21" s="233">
        <f>'Адм.затраты'!AP24</f>
        <v>29268.36889</v>
      </c>
      <c r="AP21" s="233">
        <f>'Адм.затраты'!AQ24</f>
        <v>31374.84043</v>
      </c>
      <c r="AQ21" s="233">
        <f>'Адм.затраты'!AR24</f>
        <v>33727.76915</v>
      </c>
      <c r="AR21" s="233">
        <f>'Адм.затраты'!AS24</f>
        <v>36355.99053</v>
      </c>
      <c r="AS21" s="233">
        <f>'Адм.затраты'!AT24</f>
        <v>39291.71382</v>
      </c>
      <c r="AT21" s="233">
        <f>'Адм.затраты'!AU24</f>
        <v>42570.91672</v>
      </c>
      <c r="AU21" s="233">
        <f>'Адм.затраты'!AV24</f>
        <v>46233.78637</v>
      </c>
      <c r="AV21" s="233">
        <f>'Адм.затраты'!AW24</f>
        <v>50325.21176</v>
      </c>
      <c r="AW21" s="233">
        <f>'Адм.затраты'!AX24</f>
        <v>54895.33392</v>
      </c>
      <c r="AX21" s="233">
        <f>'Адм.затраты'!AY24</f>
        <v>60000.16038</v>
      </c>
      <c r="AY21" s="233">
        <f>'Адм.затраты'!AZ24</f>
        <v>65702.25154</v>
      </c>
      <c r="AZ21" s="233">
        <f>'Адм.затраты'!BA24</f>
        <v>72071.48736</v>
      </c>
      <c r="BA21" s="233">
        <f>'Адм.затраты'!BB24</f>
        <v>79185.92376</v>
      </c>
      <c r="BB21" s="233">
        <f>'Адм.затраты'!BC24</f>
        <v>87132.74923</v>
      </c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</row>
    <row r="22" ht="12.75" customHeight="1" outlineLevel="1">
      <c r="A22" s="26" t="str">
        <f>'Адм.затраты'!B8</f>
        <v>Гос.пошлина</v>
      </c>
      <c r="B22" s="26">
        <f>'Адм.затраты'!C8</f>
        <v>1.370833333</v>
      </c>
      <c r="C22" s="26">
        <f>'Адм.затраты'!D8</f>
        <v>1.370833333</v>
      </c>
      <c r="D22" s="26">
        <f>'Адм.затраты'!E8</f>
        <v>1.370833333</v>
      </c>
      <c r="E22" s="26">
        <f>'Адм.затраты'!F8</f>
        <v>1.370833333</v>
      </c>
      <c r="F22" s="26">
        <f>'Адм.затраты'!G8</f>
        <v>1.370833333</v>
      </c>
      <c r="G22" s="26">
        <f>'Адм.затраты'!H8</f>
        <v>1.370833333</v>
      </c>
      <c r="H22" s="26">
        <f>'Адм.затраты'!I8</f>
        <v>1.370833333</v>
      </c>
      <c r="I22" s="26">
        <f>'Адм.затраты'!J8</f>
        <v>1.370833333</v>
      </c>
      <c r="J22" s="26">
        <f>'Адм.затраты'!K8</f>
        <v>1.370833333</v>
      </c>
      <c r="K22" s="26">
        <f>'Адм.затраты'!L8</f>
        <v>1.370833333</v>
      </c>
      <c r="L22" s="26">
        <f>'Адм.затраты'!M8</f>
        <v>1.370833333</v>
      </c>
      <c r="M22" s="26">
        <f>'Адм.затраты'!N8</f>
        <v>1.370833333</v>
      </c>
      <c r="N22" s="26">
        <f>'Адм.затраты'!O8</f>
        <v>16.45</v>
      </c>
      <c r="O22" s="26">
        <f>'Адм.затраты'!P8</f>
        <v>1.370833333</v>
      </c>
      <c r="P22" s="26">
        <f>'Адм.затраты'!Q8</f>
        <v>1.370833333</v>
      </c>
      <c r="Q22" s="26">
        <f>'Адм.затраты'!R8</f>
        <v>1.370833333</v>
      </c>
      <c r="R22" s="26">
        <f>'Адм.затраты'!S8</f>
        <v>1.370833333</v>
      </c>
      <c r="S22" s="26">
        <f>'Адм.затраты'!T8</f>
        <v>1.370833333</v>
      </c>
      <c r="T22" s="26">
        <f>'Адм.затраты'!U8</f>
        <v>1.370833333</v>
      </c>
      <c r="U22" s="26">
        <f>'Адм.затраты'!V8</f>
        <v>1.370833333</v>
      </c>
      <c r="V22" s="26">
        <f>'Адм.затраты'!W8</f>
        <v>1.370833333</v>
      </c>
      <c r="W22" s="26">
        <f>'Адм.затраты'!X8</f>
        <v>1.370833333</v>
      </c>
      <c r="X22" s="26">
        <f>'Адм.затраты'!Y8</f>
        <v>1.370833333</v>
      </c>
      <c r="Y22" s="26">
        <f>'Адм.затраты'!Z8</f>
        <v>1.370833333</v>
      </c>
      <c r="Z22" s="26">
        <f>'Адм.затраты'!AA8</f>
        <v>1.370833333</v>
      </c>
      <c r="AA22" s="26">
        <f>'Адм.затраты'!AB8</f>
        <v>16.45</v>
      </c>
      <c r="AB22" s="26">
        <f>'Адм.затраты'!AC8</f>
        <v>1.370833333</v>
      </c>
      <c r="AC22" s="26">
        <f>'Адм.затраты'!AD8</f>
        <v>1.370833333</v>
      </c>
      <c r="AD22" s="26">
        <f>'Адм.затраты'!AE8</f>
        <v>1.370833333</v>
      </c>
      <c r="AE22" s="26">
        <f>'Адм.затраты'!AF8</f>
        <v>1.370833333</v>
      </c>
      <c r="AF22" s="26">
        <f>'Адм.затраты'!AG8</f>
        <v>1.370833333</v>
      </c>
      <c r="AG22" s="26">
        <f>'Адм.затраты'!AH8</f>
        <v>1.370833333</v>
      </c>
      <c r="AH22" s="26">
        <f>'Адм.затраты'!AI8</f>
        <v>1.370833333</v>
      </c>
      <c r="AI22" s="26">
        <f>'Адм.затраты'!AJ8</f>
        <v>1.370833333</v>
      </c>
      <c r="AJ22" s="26">
        <f>'Адм.затраты'!AK8</f>
        <v>1.370833333</v>
      </c>
      <c r="AK22" s="26">
        <f>'Адм.затраты'!AL8</f>
        <v>1.370833333</v>
      </c>
      <c r="AL22" s="26">
        <f>'Адм.затраты'!AM8</f>
        <v>1.370833333</v>
      </c>
      <c r="AM22" s="26">
        <f>'Адм.затраты'!AN8</f>
        <v>1.370833333</v>
      </c>
      <c r="AN22" s="26">
        <f>'Адм.затраты'!AO8</f>
        <v>16.45</v>
      </c>
      <c r="AO22" s="26">
        <f>'Адм.затраты'!AP8</f>
        <v>16.45</v>
      </c>
      <c r="AP22" s="26">
        <f>'Адм.затраты'!AQ8</f>
        <v>16.45</v>
      </c>
      <c r="AQ22" s="26">
        <f>'Адм.затраты'!AR8</f>
        <v>16.45</v>
      </c>
      <c r="AR22" s="26">
        <f>'Адм.затраты'!AS8</f>
        <v>16.45</v>
      </c>
      <c r="AS22" s="26">
        <f>'Адм.затраты'!AT8</f>
        <v>16.45</v>
      </c>
      <c r="AT22" s="26">
        <f>'Адм.затраты'!AU8</f>
        <v>16.45</v>
      </c>
      <c r="AU22" s="26">
        <f>'Адм.затраты'!AV8</f>
        <v>16.45</v>
      </c>
      <c r="AV22" s="26">
        <f>'Адм.затраты'!AW8</f>
        <v>16.45</v>
      </c>
      <c r="AW22" s="26">
        <f>'Адм.затраты'!AX8</f>
        <v>16.45</v>
      </c>
      <c r="AX22" s="26">
        <f>'Адм.затраты'!AY8</f>
        <v>16.45</v>
      </c>
      <c r="AY22" s="26">
        <f>'Адм.затраты'!AZ8</f>
        <v>16.45</v>
      </c>
      <c r="AZ22" s="26">
        <f>'Адм.затраты'!BA8</f>
        <v>16.45</v>
      </c>
      <c r="BA22" s="26">
        <f>'Адм.затраты'!BB8</f>
        <v>16.45</v>
      </c>
      <c r="BB22" s="26">
        <f>'Адм.затраты'!BC8</f>
        <v>16.45</v>
      </c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</row>
    <row r="23" ht="12.75" customHeight="1" outlineLevel="1">
      <c r="A23" s="26" t="str">
        <f>'Адм.затраты'!B9</f>
        <v>Гос.регистрация</v>
      </c>
      <c r="B23" s="26">
        <f>'Адм.затраты'!C9</f>
        <v>2.174416667</v>
      </c>
      <c r="C23" s="26">
        <f>'Адм.затраты'!D9</f>
        <v>2.174416667</v>
      </c>
      <c r="D23" s="26">
        <f>'Адм.затраты'!E9</f>
        <v>2.174416667</v>
      </c>
      <c r="E23" s="26">
        <f>'Адм.затраты'!F9</f>
        <v>2.174416667</v>
      </c>
      <c r="F23" s="26">
        <f>'Адм.затраты'!G9</f>
        <v>2.174416667</v>
      </c>
      <c r="G23" s="26">
        <f>'Адм.затраты'!H9</f>
        <v>2.174416667</v>
      </c>
      <c r="H23" s="26">
        <f>'Адм.затраты'!I9</f>
        <v>2.174416667</v>
      </c>
      <c r="I23" s="26">
        <f>'Адм.затраты'!J9</f>
        <v>2.174416667</v>
      </c>
      <c r="J23" s="26">
        <f>'Адм.затраты'!K9</f>
        <v>2.174416667</v>
      </c>
      <c r="K23" s="26">
        <f>'Адм.затраты'!L9</f>
        <v>2.174416667</v>
      </c>
      <c r="L23" s="26">
        <f>'Адм.затраты'!M9</f>
        <v>2.174416667</v>
      </c>
      <c r="M23" s="26">
        <f>'Адм.затраты'!N9</f>
        <v>2.174416667</v>
      </c>
      <c r="N23" s="26">
        <f>'Адм.затраты'!O9</f>
        <v>26.093</v>
      </c>
      <c r="O23" s="26">
        <f>'Адм.затраты'!P9</f>
        <v>2.174416667</v>
      </c>
      <c r="P23" s="26">
        <f>'Адм.затраты'!Q9</f>
        <v>2.174416667</v>
      </c>
      <c r="Q23" s="26">
        <f>'Адм.затраты'!R9</f>
        <v>2.174416667</v>
      </c>
      <c r="R23" s="26">
        <f>'Адм.затраты'!S9</f>
        <v>2.174416667</v>
      </c>
      <c r="S23" s="26">
        <f>'Адм.затраты'!T9</f>
        <v>2.174416667</v>
      </c>
      <c r="T23" s="26">
        <f>'Адм.затраты'!U9</f>
        <v>2.174416667</v>
      </c>
      <c r="U23" s="26">
        <f>'Адм.затраты'!V9</f>
        <v>2.174416667</v>
      </c>
      <c r="V23" s="26">
        <f>'Адм.затраты'!W9</f>
        <v>2.174416667</v>
      </c>
      <c r="W23" s="26">
        <f>'Адм.затраты'!X9</f>
        <v>2.174416667</v>
      </c>
      <c r="X23" s="26">
        <f>'Адм.затраты'!Y9</f>
        <v>2.174416667</v>
      </c>
      <c r="Y23" s="26">
        <f>'Адм.затраты'!Z9</f>
        <v>2.174416667</v>
      </c>
      <c r="Z23" s="26">
        <f>'Адм.затраты'!AA9</f>
        <v>2.174416667</v>
      </c>
      <c r="AA23" s="26">
        <f>'Адм.затраты'!AB9</f>
        <v>26.093</v>
      </c>
      <c r="AB23" s="26">
        <f>'Адм.затраты'!AC9</f>
        <v>2.174416667</v>
      </c>
      <c r="AC23" s="26">
        <f>'Адм.затраты'!AD9</f>
        <v>2.174416667</v>
      </c>
      <c r="AD23" s="26">
        <f>'Адм.затраты'!AE9</f>
        <v>2.174416667</v>
      </c>
      <c r="AE23" s="26">
        <f>'Адм.затраты'!AF9</f>
        <v>2.174416667</v>
      </c>
      <c r="AF23" s="26">
        <f>'Адм.затраты'!AG9</f>
        <v>2.174416667</v>
      </c>
      <c r="AG23" s="26">
        <f>'Адм.затраты'!AH9</f>
        <v>2.174416667</v>
      </c>
      <c r="AH23" s="26">
        <f>'Адм.затраты'!AI9</f>
        <v>2.174416667</v>
      </c>
      <c r="AI23" s="26">
        <f>'Адм.затраты'!AJ9</f>
        <v>2.174416667</v>
      </c>
      <c r="AJ23" s="26">
        <f>'Адм.затраты'!AK9</f>
        <v>2.174416667</v>
      </c>
      <c r="AK23" s="26">
        <f>'Адм.затраты'!AL9</f>
        <v>2.174416667</v>
      </c>
      <c r="AL23" s="26">
        <f>'Адм.затраты'!AM9</f>
        <v>2.174416667</v>
      </c>
      <c r="AM23" s="26">
        <f>'Адм.затраты'!AN9</f>
        <v>2.174416667</v>
      </c>
      <c r="AN23" s="26">
        <f>'Адм.затраты'!AO9</f>
        <v>26.093</v>
      </c>
      <c r="AO23" s="26">
        <f>'Адм.затраты'!AP9</f>
        <v>26.093</v>
      </c>
      <c r="AP23" s="26">
        <f>'Адм.затраты'!AQ9</f>
        <v>26.093</v>
      </c>
      <c r="AQ23" s="26">
        <f>'Адм.затраты'!AR9</f>
        <v>26.093</v>
      </c>
      <c r="AR23" s="26">
        <f>'Адм.затраты'!AS9</f>
        <v>26.093</v>
      </c>
      <c r="AS23" s="26">
        <f>'Адм.затраты'!AT9</f>
        <v>26.093</v>
      </c>
      <c r="AT23" s="26">
        <f>'Адм.затраты'!AU9</f>
        <v>26.093</v>
      </c>
      <c r="AU23" s="26">
        <f>'Адм.затраты'!AV9</f>
        <v>26.093</v>
      </c>
      <c r="AV23" s="26">
        <f>'Адм.затраты'!AW9</f>
        <v>26.093</v>
      </c>
      <c r="AW23" s="26">
        <f>'Адм.затраты'!AX9</f>
        <v>26.093</v>
      </c>
      <c r="AX23" s="26">
        <f>'Адм.затраты'!AY9</f>
        <v>26.093</v>
      </c>
      <c r="AY23" s="26">
        <f>'Адм.затраты'!AZ9</f>
        <v>26.093</v>
      </c>
      <c r="AZ23" s="26">
        <f>'Адм.затраты'!BA9</f>
        <v>26.093</v>
      </c>
      <c r="BA23" s="26">
        <f>'Адм.затраты'!BB9</f>
        <v>26.093</v>
      </c>
      <c r="BB23" s="26">
        <f>'Адм.затраты'!BC9</f>
        <v>26.093</v>
      </c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</row>
    <row r="24" ht="12.75" customHeight="1" outlineLevel="1">
      <c r="A24" s="26" t="str">
        <f>'Адм.затраты'!B10</f>
        <v>Заправка картриджа</v>
      </c>
      <c r="B24" s="26">
        <f>'Адм.затраты'!C10</f>
        <v>1.666666667</v>
      </c>
      <c r="C24" s="26">
        <f>'Адм.затраты'!D10</f>
        <v>1.666666667</v>
      </c>
      <c r="D24" s="26">
        <f>'Адм.затраты'!E10</f>
        <v>1.666666667</v>
      </c>
      <c r="E24" s="26">
        <f>'Адм.затраты'!F10</f>
        <v>1.666666667</v>
      </c>
      <c r="F24" s="26">
        <f>'Адм.затраты'!G10</f>
        <v>1.666666667</v>
      </c>
      <c r="G24" s="26">
        <f>'Адм.затраты'!H10</f>
        <v>1.666666667</v>
      </c>
      <c r="H24" s="26">
        <f>'Адм.затраты'!I10</f>
        <v>1.666666667</v>
      </c>
      <c r="I24" s="26">
        <f>'Адм.затраты'!J10</f>
        <v>1.666666667</v>
      </c>
      <c r="J24" s="26">
        <f>'Адм.затраты'!K10</f>
        <v>1.666666667</v>
      </c>
      <c r="K24" s="26">
        <f>'Адм.затраты'!L10</f>
        <v>1.666666667</v>
      </c>
      <c r="L24" s="26">
        <f>'Адм.затраты'!M10</f>
        <v>1.666666667</v>
      </c>
      <c r="M24" s="26">
        <f>'Адм.затраты'!N10</f>
        <v>1.666666667</v>
      </c>
      <c r="N24" s="26">
        <f>'Адм.затраты'!O10</f>
        <v>20</v>
      </c>
      <c r="O24" s="26">
        <f>'Адм.затраты'!P10</f>
        <v>1.861666667</v>
      </c>
      <c r="P24" s="26">
        <f>'Адм.затраты'!Q10</f>
        <v>1.861666667</v>
      </c>
      <c r="Q24" s="26">
        <f>'Адм.затраты'!R10</f>
        <v>1.861666667</v>
      </c>
      <c r="R24" s="26">
        <f>'Адм.затраты'!S10</f>
        <v>1.861666667</v>
      </c>
      <c r="S24" s="26">
        <f>'Адм.затраты'!T10</f>
        <v>1.861666667</v>
      </c>
      <c r="T24" s="26">
        <f>'Адм.затраты'!U10</f>
        <v>1.861666667</v>
      </c>
      <c r="U24" s="26">
        <f>'Адм.затраты'!V10</f>
        <v>1.861666667</v>
      </c>
      <c r="V24" s="26">
        <f>'Адм.затраты'!W10</f>
        <v>1.861666667</v>
      </c>
      <c r="W24" s="26">
        <f>'Адм.затраты'!X10</f>
        <v>1.861666667</v>
      </c>
      <c r="X24" s="26">
        <f>'Адм.затраты'!Y10</f>
        <v>1.861666667</v>
      </c>
      <c r="Y24" s="26">
        <f>'Адм.затраты'!Z10</f>
        <v>1.861666667</v>
      </c>
      <c r="Z24" s="26">
        <f>'Адм.затраты'!AA10</f>
        <v>1.861666667</v>
      </c>
      <c r="AA24" s="26">
        <f>'Адм.затраты'!AB10</f>
        <v>22.34</v>
      </c>
      <c r="AB24" s="26">
        <f>'Адм.затраты'!AC10</f>
        <v>2.079481667</v>
      </c>
      <c r="AC24" s="26">
        <f>'Адм.затраты'!AD10</f>
        <v>2.079481667</v>
      </c>
      <c r="AD24" s="26">
        <f>'Адм.затраты'!AE10</f>
        <v>2.079481667</v>
      </c>
      <c r="AE24" s="26">
        <f>'Адм.затраты'!AF10</f>
        <v>2.079481667</v>
      </c>
      <c r="AF24" s="26">
        <f>'Адм.затраты'!AG10</f>
        <v>2.079481667</v>
      </c>
      <c r="AG24" s="26">
        <f>'Адм.затраты'!AH10</f>
        <v>2.079481667</v>
      </c>
      <c r="AH24" s="26">
        <f>'Адм.затраты'!AI10</f>
        <v>2.079481667</v>
      </c>
      <c r="AI24" s="26">
        <f>'Адм.затраты'!AJ10</f>
        <v>2.079481667</v>
      </c>
      <c r="AJ24" s="26">
        <f>'Адм.затраты'!AK10</f>
        <v>2.079481667</v>
      </c>
      <c r="AK24" s="26">
        <f>'Адм.затраты'!AL10</f>
        <v>2.079481667</v>
      </c>
      <c r="AL24" s="26">
        <f>'Адм.затраты'!AM10</f>
        <v>2.079481667</v>
      </c>
      <c r="AM24" s="26">
        <f>'Адм.затраты'!AN10</f>
        <v>2.079481667</v>
      </c>
      <c r="AN24" s="26">
        <f>'Адм.затраты'!AO10</f>
        <v>24.95378</v>
      </c>
      <c r="AO24" s="26">
        <f>'Адм.затраты'!AP10</f>
        <v>27.87337226</v>
      </c>
      <c r="AP24" s="26">
        <f>'Адм.затраты'!AQ10</f>
        <v>31.13455681</v>
      </c>
      <c r="AQ24" s="26">
        <f>'Адм.затраты'!AR10</f>
        <v>34.77729996</v>
      </c>
      <c r="AR24" s="26">
        <f>'Адм.затраты'!AS10</f>
        <v>38.84624406</v>
      </c>
      <c r="AS24" s="26">
        <f>'Адм.затраты'!AT10</f>
        <v>43.39125461</v>
      </c>
      <c r="AT24" s="26">
        <f>'Адм.затраты'!AU10</f>
        <v>48.4680314</v>
      </c>
      <c r="AU24" s="26">
        <f>'Адм.затраты'!AV10</f>
        <v>54.13879108</v>
      </c>
      <c r="AV24" s="26">
        <f>'Адм.затраты'!AW10</f>
        <v>60.47302963</v>
      </c>
      <c r="AW24" s="26">
        <f>'Адм.затраты'!AX10</f>
        <v>67.5483741</v>
      </c>
      <c r="AX24" s="26">
        <f>'Адм.затраты'!AY10</f>
        <v>75.45153387</v>
      </c>
      <c r="AY24" s="26">
        <f>'Адм.затраты'!AZ10</f>
        <v>84.27936333</v>
      </c>
      <c r="AZ24" s="26">
        <f>'Адм.затраты'!BA10</f>
        <v>94.14004884</v>
      </c>
      <c r="BA24" s="26">
        <f>'Адм.затраты'!BB10</f>
        <v>105.1544346</v>
      </c>
      <c r="BB24" s="26">
        <f>'Адм.затраты'!BC10</f>
        <v>117.4575034</v>
      </c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</row>
    <row r="25" ht="12.75" customHeight="1" outlineLevel="1">
      <c r="A25" s="26" t="str">
        <f>'Адм.затраты'!B11</f>
        <v>Изготовление и цветная распечатка</v>
      </c>
      <c r="B25" s="26">
        <f>'Адм.затраты'!C11</f>
        <v>0.2783333333</v>
      </c>
      <c r="C25" s="26">
        <f>'Адм.затраты'!D11</f>
        <v>0.2783333333</v>
      </c>
      <c r="D25" s="26">
        <f>'Адм.затраты'!E11</f>
        <v>0.2783333333</v>
      </c>
      <c r="E25" s="26">
        <f>'Адм.затраты'!F11</f>
        <v>0.2783333333</v>
      </c>
      <c r="F25" s="26">
        <f>'Адм.затраты'!G11</f>
        <v>0.2783333333</v>
      </c>
      <c r="G25" s="26">
        <f>'Адм.затраты'!H11</f>
        <v>0.2783333333</v>
      </c>
      <c r="H25" s="26">
        <f>'Адм.затраты'!I11</f>
        <v>0.2783333333</v>
      </c>
      <c r="I25" s="26">
        <f>'Адм.затраты'!J11</f>
        <v>0.2783333333</v>
      </c>
      <c r="J25" s="26">
        <f>'Адм.затраты'!K11</f>
        <v>0.2783333333</v>
      </c>
      <c r="K25" s="26">
        <f>'Адм.затраты'!L11</f>
        <v>0.2783333333</v>
      </c>
      <c r="L25" s="26">
        <f>'Адм.затраты'!M11</f>
        <v>0.2783333333</v>
      </c>
      <c r="M25" s="26">
        <f>'Адм.затраты'!N11</f>
        <v>0.2783333333</v>
      </c>
      <c r="N25" s="26">
        <f>'Адм.затраты'!O11</f>
        <v>3.34</v>
      </c>
      <c r="O25" s="26">
        <f>'Адм.затраты'!P11</f>
        <v>0.3108983333</v>
      </c>
      <c r="P25" s="26">
        <f>'Адм.затраты'!Q11</f>
        <v>0.3108983333</v>
      </c>
      <c r="Q25" s="26">
        <f>'Адм.затраты'!R11</f>
        <v>0.3108983333</v>
      </c>
      <c r="R25" s="26">
        <f>'Адм.затраты'!S11</f>
        <v>0.3108983333</v>
      </c>
      <c r="S25" s="26">
        <f>'Адм.затраты'!T11</f>
        <v>0.3108983333</v>
      </c>
      <c r="T25" s="26">
        <f>'Адм.затраты'!U11</f>
        <v>0.3108983333</v>
      </c>
      <c r="U25" s="26">
        <f>'Адм.затраты'!V11</f>
        <v>0.3108983333</v>
      </c>
      <c r="V25" s="26">
        <f>'Адм.затраты'!W11</f>
        <v>0.3108983333</v>
      </c>
      <c r="W25" s="26">
        <f>'Адм.затраты'!X11</f>
        <v>0.3108983333</v>
      </c>
      <c r="X25" s="26">
        <f>'Адм.затраты'!Y11</f>
        <v>0.3108983333</v>
      </c>
      <c r="Y25" s="26">
        <f>'Адм.затраты'!Z11</f>
        <v>0.3108983333</v>
      </c>
      <c r="Z25" s="26">
        <f>'Адм.затраты'!AA11</f>
        <v>0.3108983333</v>
      </c>
      <c r="AA25" s="26">
        <f>'Адм.затраты'!AB11</f>
        <v>3.73078</v>
      </c>
      <c r="AB25" s="26">
        <f>'Адм.затраты'!AC11</f>
        <v>0.3472734383</v>
      </c>
      <c r="AC25" s="26">
        <f>'Адм.затраты'!AD11</f>
        <v>0.3472734383</v>
      </c>
      <c r="AD25" s="26">
        <f>'Адм.затраты'!AE11</f>
        <v>0.3472734383</v>
      </c>
      <c r="AE25" s="26">
        <f>'Адм.затраты'!AF11</f>
        <v>0.3472734383</v>
      </c>
      <c r="AF25" s="26">
        <f>'Адм.затраты'!AG11</f>
        <v>0.3472734383</v>
      </c>
      <c r="AG25" s="26">
        <f>'Адм.затраты'!AH11</f>
        <v>0.3472734383</v>
      </c>
      <c r="AH25" s="26">
        <f>'Адм.затраты'!AI11</f>
        <v>0.3472734383</v>
      </c>
      <c r="AI25" s="26">
        <f>'Адм.затраты'!AJ11</f>
        <v>0.3472734383</v>
      </c>
      <c r="AJ25" s="26">
        <f>'Адм.затраты'!AK11</f>
        <v>0.3472734383</v>
      </c>
      <c r="AK25" s="26">
        <f>'Адм.затраты'!AL11</f>
        <v>0.3472734383</v>
      </c>
      <c r="AL25" s="26">
        <f>'Адм.затраты'!AM11</f>
        <v>0.3472734383</v>
      </c>
      <c r="AM25" s="26">
        <f>'Адм.затраты'!AN11</f>
        <v>0.3472734383</v>
      </c>
      <c r="AN25" s="26">
        <f>'Адм.затраты'!AO11</f>
        <v>4.16728126</v>
      </c>
      <c r="AO25" s="26">
        <f>'Адм.затраты'!AP11</f>
        <v>4.654853167</v>
      </c>
      <c r="AP25" s="26">
        <f>'Адм.затраты'!AQ11</f>
        <v>5.199470988</v>
      </c>
      <c r="AQ25" s="26">
        <f>'Адм.затраты'!AR11</f>
        <v>5.807809094</v>
      </c>
      <c r="AR25" s="26">
        <f>'Адм.затраты'!AS11</f>
        <v>6.487322758</v>
      </c>
      <c r="AS25" s="26">
        <f>'Адм.затраты'!AT11</f>
        <v>7.24633952</v>
      </c>
      <c r="AT25" s="26">
        <f>'Адм.затраты'!AU11</f>
        <v>8.094161244</v>
      </c>
      <c r="AU25" s="26">
        <f>'Адм.затраты'!AV11</f>
        <v>9.04117811</v>
      </c>
      <c r="AV25" s="26">
        <f>'Адм.затраты'!AW11</f>
        <v>10.09899595</v>
      </c>
      <c r="AW25" s="26">
        <f>'Адм.затраты'!AX11</f>
        <v>11.28057847</v>
      </c>
      <c r="AX25" s="26">
        <f>'Адм.затраты'!AY11</f>
        <v>12.60040616</v>
      </c>
      <c r="AY25" s="26">
        <f>'Адм.затраты'!AZ11</f>
        <v>14.07465368</v>
      </c>
      <c r="AZ25" s="26">
        <f>'Адм.затраты'!BA11</f>
        <v>15.72138816</v>
      </c>
      <c r="BA25" s="26">
        <f>'Адм.затраты'!BB11</f>
        <v>17.56079057</v>
      </c>
      <c r="BB25" s="26">
        <f>'Адм.затраты'!BC11</f>
        <v>19.61540307</v>
      </c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</row>
    <row r="26" ht="12.75" customHeight="1" outlineLevel="1">
      <c r="A26" s="26" t="str">
        <f>'Адм.затраты'!B12</f>
        <v>Канцелярские товары</v>
      </c>
      <c r="B26" s="26">
        <f>'Адм.затраты'!C12</f>
        <v>5.104040833</v>
      </c>
      <c r="C26" s="26">
        <f>'Адм.затраты'!D12</f>
        <v>5.104040833</v>
      </c>
      <c r="D26" s="26">
        <f>'Адм.затраты'!E12</f>
        <v>5.104040833</v>
      </c>
      <c r="E26" s="26">
        <f>'Адм.затраты'!F12</f>
        <v>5.104040833</v>
      </c>
      <c r="F26" s="26">
        <f>'Адм.затраты'!G12</f>
        <v>5.104040833</v>
      </c>
      <c r="G26" s="26">
        <f>'Адм.затраты'!H12</f>
        <v>5.104040833</v>
      </c>
      <c r="H26" s="26">
        <f>'Адм.затраты'!I12</f>
        <v>5.104040833</v>
      </c>
      <c r="I26" s="26">
        <f>'Адм.затраты'!J12</f>
        <v>5.104040833</v>
      </c>
      <c r="J26" s="26">
        <f>'Адм.затраты'!K12</f>
        <v>5.104040833</v>
      </c>
      <c r="K26" s="26">
        <f>'Адм.затраты'!L12</f>
        <v>5.104040833</v>
      </c>
      <c r="L26" s="26">
        <f>'Адм.затраты'!M12</f>
        <v>5.104040833</v>
      </c>
      <c r="M26" s="26">
        <f>'Адм.затраты'!N12</f>
        <v>5.104040833</v>
      </c>
      <c r="N26" s="26">
        <f>'Адм.затраты'!O12</f>
        <v>61.24849</v>
      </c>
      <c r="O26" s="26">
        <f>'Адм.затраты'!P12</f>
        <v>5.701213611</v>
      </c>
      <c r="P26" s="26">
        <f>'Адм.затраты'!Q12</f>
        <v>5.701213611</v>
      </c>
      <c r="Q26" s="26">
        <f>'Адм.затраты'!R12</f>
        <v>5.701213611</v>
      </c>
      <c r="R26" s="26">
        <f>'Адм.затраты'!S12</f>
        <v>5.701213611</v>
      </c>
      <c r="S26" s="26">
        <f>'Адм.затраты'!T12</f>
        <v>5.701213611</v>
      </c>
      <c r="T26" s="26">
        <f>'Адм.затраты'!U12</f>
        <v>5.701213611</v>
      </c>
      <c r="U26" s="26">
        <f>'Адм.затраты'!V12</f>
        <v>5.701213611</v>
      </c>
      <c r="V26" s="26">
        <f>'Адм.затраты'!W12</f>
        <v>5.701213611</v>
      </c>
      <c r="W26" s="26">
        <f>'Адм.затраты'!X12</f>
        <v>5.701213611</v>
      </c>
      <c r="X26" s="26">
        <f>'Адм.затраты'!Y12</f>
        <v>5.701213611</v>
      </c>
      <c r="Y26" s="26">
        <f>'Адм.затраты'!Z12</f>
        <v>5.701213611</v>
      </c>
      <c r="Z26" s="26">
        <f>'Адм.затраты'!AA12</f>
        <v>5.701213611</v>
      </c>
      <c r="AA26" s="26">
        <f>'Адм.затраты'!AB12</f>
        <v>68.41456333</v>
      </c>
      <c r="AB26" s="26">
        <f>'Адм.затраты'!AC12</f>
        <v>6.368255603</v>
      </c>
      <c r="AC26" s="26">
        <f>'Адм.затраты'!AD12</f>
        <v>6.368255603</v>
      </c>
      <c r="AD26" s="26">
        <f>'Адм.затраты'!AE12</f>
        <v>6.368255603</v>
      </c>
      <c r="AE26" s="26">
        <f>'Адм.затраты'!AF12</f>
        <v>6.368255603</v>
      </c>
      <c r="AF26" s="26">
        <f>'Адм.затраты'!AG12</f>
        <v>6.368255603</v>
      </c>
      <c r="AG26" s="26">
        <f>'Адм.затраты'!AH12</f>
        <v>6.368255603</v>
      </c>
      <c r="AH26" s="26">
        <f>'Адм.затраты'!AI12</f>
        <v>6.368255603</v>
      </c>
      <c r="AI26" s="26">
        <f>'Адм.затраты'!AJ12</f>
        <v>6.368255603</v>
      </c>
      <c r="AJ26" s="26">
        <f>'Адм.затраты'!AK12</f>
        <v>6.368255603</v>
      </c>
      <c r="AK26" s="26">
        <f>'Адм.затраты'!AL12</f>
        <v>6.368255603</v>
      </c>
      <c r="AL26" s="26">
        <f>'Адм.затраты'!AM12</f>
        <v>6.368255603</v>
      </c>
      <c r="AM26" s="26">
        <f>'Адм.затраты'!AN12</f>
        <v>6.368255603</v>
      </c>
      <c r="AN26" s="26">
        <f>'Адм.затраты'!AO12</f>
        <v>76.41906724</v>
      </c>
      <c r="AO26" s="26">
        <f>'Адм.затраты'!AP12</f>
        <v>85.36009811</v>
      </c>
      <c r="AP26" s="26">
        <f>'Адм.затраты'!AQ12</f>
        <v>95.34722959</v>
      </c>
      <c r="AQ26" s="26">
        <f>'Адм.затраты'!AR12</f>
        <v>106.5028554</v>
      </c>
      <c r="AR26" s="26">
        <f>'Адм.затраты'!AS12</f>
        <v>118.9636895</v>
      </c>
      <c r="AS26" s="26">
        <f>'Адм.затраты'!AT12</f>
        <v>132.8824412</v>
      </c>
      <c r="AT26" s="26">
        <f>'Адм.затраты'!AU12</f>
        <v>148.4296868</v>
      </c>
      <c r="AU26" s="26">
        <f>'Адм.затраты'!AV12</f>
        <v>165.7959602</v>
      </c>
      <c r="AV26" s="26">
        <f>'Адм.затраты'!AW12</f>
        <v>185.1940875</v>
      </c>
      <c r="AW26" s="26">
        <f>'Адм.затраты'!AX12</f>
        <v>206.8617958</v>
      </c>
      <c r="AX26" s="26">
        <f>'Адм.затраты'!AY12</f>
        <v>231.0646259</v>
      </c>
      <c r="AY26" s="26">
        <f>'Адм.затраты'!AZ12</f>
        <v>258.0991871</v>
      </c>
      <c r="AZ26" s="26">
        <f>'Адм.затраты'!BA12</f>
        <v>288.296792</v>
      </c>
      <c r="BA26" s="26">
        <f>'Адм.затраты'!BB12</f>
        <v>322.0275167</v>
      </c>
      <c r="BB26" s="26">
        <f>'Адм.затраты'!BC12</f>
        <v>359.7047361</v>
      </c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</row>
    <row r="27" ht="12.75" customHeight="1" outlineLevel="1">
      <c r="A27" s="26" t="str">
        <f>'Адм.затраты'!B13</f>
        <v>Налог на транспорт</v>
      </c>
      <c r="B27" s="26">
        <f>'Адм.затраты'!C13</f>
        <v>0.52</v>
      </c>
      <c r="C27" s="26">
        <f>'Адм.затраты'!D13</f>
        <v>0.52</v>
      </c>
      <c r="D27" s="26">
        <f>'Адм.затраты'!E13</f>
        <v>0.52</v>
      </c>
      <c r="E27" s="26">
        <f>'Адм.затраты'!F13</f>
        <v>0.52</v>
      </c>
      <c r="F27" s="26">
        <f>'Адм.затраты'!G13</f>
        <v>0.52</v>
      </c>
      <c r="G27" s="26">
        <f>'Адм.затраты'!H13</f>
        <v>0.52</v>
      </c>
      <c r="H27" s="26">
        <f>'Адм.затраты'!I13</f>
        <v>0.52</v>
      </c>
      <c r="I27" s="26">
        <f>'Адм.затраты'!J13</f>
        <v>0.52</v>
      </c>
      <c r="J27" s="26">
        <f>'Адм.затраты'!K13</f>
        <v>0.52</v>
      </c>
      <c r="K27" s="26">
        <f>'Адм.затраты'!L13</f>
        <v>0.52</v>
      </c>
      <c r="L27" s="26">
        <f>'Адм.затраты'!M13</f>
        <v>0.52</v>
      </c>
      <c r="M27" s="26">
        <f>'Адм.затраты'!N13</f>
        <v>0.52</v>
      </c>
      <c r="N27" s="26">
        <f>'Адм.затраты'!O13</f>
        <v>6.24</v>
      </c>
      <c r="O27" s="26">
        <f>'Адм.затраты'!P13</f>
        <v>0.52</v>
      </c>
      <c r="P27" s="26">
        <f>'Адм.затраты'!Q13</f>
        <v>0.52</v>
      </c>
      <c r="Q27" s="26">
        <f>'Адм.затраты'!R13</f>
        <v>0.52</v>
      </c>
      <c r="R27" s="26">
        <f>'Адм.затраты'!S13</f>
        <v>0.52</v>
      </c>
      <c r="S27" s="26">
        <f>'Адм.затраты'!T13</f>
        <v>0.52</v>
      </c>
      <c r="T27" s="26">
        <f>'Адм.затраты'!U13</f>
        <v>0.52</v>
      </c>
      <c r="U27" s="26">
        <f>'Адм.затраты'!V13</f>
        <v>0.52</v>
      </c>
      <c r="V27" s="26">
        <f>'Адм.затраты'!W13</f>
        <v>0.52</v>
      </c>
      <c r="W27" s="26">
        <f>'Адм.затраты'!X13</f>
        <v>0.52</v>
      </c>
      <c r="X27" s="26">
        <f>'Адм.затраты'!Y13</f>
        <v>0.52</v>
      </c>
      <c r="Y27" s="26">
        <f>'Адм.затраты'!Z13</f>
        <v>0.52</v>
      </c>
      <c r="Z27" s="26">
        <f>'Адм.затраты'!AA13</f>
        <v>0.52</v>
      </c>
      <c r="AA27" s="26">
        <f>'Адм.затраты'!AB13</f>
        <v>6.24</v>
      </c>
      <c r="AB27" s="26">
        <f>'Адм.затраты'!AC13</f>
        <v>0.52</v>
      </c>
      <c r="AC27" s="26">
        <f>'Адм.затраты'!AD13</f>
        <v>0.52</v>
      </c>
      <c r="AD27" s="26">
        <f>'Адм.затраты'!AE13</f>
        <v>0.52</v>
      </c>
      <c r="AE27" s="26">
        <f>'Адм.затраты'!AF13</f>
        <v>0.52</v>
      </c>
      <c r="AF27" s="26">
        <f>'Адм.затраты'!AG13</f>
        <v>0.52</v>
      </c>
      <c r="AG27" s="26">
        <f>'Адм.затраты'!AH13</f>
        <v>0.52</v>
      </c>
      <c r="AH27" s="26">
        <f>'Адм.затраты'!AI13</f>
        <v>0.52</v>
      </c>
      <c r="AI27" s="26">
        <f>'Адм.затраты'!AJ13</f>
        <v>0.52</v>
      </c>
      <c r="AJ27" s="26">
        <f>'Адм.затраты'!AK13</f>
        <v>0.52</v>
      </c>
      <c r="AK27" s="26">
        <f>'Адм.затраты'!AL13</f>
        <v>0.52</v>
      </c>
      <c r="AL27" s="26">
        <f>'Адм.затраты'!AM13</f>
        <v>0.52</v>
      </c>
      <c r="AM27" s="26">
        <f>'Адм.затраты'!AN13</f>
        <v>0.52</v>
      </c>
      <c r="AN27" s="26">
        <f>'Адм.затраты'!AO13</f>
        <v>6.24</v>
      </c>
      <c r="AO27" s="26">
        <f>'Адм.затраты'!AP13</f>
        <v>6.24</v>
      </c>
      <c r="AP27" s="26">
        <f>'Адм.затраты'!AQ13</f>
        <v>6.24</v>
      </c>
      <c r="AQ27" s="26">
        <f>'Адм.затраты'!AR13</f>
        <v>6.24</v>
      </c>
      <c r="AR27" s="26">
        <f>'Адм.затраты'!AS13</f>
        <v>6.24</v>
      </c>
      <c r="AS27" s="26">
        <f>'Адм.затраты'!AT13</f>
        <v>6.24</v>
      </c>
      <c r="AT27" s="26">
        <f>'Адм.затраты'!AU13</f>
        <v>6.24</v>
      </c>
      <c r="AU27" s="26">
        <f>'Адм.затраты'!AV13</f>
        <v>6.24</v>
      </c>
      <c r="AV27" s="26">
        <f>'Адм.затраты'!AW13</f>
        <v>6.24</v>
      </c>
      <c r="AW27" s="26">
        <f>'Адм.затраты'!AX13</f>
        <v>6.24</v>
      </c>
      <c r="AX27" s="26">
        <f>'Адм.затраты'!AY13</f>
        <v>6.24</v>
      </c>
      <c r="AY27" s="26">
        <f>'Адм.затраты'!AZ13</f>
        <v>6.24</v>
      </c>
      <c r="AZ27" s="26">
        <f>'Адм.затраты'!BA13</f>
        <v>6.24</v>
      </c>
      <c r="BA27" s="26">
        <f>'Адм.затраты'!BB13</f>
        <v>6.24</v>
      </c>
      <c r="BB27" s="26">
        <f>'Адм.затраты'!BC13</f>
        <v>6.24</v>
      </c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</row>
    <row r="28" ht="12.75" customHeight="1" outlineLevel="1">
      <c r="A28" s="26" t="str">
        <f>'Адм.затраты'!B14</f>
        <v>Отчисления ОСМС</v>
      </c>
      <c r="B28" s="26">
        <f>'Адм.затраты'!C14</f>
        <v>11.11111111</v>
      </c>
      <c r="C28" s="26">
        <f>'Адм.затраты'!D14</f>
        <v>11.11111111</v>
      </c>
      <c r="D28" s="26">
        <f>'Адм.затраты'!E14</f>
        <v>11.11111111</v>
      </c>
      <c r="E28" s="26">
        <f>'Адм.затраты'!F14</f>
        <v>11.11111111</v>
      </c>
      <c r="F28" s="26">
        <f>'Адм.затраты'!G14</f>
        <v>11.11111111</v>
      </c>
      <c r="G28" s="26">
        <f>'Адм.затраты'!H14</f>
        <v>11.11111111</v>
      </c>
      <c r="H28" s="26">
        <f>'Адм.затраты'!I14</f>
        <v>11.11111111</v>
      </c>
      <c r="I28" s="26">
        <f>'Адм.затраты'!J14</f>
        <v>11.11111111</v>
      </c>
      <c r="J28" s="26">
        <f>'Адм.затраты'!K14</f>
        <v>11.11111111</v>
      </c>
      <c r="K28" s="26">
        <f>'Адм.затраты'!L14</f>
        <v>11.11111111</v>
      </c>
      <c r="L28" s="26">
        <f>'Адм.затраты'!M14</f>
        <v>11.11111111</v>
      </c>
      <c r="M28" s="26">
        <f>'Адм.затраты'!N14</f>
        <v>11.11111111</v>
      </c>
      <c r="N28" s="26">
        <f>'Адм.затраты'!O14</f>
        <v>133.3333333</v>
      </c>
      <c r="O28" s="26">
        <f>'Адм.затраты'!P14</f>
        <v>11.11111111</v>
      </c>
      <c r="P28" s="26">
        <f>'Адм.затраты'!Q14</f>
        <v>11.11111111</v>
      </c>
      <c r="Q28" s="26">
        <f>'Адм.затраты'!R14</f>
        <v>11.11111111</v>
      </c>
      <c r="R28" s="26">
        <f>'Адм.затраты'!S14</f>
        <v>11.11111111</v>
      </c>
      <c r="S28" s="26">
        <f>'Адм.затраты'!T14</f>
        <v>11.11111111</v>
      </c>
      <c r="T28" s="26">
        <f>'Адм.затраты'!U14</f>
        <v>11.11111111</v>
      </c>
      <c r="U28" s="26">
        <f>'Адм.затраты'!V14</f>
        <v>11.11111111</v>
      </c>
      <c r="V28" s="26">
        <f>'Адм.затраты'!W14</f>
        <v>11.11111111</v>
      </c>
      <c r="W28" s="26">
        <f>'Адм.затраты'!X14</f>
        <v>11.11111111</v>
      </c>
      <c r="X28" s="26">
        <f>'Адм.затраты'!Y14</f>
        <v>11.11111111</v>
      </c>
      <c r="Y28" s="26">
        <f>'Адм.затраты'!Z14</f>
        <v>11.11111111</v>
      </c>
      <c r="Z28" s="26">
        <f>'Адм.затраты'!AA14</f>
        <v>11.11111111</v>
      </c>
      <c r="AA28" s="26">
        <f>'Адм.затраты'!AB14</f>
        <v>133.3333333</v>
      </c>
      <c r="AB28" s="26">
        <f>'Адм.затраты'!AC14</f>
        <v>22.22222222</v>
      </c>
      <c r="AC28" s="26">
        <f>'Адм.затраты'!AD14</f>
        <v>22.22222222</v>
      </c>
      <c r="AD28" s="26">
        <f>'Адм.затраты'!AE14</f>
        <v>22.22222222</v>
      </c>
      <c r="AE28" s="26">
        <f>'Адм.затраты'!AF14</f>
        <v>22.22222222</v>
      </c>
      <c r="AF28" s="26">
        <f>'Адм.затраты'!AG14</f>
        <v>22.22222222</v>
      </c>
      <c r="AG28" s="26">
        <f>'Адм.затраты'!AH14</f>
        <v>22.22222222</v>
      </c>
      <c r="AH28" s="26">
        <f>'Адм.затраты'!AI14</f>
        <v>22.22222222</v>
      </c>
      <c r="AI28" s="26">
        <f>'Адм.затраты'!AJ14</f>
        <v>22.22222222</v>
      </c>
      <c r="AJ28" s="26">
        <f>'Адм.затраты'!AK14</f>
        <v>22.22222222</v>
      </c>
      <c r="AK28" s="26">
        <f>'Адм.затраты'!AL14</f>
        <v>22.22222222</v>
      </c>
      <c r="AL28" s="26">
        <f>'Адм.затраты'!AM14</f>
        <v>22.22222222</v>
      </c>
      <c r="AM28" s="26">
        <f>'Адм.затраты'!AN14</f>
        <v>22.22222222</v>
      </c>
      <c r="AN28" s="26">
        <f>'Адм.затраты'!AO14</f>
        <v>266.6666667</v>
      </c>
      <c r="AO28" s="26">
        <f>'Адм.затраты'!AP14</f>
        <v>266.6666667</v>
      </c>
      <c r="AP28" s="26">
        <f>'Адм.затраты'!AQ14</f>
        <v>266.6666667</v>
      </c>
      <c r="AQ28" s="26">
        <f>'Адм.затраты'!AR14</f>
        <v>266.6666667</v>
      </c>
      <c r="AR28" s="26">
        <f>'Адм.затраты'!AS14</f>
        <v>266.6666667</v>
      </c>
      <c r="AS28" s="26">
        <f>'Адм.затраты'!AT14</f>
        <v>266.6666667</v>
      </c>
      <c r="AT28" s="26">
        <f>'Адм.затраты'!AU14</f>
        <v>266.6666667</v>
      </c>
      <c r="AU28" s="26">
        <f>'Адм.затраты'!AV14</f>
        <v>266.6666667</v>
      </c>
      <c r="AV28" s="26">
        <f>'Адм.затраты'!AW14</f>
        <v>266.6666667</v>
      </c>
      <c r="AW28" s="26">
        <f>'Адм.затраты'!AX14</f>
        <v>266.6666667</v>
      </c>
      <c r="AX28" s="26">
        <f>'Адм.затраты'!AY14</f>
        <v>266.6666667</v>
      </c>
      <c r="AY28" s="26">
        <f>'Адм.затраты'!AZ14</f>
        <v>266.6666667</v>
      </c>
      <c r="AZ28" s="26">
        <f>'Адм.затраты'!BA14</f>
        <v>266.6666667</v>
      </c>
      <c r="BA28" s="26">
        <f>'Адм.затраты'!BB14</f>
        <v>266.6666667</v>
      </c>
      <c r="BB28" s="26">
        <f>'Адм.затраты'!BC14</f>
        <v>266.6666667</v>
      </c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</row>
    <row r="29" ht="12.75" customHeight="1" outlineLevel="1">
      <c r="A29" s="26" t="str">
        <f>'Адм.затраты'!B15</f>
        <v>Оценка имущества</v>
      </c>
      <c r="B29" s="26">
        <f>'Адм.затраты'!C15</f>
        <v>41.66666667</v>
      </c>
      <c r="C29" s="26">
        <f>'Адм.затраты'!D15</f>
        <v>41.66666667</v>
      </c>
      <c r="D29" s="26">
        <f>'Адм.затраты'!E15</f>
        <v>41.66666667</v>
      </c>
      <c r="E29" s="26">
        <f>'Адм.затраты'!F15</f>
        <v>41.66666667</v>
      </c>
      <c r="F29" s="26">
        <f>'Адм.затраты'!G15</f>
        <v>41.66666667</v>
      </c>
      <c r="G29" s="26">
        <f>'Адм.затраты'!H15</f>
        <v>41.66666667</v>
      </c>
      <c r="H29" s="26">
        <f>'Адм.затраты'!I15</f>
        <v>41.66666667</v>
      </c>
      <c r="I29" s="26">
        <f>'Адм.затраты'!J15</f>
        <v>41.66666667</v>
      </c>
      <c r="J29" s="26">
        <f>'Адм.затраты'!K15</f>
        <v>41.66666667</v>
      </c>
      <c r="K29" s="26">
        <f>'Адм.затраты'!L15</f>
        <v>41.66666667</v>
      </c>
      <c r="L29" s="26">
        <f>'Адм.затраты'!M15</f>
        <v>41.66666667</v>
      </c>
      <c r="M29" s="26">
        <f>'Адм.затраты'!N15</f>
        <v>41.66666667</v>
      </c>
      <c r="N29" s="26">
        <f>'Адм.затраты'!O15</f>
        <v>500</v>
      </c>
      <c r="O29" s="26">
        <f>'Адм.затраты'!P15</f>
        <v>41.66666667</v>
      </c>
      <c r="P29" s="26">
        <f>'Адм.затраты'!Q15</f>
        <v>41.66666667</v>
      </c>
      <c r="Q29" s="26">
        <f>'Адм.затраты'!R15</f>
        <v>41.66666667</v>
      </c>
      <c r="R29" s="26">
        <f>'Адм.затраты'!S15</f>
        <v>41.66666667</v>
      </c>
      <c r="S29" s="26">
        <f>'Адм.затраты'!T15</f>
        <v>41.66666667</v>
      </c>
      <c r="T29" s="26">
        <f>'Адм.затраты'!U15</f>
        <v>41.66666667</v>
      </c>
      <c r="U29" s="26">
        <f>'Адм.затраты'!V15</f>
        <v>41.66666667</v>
      </c>
      <c r="V29" s="26">
        <f>'Адм.затраты'!W15</f>
        <v>41.66666667</v>
      </c>
      <c r="W29" s="26">
        <f>'Адм.затраты'!X15</f>
        <v>41.66666667</v>
      </c>
      <c r="X29" s="26">
        <f>'Адм.затраты'!Y15</f>
        <v>41.66666667</v>
      </c>
      <c r="Y29" s="26">
        <f>'Адм.затраты'!Z15</f>
        <v>41.66666667</v>
      </c>
      <c r="Z29" s="26">
        <f>'Адм.затраты'!AA15</f>
        <v>41.66666667</v>
      </c>
      <c r="AA29" s="26">
        <f>'Адм.затраты'!AB15</f>
        <v>500</v>
      </c>
      <c r="AB29" s="26">
        <f>'Адм.затраты'!AC15</f>
        <v>41.66666667</v>
      </c>
      <c r="AC29" s="26">
        <f>'Адм.затраты'!AD15</f>
        <v>41.66666667</v>
      </c>
      <c r="AD29" s="26">
        <f>'Адм.затраты'!AE15</f>
        <v>41.66666667</v>
      </c>
      <c r="AE29" s="26">
        <f>'Адм.затраты'!AF15</f>
        <v>41.66666667</v>
      </c>
      <c r="AF29" s="26">
        <f>'Адм.затраты'!AG15</f>
        <v>41.66666667</v>
      </c>
      <c r="AG29" s="26">
        <f>'Адм.затраты'!AH15</f>
        <v>41.66666667</v>
      </c>
      <c r="AH29" s="26">
        <f>'Адм.затраты'!AI15</f>
        <v>41.66666667</v>
      </c>
      <c r="AI29" s="26">
        <f>'Адм.затраты'!AJ15</f>
        <v>41.66666667</v>
      </c>
      <c r="AJ29" s="26">
        <f>'Адм.затраты'!AK15</f>
        <v>41.66666667</v>
      </c>
      <c r="AK29" s="26">
        <f>'Адм.затраты'!AL15</f>
        <v>41.66666667</v>
      </c>
      <c r="AL29" s="26">
        <f>'Адм.затраты'!AM15</f>
        <v>41.66666667</v>
      </c>
      <c r="AM29" s="26">
        <f>'Адм.затраты'!AN15</f>
        <v>41.66666667</v>
      </c>
      <c r="AN29" s="26">
        <f>'Адм.затраты'!AO15</f>
        <v>500</v>
      </c>
      <c r="AO29" s="26">
        <f>'Адм.затраты'!AP15</f>
        <v>500</v>
      </c>
      <c r="AP29" s="26">
        <f>'Адм.затраты'!AQ15</f>
        <v>500</v>
      </c>
      <c r="AQ29" s="26">
        <f>'Адм.затраты'!AR15</f>
        <v>500</v>
      </c>
      <c r="AR29" s="26">
        <f>'Адм.затраты'!AS15</f>
        <v>500</v>
      </c>
      <c r="AS29" s="26">
        <f>'Адм.затраты'!AT15</f>
        <v>500</v>
      </c>
      <c r="AT29" s="26">
        <f>'Адм.затраты'!AU15</f>
        <v>500</v>
      </c>
      <c r="AU29" s="26">
        <f>'Адм.затраты'!AV15</f>
        <v>500</v>
      </c>
      <c r="AV29" s="26">
        <f>'Адм.затраты'!AW15</f>
        <v>500</v>
      </c>
      <c r="AW29" s="26">
        <f>'Адм.затраты'!AX15</f>
        <v>500</v>
      </c>
      <c r="AX29" s="26">
        <f>'Адм.затраты'!AY15</f>
        <v>500</v>
      </c>
      <c r="AY29" s="26">
        <f>'Адм.затраты'!AZ15</f>
        <v>500</v>
      </c>
      <c r="AZ29" s="26">
        <f>'Адм.затраты'!BA15</f>
        <v>500</v>
      </c>
      <c r="BA29" s="26">
        <f>'Адм.затраты'!BB15</f>
        <v>500</v>
      </c>
      <c r="BB29" s="26">
        <f>'Адм.затраты'!BC15</f>
        <v>500</v>
      </c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</row>
    <row r="30" ht="12.75" customHeight="1" outlineLevel="1">
      <c r="A30" s="26" t="str">
        <f>'Адм.затраты'!B16</f>
        <v>Расходы по заработной плате</v>
      </c>
      <c r="B30" s="26">
        <f>'Адм.затраты'!C16</f>
        <v>740.7407407</v>
      </c>
      <c r="C30" s="26">
        <f>'Адм.затраты'!D16</f>
        <v>740.7407407</v>
      </c>
      <c r="D30" s="26">
        <f>'Адм.затраты'!E16</f>
        <v>740.7407407</v>
      </c>
      <c r="E30" s="26">
        <f>'Адм.затраты'!F16</f>
        <v>740.7407407</v>
      </c>
      <c r="F30" s="26">
        <f>'Адм.затраты'!G16</f>
        <v>740.7407407</v>
      </c>
      <c r="G30" s="26">
        <f>'Адм.затраты'!H16</f>
        <v>740.7407407</v>
      </c>
      <c r="H30" s="26">
        <f>'Адм.затраты'!I16</f>
        <v>740.7407407</v>
      </c>
      <c r="I30" s="26">
        <f>'Адм.затраты'!J16</f>
        <v>740.7407407</v>
      </c>
      <c r="J30" s="26">
        <f>'Адм.затраты'!K16</f>
        <v>740.7407407</v>
      </c>
      <c r="K30" s="26">
        <f>'Адм.затраты'!L16</f>
        <v>740.7407407</v>
      </c>
      <c r="L30" s="26">
        <f>'Адм.затраты'!M16</f>
        <v>740.7407407</v>
      </c>
      <c r="M30" s="26">
        <f>'Адм.затраты'!N16</f>
        <v>740.7407407</v>
      </c>
      <c r="N30" s="26">
        <f>'Адм.затраты'!O16</f>
        <v>8888.888889</v>
      </c>
      <c r="O30" s="26">
        <f>'Адм.затраты'!P16</f>
        <v>740.7407407</v>
      </c>
      <c r="P30" s="26">
        <f>'Адм.затраты'!Q16</f>
        <v>740.7407407</v>
      </c>
      <c r="Q30" s="26">
        <f>'Адм.затраты'!R16</f>
        <v>740.7407407</v>
      </c>
      <c r="R30" s="26">
        <f>'Адм.затраты'!S16</f>
        <v>740.7407407</v>
      </c>
      <c r="S30" s="26">
        <f>'Адм.затраты'!T16</f>
        <v>740.7407407</v>
      </c>
      <c r="T30" s="26">
        <f>'Адм.затраты'!U16</f>
        <v>740.7407407</v>
      </c>
      <c r="U30" s="26">
        <f>'Адм.затраты'!V16</f>
        <v>740.7407407</v>
      </c>
      <c r="V30" s="26">
        <f>'Адм.затраты'!W16</f>
        <v>740.7407407</v>
      </c>
      <c r="W30" s="26">
        <f>'Адм.затраты'!X16</f>
        <v>740.7407407</v>
      </c>
      <c r="X30" s="26">
        <f>'Адм.затраты'!Y16</f>
        <v>740.7407407</v>
      </c>
      <c r="Y30" s="26">
        <f>'Адм.затраты'!Z16</f>
        <v>740.7407407</v>
      </c>
      <c r="Z30" s="26">
        <f>'Адм.затраты'!AA16</f>
        <v>740.7407407</v>
      </c>
      <c r="AA30" s="26">
        <f>'Адм.затраты'!AB16</f>
        <v>8888.888889</v>
      </c>
      <c r="AB30" s="26">
        <f>'Адм.затраты'!AC16</f>
        <v>740.7407407</v>
      </c>
      <c r="AC30" s="26">
        <f>'Адм.затраты'!AD16</f>
        <v>740.7407407</v>
      </c>
      <c r="AD30" s="26">
        <f>'Адм.затраты'!AE16</f>
        <v>740.7407407</v>
      </c>
      <c r="AE30" s="26">
        <f>'Адм.затраты'!AF16</f>
        <v>740.7407407</v>
      </c>
      <c r="AF30" s="26">
        <f>'Адм.затраты'!AG16</f>
        <v>740.7407407</v>
      </c>
      <c r="AG30" s="26">
        <f>'Адм.затраты'!AH16</f>
        <v>740.7407407</v>
      </c>
      <c r="AH30" s="26">
        <f>'Адм.затраты'!AI16</f>
        <v>740.7407407</v>
      </c>
      <c r="AI30" s="26">
        <f>'Адм.затраты'!AJ16</f>
        <v>740.7407407</v>
      </c>
      <c r="AJ30" s="26">
        <f>'Адм.затраты'!AK16</f>
        <v>740.7407407</v>
      </c>
      <c r="AK30" s="26">
        <f>'Адм.затраты'!AL16</f>
        <v>740.7407407</v>
      </c>
      <c r="AL30" s="26">
        <f>'Адм.затраты'!AM16</f>
        <v>740.7407407</v>
      </c>
      <c r="AM30" s="26">
        <f>'Адм.затраты'!AN16</f>
        <v>740.7407407</v>
      </c>
      <c r="AN30" s="26">
        <f>'Адм.затраты'!AO16</f>
        <v>8888.888889</v>
      </c>
      <c r="AO30" s="26">
        <f>'Адм.затраты'!AP16</f>
        <v>8888.888889</v>
      </c>
      <c r="AP30" s="26">
        <f>'Адм.затраты'!AQ16</f>
        <v>8888.888889</v>
      </c>
      <c r="AQ30" s="26">
        <f>'Адм.затраты'!AR16</f>
        <v>8888.888889</v>
      </c>
      <c r="AR30" s="26">
        <f>'Адм.затраты'!AS16</f>
        <v>8888.888889</v>
      </c>
      <c r="AS30" s="26">
        <f>'Адм.затраты'!AT16</f>
        <v>8888.888889</v>
      </c>
      <c r="AT30" s="26">
        <f>'Адм.затраты'!AU16</f>
        <v>8888.888889</v>
      </c>
      <c r="AU30" s="26">
        <f>'Адм.затраты'!AV16</f>
        <v>8888.888889</v>
      </c>
      <c r="AV30" s="26">
        <f>'Адм.затраты'!AW16</f>
        <v>8888.888889</v>
      </c>
      <c r="AW30" s="26">
        <f>'Адм.затраты'!AX16</f>
        <v>8888.888889</v>
      </c>
      <c r="AX30" s="26">
        <f>'Адм.затраты'!AY16</f>
        <v>8888.888889</v>
      </c>
      <c r="AY30" s="26">
        <f>'Адм.затраты'!AZ16</f>
        <v>8888.888889</v>
      </c>
      <c r="AZ30" s="26">
        <f>'Адм.затраты'!BA16</f>
        <v>8888.888889</v>
      </c>
      <c r="BA30" s="26">
        <f>'Адм.затраты'!BB16</f>
        <v>8888.888889</v>
      </c>
      <c r="BB30" s="26">
        <f>'Адм.затраты'!BC16</f>
        <v>8888.888889</v>
      </c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</row>
    <row r="31" ht="12.75" customHeight="1" outlineLevel="1">
      <c r="A31" s="26" t="str">
        <f>'Адм.затраты'!B17</f>
        <v>Социальные отчисления</v>
      </c>
      <c r="B31" s="26">
        <f>'Адм.затраты'!C17</f>
        <v>17.67717778</v>
      </c>
      <c r="C31" s="26">
        <f>'Адм.затраты'!D17</f>
        <v>17.67717778</v>
      </c>
      <c r="D31" s="26">
        <f>'Адм.затраты'!E17</f>
        <v>17.67717778</v>
      </c>
      <c r="E31" s="26">
        <f>'Адм.затраты'!F17</f>
        <v>17.67717778</v>
      </c>
      <c r="F31" s="26">
        <f>'Адм.затраты'!G17</f>
        <v>17.67717778</v>
      </c>
      <c r="G31" s="26">
        <f>'Адм.затраты'!H17</f>
        <v>17.67717778</v>
      </c>
      <c r="H31" s="26">
        <f>'Адм.затраты'!I17</f>
        <v>17.67717778</v>
      </c>
      <c r="I31" s="26">
        <f>'Адм.затраты'!J17</f>
        <v>17.67717778</v>
      </c>
      <c r="J31" s="26">
        <f>'Адм.затраты'!K17</f>
        <v>17.67717778</v>
      </c>
      <c r="K31" s="26">
        <f>'Адм.затраты'!L17</f>
        <v>17.67717778</v>
      </c>
      <c r="L31" s="26">
        <f>'Адм.затраты'!M17</f>
        <v>17.67717778</v>
      </c>
      <c r="M31" s="26">
        <f>'Адм.затраты'!N17</f>
        <v>17.67717778</v>
      </c>
      <c r="N31" s="26">
        <f>'Адм.затраты'!O17</f>
        <v>212.1261333</v>
      </c>
      <c r="O31" s="26">
        <f>'Адм.затраты'!P17</f>
        <v>17.67717778</v>
      </c>
      <c r="P31" s="26">
        <f>'Адм.затраты'!Q17</f>
        <v>17.67717778</v>
      </c>
      <c r="Q31" s="26">
        <f>'Адм.затраты'!R17</f>
        <v>17.67717778</v>
      </c>
      <c r="R31" s="26">
        <f>'Адм.затраты'!S17</f>
        <v>17.67717778</v>
      </c>
      <c r="S31" s="26">
        <f>'Адм.затраты'!T17</f>
        <v>17.67717778</v>
      </c>
      <c r="T31" s="26">
        <f>'Адм.затраты'!U17</f>
        <v>17.67717778</v>
      </c>
      <c r="U31" s="26">
        <f>'Адм.затраты'!V17</f>
        <v>17.67717778</v>
      </c>
      <c r="V31" s="26">
        <f>'Адм.затраты'!W17</f>
        <v>17.67717778</v>
      </c>
      <c r="W31" s="26">
        <f>'Адм.затраты'!X17</f>
        <v>17.67717778</v>
      </c>
      <c r="X31" s="26">
        <f>'Адм.затраты'!Y17</f>
        <v>17.67717778</v>
      </c>
      <c r="Y31" s="26">
        <f>'Адм.затраты'!Z17</f>
        <v>17.67717778</v>
      </c>
      <c r="Z31" s="26">
        <f>'Адм.затраты'!AA17</f>
        <v>17.67717778</v>
      </c>
      <c r="AA31" s="26">
        <f>'Адм.затраты'!AB17</f>
        <v>212.1261333</v>
      </c>
      <c r="AB31" s="26">
        <f>'Адм.затраты'!AC17</f>
        <v>17.67717778</v>
      </c>
      <c r="AC31" s="26">
        <f>'Адм.затраты'!AD17</f>
        <v>17.67717778</v>
      </c>
      <c r="AD31" s="26">
        <f>'Адм.затраты'!AE17</f>
        <v>17.67717778</v>
      </c>
      <c r="AE31" s="26">
        <f>'Адм.затраты'!AF17</f>
        <v>17.67717778</v>
      </c>
      <c r="AF31" s="26">
        <f>'Адм.затраты'!AG17</f>
        <v>17.67717778</v>
      </c>
      <c r="AG31" s="26">
        <f>'Адм.затраты'!AH17</f>
        <v>17.67717778</v>
      </c>
      <c r="AH31" s="26">
        <f>'Адм.затраты'!AI17</f>
        <v>17.67717778</v>
      </c>
      <c r="AI31" s="26">
        <f>'Адм.затраты'!AJ17</f>
        <v>17.67717778</v>
      </c>
      <c r="AJ31" s="26">
        <f>'Адм.затраты'!AK17</f>
        <v>17.67717778</v>
      </c>
      <c r="AK31" s="26">
        <f>'Адм.затраты'!AL17</f>
        <v>17.67717778</v>
      </c>
      <c r="AL31" s="26">
        <f>'Адм.затраты'!AM17</f>
        <v>17.67717778</v>
      </c>
      <c r="AM31" s="26">
        <f>'Адм.затраты'!AN17</f>
        <v>17.67717778</v>
      </c>
      <c r="AN31" s="26">
        <f>'Адм.затраты'!AO17</f>
        <v>212.1261333</v>
      </c>
      <c r="AO31" s="26">
        <f>'Адм.затраты'!AP17</f>
        <v>212.1261333</v>
      </c>
      <c r="AP31" s="26">
        <f>'Адм.затраты'!AQ17</f>
        <v>212.1261333</v>
      </c>
      <c r="AQ31" s="26">
        <f>'Адм.затраты'!AR17</f>
        <v>212.1261333</v>
      </c>
      <c r="AR31" s="26">
        <f>'Адм.затраты'!AS17</f>
        <v>212.1261333</v>
      </c>
      <c r="AS31" s="26">
        <f>'Адм.затраты'!AT17</f>
        <v>212.1261333</v>
      </c>
      <c r="AT31" s="26">
        <f>'Адм.затраты'!AU17</f>
        <v>212.1261333</v>
      </c>
      <c r="AU31" s="26">
        <f>'Адм.затраты'!AV17</f>
        <v>212.1261333</v>
      </c>
      <c r="AV31" s="26">
        <f>'Адм.затраты'!AW17</f>
        <v>212.1261333</v>
      </c>
      <c r="AW31" s="26">
        <f>'Адм.затраты'!AX17</f>
        <v>212.1261333</v>
      </c>
      <c r="AX31" s="26">
        <f>'Адм.затраты'!AY17</f>
        <v>212.1261333</v>
      </c>
      <c r="AY31" s="26">
        <f>'Адм.затраты'!AZ17</f>
        <v>212.1261333</v>
      </c>
      <c r="AZ31" s="26">
        <f>'Адм.затраты'!BA17</f>
        <v>212.1261333</v>
      </c>
      <c r="BA31" s="26">
        <f>'Адм.затраты'!BB17</f>
        <v>212.1261333</v>
      </c>
      <c r="BB31" s="26">
        <f>'Адм.затраты'!BC17</f>
        <v>212.1261333</v>
      </c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</row>
    <row r="32" ht="12.75" customHeight="1" outlineLevel="1">
      <c r="A32" s="26" t="str">
        <f>'Адм.затраты'!B18</f>
        <v>Социальный налог</v>
      </c>
      <c r="B32" s="26">
        <f>'Адм.затраты'!C18</f>
        <v>45.65615556</v>
      </c>
      <c r="C32" s="26">
        <f>'Адм.затраты'!D18</f>
        <v>45.65615556</v>
      </c>
      <c r="D32" s="26">
        <f>'Адм.затраты'!E18</f>
        <v>45.65615556</v>
      </c>
      <c r="E32" s="26">
        <f>'Адм.затраты'!F18</f>
        <v>45.65615556</v>
      </c>
      <c r="F32" s="26">
        <f>'Адм.затраты'!G18</f>
        <v>45.65615556</v>
      </c>
      <c r="G32" s="26">
        <f>'Адм.затраты'!H18</f>
        <v>45.65615556</v>
      </c>
      <c r="H32" s="26">
        <f>'Адм.затраты'!I18</f>
        <v>45.65615556</v>
      </c>
      <c r="I32" s="26">
        <f>'Адм.затраты'!J18</f>
        <v>45.65615556</v>
      </c>
      <c r="J32" s="26">
        <f>'Адм.затраты'!K18</f>
        <v>45.65615556</v>
      </c>
      <c r="K32" s="26">
        <f>'Адм.затраты'!L18</f>
        <v>45.65615556</v>
      </c>
      <c r="L32" s="26">
        <f>'Адм.затраты'!M18</f>
        <v>45.65615556</v>
      </c>
      <c r="M32" s="26">
        <f>'Адм.затраты'!N18</f>
        <v>45.65615556</v>
      </c>
      <c r="N32" s="26">
        <f>'Адм.затраты'!O18</f>
        <v>547.8738667</v>
      </c>
      <c r="O32" s="26">
        <f>'Адм.затраты'!P18</f>
        <v>45.65615556</v>
      </c>
      <c r="P32" s="26">
        <f>'Адм.затраты'!Q18</f>
        <v>45.65615556</v>
      </c>
      <c r="Q32" s="26">
        <f>'Адм.затраты'!R18</f>
        <v>45.65615556</v>
      </c>
      <c r="R32" s="26">
        <f>'Адм.затраты'!S18</f>
        <v>45.65615556</v>
      </c>
      <c r="S32" s="26">
        <f>'Адм.затраты'!T18</f>
        <v>45.65615556</v>
      </c>
      <c r="T32" s="26">
        <f>'Адм.затраты'!U18</f>
        <v>45.65615556</v>
      </c>
      <c r="U32" s="26">
        <f>'Адм.затраты'!V18</f>
        <v>45.65615556</v>
      </c>
      <c r="V32" s="26">
        <f>'Адм.затраты'!W18</f>
        <v>45.65615556</v>
      </c>
      <c r="W32" s="26">
        <f>'Адм.затраты'!X18</f>
        <v>45.65615556</v>
      </c>
      <c r="X32" s="26">
        <f>'Адм.затраты'!Y18</f>
        <v>45.65615556</v>
      </c>
      <c r="Y32" s="26">
        <f>'Адм.затраты'!Z18</f>
        <v>45.65615556</v>
      </c>
      <c r="Z32" s="26">
        <f>'Адм.затраты'!AA18</f>
        <v>45.65615556</v>
      </c>
      <c r="AA32" s="26">
        <f>'Адм.затраты'!AB18</f>
        <v>547.8738667</v>
      </c>
      <c r="AB32" s="26">
        <f>'Адм.затраты'!AC18</f>
        <v>45.65615556</v>
      </c>
      <c r="AC32" s="26">
        <f>'Адм.затраты'!AD18</f>
        <v>45.65615556</v>
      </c>
      <c r="AD32" s="26">
        <f>'Адм.затраты'!AE18</f>
        <v>45.65615556</v>
      </c>
      <c r="AE32" s="26">
        <f>'Адм.затраты'!AF18</f>
        <v>45.65615556</v>
      </c>
      <c r="AF32" s="26">
        <f>'Адм.затраты'!AG18</f>
        <v>45.65615556</v>
      </c>
      <c r="AG32" s="26">
        <f>'Адм.затраты'!AH18</f>
        <v>45.65615556</v>
      </c>
      <c r="AH32" s="26">
        <f>'Адм.затраты'!AI18</f>
        <v>45.65615556</v>
      </c>
      <c r="AI32" s="26">
        <f>'Адм.затраты'!AJ18</f>
        <v>45.65615556</v>
      </c>
      <c r="AJ32" s="26">
        <f>'Адм.затраты'!AK18</f>
        <v>45.65615556</v>
      </c>
      <c r="AK32" s="26">
        <f>'Адм.затраты'!AL18</f>
        <v>45.65615556</v>
      </c>
      <c r="AL32" s="26">
        <f>'Адм.затраты'!AM18</f>
        <v>45.65615556</v>
      </c>
      <c r="AM32" s="26">
        <f>'Адм.затраты'!AN18</f>
        <v>45.65615556</v>
      </c>
      <c r="AN32" s="26">
        <f>'Адм.затраты'!AO18</f>
        <v>547.8738667</v>
      </c>
      <c r="AO32" s="26">
        <f>'Адм.затраты'!AP18</f>
        <v>547.8738667</v>
      </c>
      <c r="AP32" s="26">
        <f>'Адм.затраты'!AQ18</f>
        <v>547.8738667</v>
      </c>
      <c r="AQ32" s="26">
        <f>'Адм.затраты'!AR18</f>
        <v>547.8738667</v>
      </c>
      <c r="AR32" s="26">
        <f>'Адм.затраты'!AS18</f>
        <v>547.8738667</v>
      </c>
      <c r="AS32" s="26">
        <f>'Адм.затраты'!AT18</f>
        <v>547.8738667</v>
      </c>
      <c r="AT32" s="26">
        <f>'Адм.затраты'!AU18</f>
        <v>547.8738667</v>
      </c>
      <c r="AU32" s="26">
        <f>'Адм.затраты'!AV18</f>
        <v>547.8738667</v>
      </c>
      <c r="AV32" s="26">
        <f>'Адм.затраты'!AW18</f>
        <v>547.8738667</v>
      </c>
      <c r="AW32" s="26">
        <f>'Адм.затраты'!AX18</f>
        <v>547.8738667</v>
      </c>
      <c r="AX32" s="26">
        <f>'Адм.затраты'!AY18</f>
        <v>547.8738667</v>
      </c>
      <c r="AY32" s="26">
        <f>'Адм.затраты'!AZ18</f>
        <v>547.8738667</v>
      </c>
      <c r="AZ32" s="26">
        <f>'Адм.затраты'!BA18</f>
        <v>547.8738667</v>
      </c>
      <c r="BA32" s="26">
        <f>'Адм.затраты'!BB18</f>
        <v>547.8738667</v>
      </c>
      <c r="BB32" s="26">
        <f>'Адм.затраты'!BC18</f>
        <v>547.8738667</v>
      </c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</row>
    <row r="33" ht="12.75" customHeight="1" outlineLevel="1">
      <c r="A33" s="26" t="str">
        <f>'Адм.затраты'!B19</f>
        <v>Страхование</v>
      </c>
      <c r="B33" s="26">
        <f>'Адм.затраты'!C19</f>
        <v>66.66666667</v>
      </c>
      <c r="C33" s="26">
        <f>'Адм.затраты'!D19</f>
        <v>66.66666667</v>
      </c>
      <c r="D33" s="26">
        <f>'Адм.затраты'!E19</f>
        <v>66.66666667</v>
      </c>
      <c r="E33" s="26">
        <f>'Адм.затраты'!F19</f>
        <v>66.66666667</v>
      </c>
      <c r="F33" s="26">
        <f>'Адм.затраты'!G19</f>
        <v>66.66666667</v>
      </c>
      <c r="G33" s="26">
        <f>'Адм.затраты'!H19</f>
        <v>66.66666667</v>
      </c>
      <c r="H33" s="26">
        <f>'Адм.затраты'!I19</f>
        <v>66.66666667</v>
      </c>
      <c r="I33" s="26">
        <f>'Адм.затраты'!J19</f>
        <v>66.66666667</v>
      </c>
      <c r="J33" s="26">
        <f>'Адм.затраты'!K19</f>
        <v>66.66666667</v>
      </c>
      <c r="K33" s="26">
        <f>'Адм.затраты'!L19</f>
        <v>66.66666667</v>
      </c>
      <c r="L33" s="26">
        <f>'Адм.затраты'!M19</f>
        <v>66.66666667</v>
      </c>
      <c r="M33" s="26">
        <f>'Адм.затраты'!N19</f>
        <v>66.66666667</v>
      </c>
      <c r="N33" s="26">
        <f>'Адм.затраты'!O19</f>
        <v>800</v>
      </c>
      <c r="O33" s="26">
        <f>'Адм.затраты'!P19</f>
        <v>66.66666667</v>
      </c>
      <c r="P33" s="26">
        <f>'Адм.затраты'!Q19</f>
        <v>66.66666667</v>
      </c>
      <c r="Q33" s="26">
        <f>'Адм.затраты'!R19</f>
        <v>66.66666667</v>
      </c>
      <c r="R33" s="26">
        <f>'Адм.затраты'!S19</f>
        <v>66.66666667</v>
      </c>
      <c r="S33" s="26">
        <f>'Адм.затраты'!T19</f>
        <v>66.66666667</v>
      </c>
      <c r="T33" s="26">
        <f>'Адм.затраты'!U19</f>
        <v>66.66666667</v>
      </c>
      <c r="U33" s="26">
        <f>'Адм.затраты'!V19</f>
        <v>66.66666667</v>
      </c>
      <c r="V33" s="26">
        <f>'Адм.затраты'!W19</f>
        <v>66.66666667</v>
      </c>
      <c r="W33" s="26">
        <f>'Адм.затраты'!X19</f>
        <v>66.66666667</v>
      </c>
      <c r="X33" s="26">
        <f>'Адм.затраты'!Y19</f>
        <v>66.66666667</v>
      </c>
      <c r="Y33" s="26">
        <f>'Адм.затраты'!Z19</f>
        <v>66.66666667</v>
      </c>
      <c r="Z33" s="26">
        <f>'Адм.затраты'!AA19</f>
        <v>66.66666667</v>
      </c>
      <c r="AA33" s="26">
        <f>'Адм.затраты'!AB19</f>
        <v>800</v>
      </c>
      <c r="AB33" s="26">
        <f>'Адм.затраты'!AC19</f>
        <v>66.66666667</v>
      </c>
      <c r="AC33" s="26">
        <f>'Адм.затраты'!AD19</f>
        <v>66.66666667</v>
      </c>
      <c r="AD33" s="26">
        <f>'Адм.затраты'!AE19</f>
        <v>66.66666667</v>
      </c>
      <c r="AE33" s="26">
        <f>'Адм.затраты'!AF19</f>
        <v>66.66666667</v>
      </c>
      <c r="AF33" s="26">
        <f>'Адм.затраты'!AG19</f>
        <v>66.66666667</v>
      </c>
      <c r="AG33" s="26">
        <f>'Адм.затраты'!AH19</f>
        <v>66.66666667</v>
      </c>
      <c r="AH33" s="26">
        <f>'Адм.затраты'!AI19</f>
        <v>66.66666667</v>
      </c>
      <c r="AI33" s="26">
        <f>'Адм.затраты'!AJ19</f>
        <v>66.66666667</v>
      </c>
      <c r="AJ33" s="26">
        <f>'Адм.затраты'!AK19</f>
        <v>66.66666667</v>
      </c>
      <c r="AK33" s="26">
        <f>'Адм.затраты'!AL19</f>
        <v>66.66666667</v>
      </c>
      <c r="AL33" s="26">
        <f>'Адм.затраты'!AM19</f>
        <v>66.66666667</v>
      </c>
      <c r="AM33" s="26">
        <f>'Адм.затраты'!AN19</f>
        <v>66.66666667</v>
      </c>
      <c r="AN33" s="26">
        <f>'Адм.затраты'!AO19</f>
        <v>800</v>
      </c>
      <c r="AO33" s="26">
        <f>'Адм.затраты'!AP19</f>
        <v>800</v>
      </c>
      <c r="AP33" s="26">
        <f>'Адм.затраты'!AQ19</f>
        <v>800</v>
      </c>
      <c r="AQ33" s="26">
        <f>'Адм.затраты'!AR19</f>
        <v>800</v>
      </c>
      <c r="AR33" s="26">
        <f>'Адм.затраты'!AS19</f>
        <v>800</v>
      </c>
      <c r="AS33" s="26">
        <f>'Адм.затраты'!AT19</f>
        <v>800</v>
      </c>
      <c r="AT33" s="26">
        <f>'Адм.затраты'!AU19</f>
        <v>800</v>
      </c>
      <c r="AU33" s="26">
        <f>'Адм.затраты'!AV19</f>
        <v>800</v>
      </c>
      <c r="AV33" s="26">
        <f>'Адм.затраты'!AW19</f>
        <v>800</v>
      </c>
      <c r="AW33" s="26">
        <f>'Адм.затраты'!AX19</f>
        <v>800</v>
      </c>
      <c r="AX33" s="26">
        <f>'Адм.затраты'!AY19</f>
        <v>800</v>
      </c>
      <c r="AY33" s="26">
        <f>'Адм.затраты'!AZ19</f>
        <v>800</v>
      </c>
      <c r="AZ33" s="26">
        <f>'Адм.затраты'!BA19</f>
        <v>800</v>
      </c>
      <c r="BA33" s="26">
        <f>'Адм.затраты'!BB19</f>
        <v>800</v>
      </c>
      <c r="BB33" s="26">
        <f>'Адм.затраты'!BC19</f>
        <v>800</v>
      </c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</row>
    <row r="34" ht="12.75" customHeight="1" outlineLevel="1">
      <c r="A34" s="26" t="str">
        <f>'Адм.затраты'!B20</f>
        <v>Консалтинговые услуги</v>
      </c>
      <c r="B34" s="26">
        <f>'Адм.затраты'!C20</f>
        <v>892.8571429</v>
      </c>
      <c r="C34" s="26">
        <f>'Адм.затраты'!D20</f>
        <v>892.8571429</v>
      </c>
      <c r="D34" s="26">
        <f>'Адм.затраты'!E20</f>
        <v>892.8571429</v>
      </c>
      <c r="E34" s="26">
        <f>'Адм.затраты'!F20</f>
        <v>892.8571429</v>
      </c>
      <c r="F34" s="26">
        <f>'Адм.затраты'!G20</f>
        <v>892.8571429</v>
      </c>
      <c r="G34" s="26">
        <f>'Адм.затраты'!H20</f>
        <v>892.8571429</v>
      </c>
      <c r="H34" s="26">
        <f>'Адм.затраты'!I20</f>
        <v>892.8571429</v>
      </c>
      <c r="I34" s="26">
        <f>'Адм.затраты'!J20</f>
        <v>892.8571429</v>
      </c>
      <c r="J34" s="26">
        <f>'Адм.затраты'!K20</f>
        <v>892.8571429</v>
      </c>
      <c r="K34" s="26">
        <f>'Адм.затраты'!L20</f>
        <v>892.8571429</v>
      </c>
      <c r="L34" s="26">
        <f>'Адм.затраты'!M20</f>
        <v>892.8571429</v>
      </c>
      <c r="M34" s="26">
        <f>'Адм.затраты'!N20</f>
        <v>892.8571429</v>
      </c>
      <c r="N34" s="26">
        <f>'Адм.затраты'!O20</f>
        <v>10714.28571</v>
      </c>
      <c r="O34" s="26">
        <f>'Адм.затраты'!P20</f>
        <v>997.3214286</v>
      </c>
      <c r="P34" s="26">
        <f>'Адм.затраты'!Q20</f>
        <v>997.3214286</v>
      </c>
      <c r="Q34" s="26">
        <f>'Адм.затраты'!R20</f>
        <v>997.3214286</v>
      </c>
      <c r="R34" s="26">
        <f>'Адм.затраты'!S20</f>
        <v>997.3214286</v>
      </c>
      <c r="S34" s="26">
        <f>'Адм.затраты'!T20</f>
        <v>997.3214286</v>
      </c>
      <c r="T34" s="26">
        <f>'Адм.затраты'!U20</f>
        <v>997.3214286</v>
      </c>
      <c r="U34" s="26">
        <f>'Адм.затраты'!V20</f>
        <v>997.3214286</v>
      </c>
      <c r="V34" s="26">
        <f>'Адм.затраты'!W20</f>
        <v>997.3214286</v>
      </c>
      <c r="W34" s="26">
        <f>'Адм.затраты'!X20</f>
        <v>997.3214286</v>
      </c>
      <c r="X34" s="26">
        <f>'Адм.затраты'!Y20</f>
        <v>997.3214286</v>
      </c>
      <c r="Y34" s="26">
        <f>'Адм.затраты'!Z20</f>
        <v>997.3214286</v>
      </c>
      <c r="Z34" s="26">
        <f>'Адм.затраты'!AA20</f>
        <v>997.3214286</v>
      </c>
      <c r="AA34" s="26">
        <f>'Адм.затраты'!AB20</f>
        <v>11967.85714</v>
      </c>
      <c r="AB34" s="26">
        <f>'Адм.затраты'!AC20</f>
        <v>1114.008036</v>
      </c>
      <c r="AC34" s="26">
        <f>'Адм.затраты'!AD20</f>
        <v>1114.008036</v>
      </c>
      <c r="AD34" s="26">
        <f>'Адм.затраты'!AE20</f>
        <v>1114.008036</v>
      </c>
      <c r="AE34" s="26">
        <f>'Адм.затраты'!AF20</f>
        <v>1114.008036</v>
      </c>
      <c r="AF34" s="26">
        <f>'Адм.затраты'!AG20</f>
        <v>1114.008036</v>
      </c>
      <c r="AG34" s="26">
        <f>'Адм.затраты'!AH20</f>
        <v>1114.008036</v>
      </c>
      <c r="AH34" s="26">
        <f>'Адм.затраты'!AI20</f>
        <v>1114.008036</v>
      </c>
      <c r="AI34" s="26">
        <f>'Адм.затраты'!AJ20</f>
        <v>1114.008036</v>
      </c>
      <c r="AJ34" s="26">
        <f>'Адм.затраты'!AK20</f>
        <v>1114.008036</v>
      </c>
      <c r="AK34" s="26">
        <f>'Адм.затраты'!AL20</f>
        <v>1114.008036</v>
      </c>
      <c r="AL34" s="26">
        <f>'Адм.затраты'!AM20</f>
        <v>1114.008036</v>
      </c>
      <c r="AM34" s="26">
        <f>'Адм.затраты'!AN20</f>
        <v>1114.008036</v>
      </c>
      <c r="AN34" s="26">
        <f>'Адм.затраты'!AO20</f>
        <v>13368.09643</v>
      </c>
      <c r="AO34" s="26">
        <f>'Адм.затраты'!AP20</f>
        <v>14932.16371</v>
      </c>
      <c r="AP34" s="26">
        <f>'Адм.затраты'!AQ20</f>
        <v>16679.22686</v>
      </c>
      <c r="AQ34" s="26">
        <f>'Адм.затраты'!AR20</f>
        <v>18630.69641</v>
      </c>
      <c r="AR34" s="26">
        <f>'Адм.затраты'!AS20</f>
        <v>20810.48789</v>
      </c>
      <c r="AS34" s="26">
        <f>'Адм.затраты'!AT20</f>
        <v>23245.31497</v>
      </c>
      <c r="AT34" s="26">
        <f>'Адм.затраты'!AU20</f>
        <v>25965.01682</v>
      </c>
      <c r="AU34" s="26">
        <f>'Адм.затраты'!AV20</f>
        <v>29002.92379</v>
      </c>
      <c r="AV34" s="26">
        <f>'Адм.затраты'!AW20</f>
        <v>32396.26587</v>
      </c>
      <c r="AW34" s="26">
        <f>'Адм.затраты'!AX20</f>
        <v>36186.62898</v>
      </c>
      <c r="AX34" s="26">
        <f>'Адм.затраты'!AY20</f>
        <v>40420.46457</v>
      </c>
      <c r="AY34" s="26">
        <f>'Адм.затраты'!AZ20</f>
        <v>45149.65893</v>
      </c>
      <c r="AZ34" s="26">
        <f>'Адм.затраты'!BA20</f>
        <v>50432.16902</v>
      </c>
      <c r="BA34" s="26">
        <f>'Адм.затраты'!BB20</f>
        <v>56332.7328</v>
      </c>
      <c r="BB34" s="26">
        <f>'Адм.затраты'!BC20</f>
        <v>62923.66253</v>
      </c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</row>
    <row r="35" ht="12.75" customHeight="1" outlineLevel="1">
      <c r="A35" s="26" t="str">
        <f>'Адм.затраты'!B22</f>
        <v>Услуги сотовой связи</v>
      </c>
      <c r="B35" s="26">
        <f>'Адм.затраты'!C22</f>
        <v>4.0117925</v>
      </c>
      <c r="C35" s="26">
        <f>'Адм.затраты'!D22</f>
        <v>4.0117925</v>
      </c>
      <c r="D35" s="26">
        <f>'Адм.затраты'!E22</f>
        <v>4.0117925</v>
      </c>
      <c r="E35" s="26">
        <f>'Адм.затраты'!F22</f>
        <v>4.0117925</v>
      </c>
      <c r="F35" s="26">
        <f>'Адм.затраты'!G22</f>
        <v>4.0117925</v>
      </c>
      <c r="G35" s="26">
        <f>'Адм.затраты'!H22</f>
        <v>4.0117925</v>
      </c>
      <c r="H35" s="26">
        <f>'Адм.затраты'!I22</f>
        <v>4.0117925</v>
      </c>
      <c r="I35" s="26">
        <f>'Адм.затраты'!J22</f>
        <v>4.0117925</v>
      </c>
      <c r="J35" s="26">
        <f>'Адм.затраты'!K22</f>
        <v>4.0117925</v>
      </c>
      <c r="K35" s="26">
        <f>'Адм.затраты'!L22</f>
        <v>4.0117925</v>
      </c>
      <c r="L35" s="26">
        <f>'Адм.затраты'!M22</f>
        <v>4.0117925</v>
      </c>
      <c r="M35" s="26">
        <f>'Адм.затраты'!N22</f>
        <v>4.0117925</v>
      </c>
      <c r="N35" s="26">
        <f>'Адм.затраты'!O22</f>
        <v>48.14151</v>
      </c>
      <c r="O35" s="26">
        <f>'Адм.затраты'!P22</f>
        <v>4.481172223</v>
      </c>
      <c r="P35" s="26">
        <f>'Адм.затраты'!Q22</f>
        <v>4.481172223</v>
      </c>
      <c r="Q35" s="26">
        <f>'Адм.затраты'!R22</f>
        <v>4.481172223</v>
      </c>
      <c r="R35" s="26">
        <f>'Адм.затраты'!S22</f>
        <v>4.481172223</v>
      </c>
      <c r="S35" s="26">
        <f>'Адм.затраты'!T22</f>
        <v>4.481172223</v>
      </c>
      <c r="T35" s="26">
        <f>'Адм.затраты'!U22</f>
        <v>4.481172223</v>
      </c>
      <c r="U35" s="26">
        <f>'Адм.затраты'!V22</f>
        <v>4.481172223</v>
      </c>
      <c r="V35" s="26">
        <f>'Адм.затраты'!W22</f>
        <v>4.481172223</v>
      </c>
      <c r="W35" s="26">
        <f>'Адм.затраты'!X22</f>
        <v>4.481172223</v>
      </c>
      <c r="X35" s="26">
        <f>'Адм.затраты'!Y22</f>
        <v>4.481172223</v>
      </c>
      <c r="Y35" s="26">
        <f>'Адм.затраты'!Z22</f>
        <v>4.481172223</v>
      </c>
      <c r="Z35" s="26">
        <f>'Адм.затраты'!AA22</f>
        <v>4.481172223</v>
      </c>
      <c r="AA35" s="26">
        <f>'Адм.затраты'!AB22</f>
        <v>53.77406667</v>
      </c>
      <c r="AB35" s="26">
        <f>'Адм.затраты'!AC22</f>
        <v>5.005469373</v>
      </c>
      <c r="AC35" s="26">
        <f>'Адм.затраты'!AD22</f>
        <v>5.005469373</v>
      </c>
      <c r="AD35" s="26">
        <f>'Адм.затраты'!AE22</f>
        <v>5.005469373</v>
      </c>
      <c r="AE35" s="26">
        <f>'Адм.затраты'!AF22</f>
        <v>5.005469373</v>
      </c>
      <c r="AF35" s="26">
        <f>'Адм.затраты'!AG22</f>
        <v>5.005469373</v>
      </c>
      <c r="AG35" s="26">
        <f>'Адм.затраты'!AH22</f>
        <v>5.005469373</v>
      </c>
      <c r="AH35" s="26">
        <f>'Адм.затраты'!AI22</f>
        <v>5.005469373</v>
      </c>
      <c r="AI35" s="26">
        <f>'Адм.затраты'!AJ22</f>
        <v>5.005469373</v>
      </c>
      <c r="AJ35" s="26">
        <f>'Адм.затраты'!AK22</f>
        <v>5.005469373</v>
      </c>
      <c r="AK35" s="26">
        <f>'Адм.затраты'!AL22</f>
        <v>5.005469373</v>
      </c>
      <c r="AL35" s="26">
        <f>'Адм.затраты'!AM22</f>
        <v>5.005469373</v>
      </c>
      <c r="AM35" s="26">
        <f>'Адм.затраты'!AN22</f>
        <v>5.005469373</v>
      </c>
      <c r="AN35" s="26">
        <f>'Адм.затраты'!AO22</f>
        <v>60.06563247</v>
      </c>
      <c r="AO35" s="26">
        <f>'Адм.затраты'!AP22</f>
        <v>67.09331147</v>
      </c>
      <c r="AP35" s="26">
        <f>'Адм.затраты'!AQ22</f>
        <v>74.94322891</v>
      </c>
      <c r="AQ35" s="26">
        <f>'Адм.затраты'!AR22</f>
        <v>83.71158669</v>
      </c>
      <c r="AR35" s="26">
        <f>'Адм.затраты'!AS22</f>
        <v>93.50584234</v>
      </c>
      <c r="AS35" s="26">
        <f>'Адм.затраты'!AT22</f>
        <v>104.4460259</v>
      </c>
      <c r="AT35" s="26">
        <f>'Адм.затраты'!AU22</f>
        <v>116.6662109</v>
      </c>
      <c r="AU35" s="26">
        <f>'Адм.затраты'!AV22</f>
        <v>130.3161576</v>
      </c>
      <c r="AV35" s="26">
        <f>'Адм.затраты'!AW22</f>
        <v>145.563148</v>
      </c>
      <c r="AW35" s="26">
        <f>'Адм.затраты'!AX22</f>
        <v>162.5940364</v>
      </c>
      <c r="AX35" s="26">
        <f>'Адм.затраты'!AY22</f>
        <v>181.6175386</v>
      </c>
      <c r="AY35" s="26">
        <f>'Адм.затраты'!AZ22</f>
        <v>202.8667906</v>
      </c>
      <c r="AZ35" s="26">
        <f>'Адм.затраты'!BA22</f>
        <v>226.6022051</v>
      </c>
      <c r="BA35" s="26">
        <f>'Адм.затраты'!BB22</f>
        <v>253.1146631</v>
      </c>
      <c r="BB35" s="26">
        <f>'Адм.затраты'!BC22</f>
        <v>282.7290787</v>
      </c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</row>
    <row r="36" ht="12.75" customHeight="1" outlineLevel="1">
      <c r="A36" s="26" t="str">
        <f>'Адм.затраты'!B23</f>
        <v>Аренда</v>
      </c>
      <c r="B36" s="26">
        <f>'Адм.затраты'!C23</f>
        <v>89.28571429</v>
      </c>
      <c r="C36" s="26">
        <f>'Адм.затраты'!D23</f>
        <v>89.28571429</v>
      </c>
      <c r="D36" s="26">
        <f>'Адм.затраты'!E23</f>
        <v>89.28571429</v>
      </c>
      <c r="E36" s="26">
        <f>'Адм.затраты'!F23</f>
        <v>89.28571429</v>
      </c>
      <c r="F36" s="26">
        <f>'Адм.затраты'!G23</f>
        <v>89.28571429</v>
      </c>
      <c r="G36" s="26">
        <f>'Адм.затраты'!H23</f>
        <v>89.28571429</v>
      </c>
      <c r="H36" s="26">
        <f>'Адм.затраты'!I23</f>
        <v>89.28571429</v>
      </c>
      <c r="I36" s="26">
        <f>'Адм.затраты'!J23</f>
        <v>89.28571429</v>
      </c>
      <c r="J36" s="26">
        <f>'Адм.затраты'!K23</f>
        <v>89.28571429</v>
      </c>
      <c r="K36" s="26">
        <f>'Адм.затраты'!L23</f>
        <v>89.28571429</v>
      </c>
      <c r="L36" s="26">
        <f>'Адм.затраты'!M23</f>
        <v>89.28571429</v>
      </c>
      <c r="M36" s="26">
        <f>'Адм.затраты'!N23</f>
        <v>89.28571429</v>
      </c>
      <c r="N36" s="26">
        <f>'Адм.затраты'!O23</f>
        <v>1071.428571</v>
      </c>
      <c r="O36" s="26">
        <f>'Адм.затраты'!P23</f>
        <v>99.73214286</v>
      </c>
      <c r="P36" s="26">
        <f>'Адм.затраты'!Q23</f>
        <v>99.73214286</v>
      </c>
      <c r="Q36" s="26">
        <f>'Адм.затраты'!R23</f>
        <v>99.73214286</v>
      </c>
      <c r="R36" s="26">
        <f>'Адм.затраты'!S23</f>
        <v>99.73214286</v>
      </c>
      <c r="S36" s="26">
        <f>'Адм.затраты'!T23</f>
        <v>99.73214286</v>
      </c>
      <c r="T36" s="26">
        <f>'Адм.затраты'!U23</f>
        <v>99.73214286</v>
      </c>
      <c r="U36" s="26">
        <f>'Адм.затраты'!V23</f>
        <v>99.73214286</v>
      </c>
      <c r="V36" s="26">
        <f>'Адм.затраты'!W23</f>
        <v>99.73214286</v>
      </c>
      <c r="W36" s="26">
        <f>'Адм.затраты'!X23</f>
        <v>99.73214286</v>
      </c>
      <c r="X36" s="26">
        <f>'Адм.затраты'!Y23</f>
        <v>99.73214286</v>
      </c>
      <c r="Y36" s="26">
        <f>'Адм.затраты'!Z23</f>
        <v>99.73214286</v>
      </c>
      <c r="Z36" s="26">
        <f>'Адм.затраты'!AA23</f>
        <v>99.73214286</v>
      </c>
      <c r="AA36" s="26">
        <f>'Адм.затраты'!AB23</f>
        <v>1196.785714</v>
      </c>
      <c r="AB36" s="26">
        <f>'Адм.затраты'!AC23</f>
        <v>111.4008036</v>
      </c>
      <c r="AC36" s="26">
        <f>'Адм.затраты'!AD23</f>
        <v>111.4008036</v>
      </c>
      <c r="AD36" s="26">
        <f>'Адм.затраты'!AE23</f>
        <v>111.4008036</v>
      </c>
      <c r="AE36" s="26">
        <f>'Адм.затраты'!AF23</f>
        <v>111.4008036</v>
      </c>
      <c r="AF36" s="26">
        <f>'Адм.затраты'!AG23</f>
        <v>111.4008036</v>
      </c>
      <c r="AG36" s="26">
        <f>'Адм.затраты'!AH23</f>
        <v>111.4008036</v>
      </c>
      <c r="AH36" s="26">
        <f>'Адм.затраты'!AI23</f>
        <v>111.4008036</v>
      </c>
      <c r="AI36" s="26">
        <f>'Адм.затраты'!AJ23</f>
        <v>111.4008036</v>
      </c>
      <c r="AJ36" s="26">
        <f>'Адм.затраты'!AK23</f>
        <v>111.4008036</v>
      </c>
      <c r="AK36" s="26">
        <f>'Адм.затраты'!AL23</f>
        <v>111.4008036</v>
      </c>
      <c r="AL36" s="26">
        <f>'Адм.затраты'!AM23</f>
        <v>111.4008036</v>
      </c>
      <c r="AM36" s="26">
        <f>'Адм.затраты'!AN23</f>
        <v>111.4008036</v>
      </c>
      <c r="AN36" s="26">
        <f>'Адм.затраты'!AO23</f>
        <v>1336.809643</v>
      </c>
      <c r="AO36" s="26">
        <f>'Адм.затраты'!AP23</f>
        <v>1493.216371</v>
      </c>
      <c r="AP36" s="26">
        <f>'Адм.затраты'!AQ23</f>
        <v>1667.922686</v>
      </c>
      <c r="AQ36" s="26">
        <f>'Адм.затраты'!AR23</f>
        <v>1863.069641</v>
      </c>
      <c r="AR36" s="26">
        <f>'Адм.затраты'!AS23</f>
        <v>2081.048789</v>
      </c>
      <c r="AS36" s="26">
        <f>'Адм.затраты'!AT23</f>
        <v>2324.531497</v>
      </c>
      <c r="AT36" s="26">
        <f>'Адм.затраты'!AU23</f>
        <v>2596.501682</v>
      </c>
      <c r="AU36" s="26">
        <f>'Адм.затраты'!AV23</f>
        <v>2900.292379</v>
      </c>
      <c r="AV36" s="26">
        <f>'Адм.затраты'!AW23</f>
        <v>3239.626587</v>
      </c>
      <c r="AW36" s="26">
        <f>'Адм.затраты'!AX23</f>
        <v>3618.662898</v>
      </c>
      <c r="AX36" s="26">
        <f>'Адм.затраты'!AY23</f>
        <v>4042.046457</v>
      </c>
      <c r="AY36" s="26">
        <f>'Адм.затраты'!AZ23</f>
        <v>4514.965893</v>
      </c>
      <c r="AZ36" s="26">
        <f>'Адм.затраты'!BA23</f>
        <v>5043.216902</v>
      </c>
      <c r="BA36" s="26">
        <f>'Адм.затраты'!BB23</f>
        <v>5633.27328</v>
      </c>
      <c r="BB36" s="26">
        <f>'Адм.затраты'!BC23</f>
        <v>6292.366253</v>
      </c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</row>
    <row r="37" ht="12.75" customHeight="1">
      <c r="A37" s="297" t="s">
        <v>315</v>
      </c>
      <c r="B37" s="297">
        <f>B38+'Произв.затраты'!C8</f>
        <v>22893.80405</v>
      </c>
      <c r="C37" s="297">
        <f>C38+'Произв.затраты'!D8</f>
        <v>18566.19169</v>
      </c>
      <c r="D37" s="297">
        <f>D38+'Произв.затраты'!E8</f>
        <v>32293.47732</v>
      </c>
      <c r="E37" s="297">
        <f>E38+'Произв.затраты'!F8</f>
        <v>16803.22747</v>
      </c>
      <c r="F37" s="297">
        <f>F38+'Произв.затраты'!G8</f>
        <v>45145.58556</v>
      </c>
      <c r="G37" s="297">
        <f>G38+'Произв.затраты'!H8</f>
        <v>51477.54114</v>
      </c>
      <c r="H37" s="297">
        <f>H38+'Произв.затраты'!I8</f>
        <v>65496.99756</v>
      </c>
      <c r="I37" s="297">
        <f>I38+'Произв.затраты'!J8</f>
        <v>65496.99756</v>
      </c>
      <c r="J37" s="297">
        <f>J38+'Произв.затраты'!K8</f>
        <v>53164.74797</v>
      </c>
      <c r="K37" s="297">
        <f>K38+'Произв.затраты'!L8</f>
        <v>42579.74663</v>
      </c>
      <c r="L37" s="297">
        <f>L38+'Произв.затраты'!M8</f>
        <v>32228.07329</v>
      </c>
      <c r="M37" s="297">
        <f>M38+'Произв.затраты'!N8</f>
        <v>23706.96006</v>
      </c>
      <c r="N37" s="297">
        <f>N38+'Произв.затраты'!O8</f>
        <v>469853.3503</v>
      </c>
      <c r="O37" s="297">
        <f>O38+'Произв.затраты'!P8</f>
        <v>25364.45767</v>
      </c>
      <c r="P37" s="297">
        <f>P38+'Произв.затраты'!Q8</f>
        <v>20607.27227</v>
      </c>
      <c r="Q37" s="297">
        <f>Q38+'Произв.затраты'!R8</f>
        <v>35694.48603</v>
      </c>
      <c r="R37" s="297">
        <f>R38+'Произв.затраты'!S8</f>
        <v>18669.65556</v>
      </c>
      <c r="S37" s="297">
        <f>S38+'Произв.затраты'!T8</f>
        <v>49819.82075</v>
      </c>
      <c r="T37" s="297">
        <f>T38+'Произв.затраты'!U8</f>
        <v>56779.06746</v>
      </c>
      <c r="U37" s="297">
        <f>U38+'Произв.затраты'!V8</f>
        <v>72187.39665</v>
      </c>
      <c r="V37" s="297">
        <f>V38+'Произв.затраты'!W8</f>
        <v>72187.39665</v>
      </c>
      <c r="W37" s="297">
        <f>W38+'Произв.затраты'!X8</f>
        <v>58633.42169</v>
      </c>
      <c r="X37" s="297">
        <f>X38+'Произв.затраты'!Y8</f>
        <v>46999.79052</v>
      </c>
      <c r="Y37" s="297">
        <f>Y38+'Произв.затраты'!Z8</f>
        <v>35622.60258</v>
      </c>
      <c r="Z37" s="297">
        <f>Z38+'Произв.затраты'!AA8</f>
        <v>26257.3238</v>
      </c>
      <c r="AA37" s="297">
        <f>AA38+'Произв.затраты'!AB8</f>
        <v>518822.6916</v>
      </c>
      <c r="AB37" s="297">
        <f>AB38+'Произв.затраты'!AC8</f>
        <v>28053.17437</v>
      </c>
      <c r="AC37" s="297">
        <f>AC38+'Произв.затраты'!AD8</f>
        <v>22823.93231</v>
      </c>
      <c r="AD37" s="297">
        <f>AD38+'Произв.затраты'!AE8</f>
        <v>39405.24652</v>
      </c>
      <c r="AE37" s="297">
        <f>AE38+'Произв.затраты'!AF8</f>
        <v>20694.43167</v>
      </c>
      <c r="AF37" s="297">
        <f>AF38+'Произв.затраты'!AG8</f>
        <v>54929.42594</v>
      </c>
      <c r="AG37" s="297">
        <f>AG38+'Произв.затраты'!AH8</f>
        <v>62577.85316</v>
      </c>
      <c r="AH37" s="297">
        <f>AH38+'Произв.затраты'!AI8</f>
        <v>79512.08315</v>
      </c>
      <c r="AI37" s="297">
        <f>AI38+'Произв.затраты'!AJ8</f>
        <v>79512.08315</v>
      </c>
      <c r="AJ37" s="297">
        <f>AJ38+'Произв.затраты'!AK8</f>
        <v>64615.84576</v>
      </c>
      <c r="AK37" s="297">
        <f>AK38+'Произв.затраты'!AL8</f>
        <v>51830.12556</v>
      </c>
      <c r="AL37" s="297">
        <f>AL38+'Произв.затраты'!AM8</f>
        <v>39326.24439</v>
      </c>
      <c r="AM37" s="297">
        <f>AM38+'Произв.затраты'!AN8</f>
        <v>29033.51357</v>
      </c>
      <c r="AN37" s="297">
        <f>AN38+'Произв.затраты'!AO8</f>
        <v>572313.9596</v>
      </c>
      <c r="AO37" s="297">
        <f>AO38+'Произв.затраты'!AP8</f>
        <v>631042.1909</v>
      </c>
      <c r="AP37" s="297">
        <f>AP38+'Произв.затраты'!AQ8</f>
        <v>695365.3488</v>
      </c>
      <c r="AQ37" s="297">
        <f>AQ38+'Произв.затраты'!AR8</f>
        <v>765821.7339</v>
      </c>
      <c r="AR37" s="297">
        <f>AR38+'Произв.затраты'!AS8</f>
        <v>843001.1144</v>
      </c>
      <c r="AS37" s="297">
        <f>AS38+'Произв.затраты'!AT8</f>
        <v>927549.6067</v>
      </c>
      <c r="AT37" s="297">
        <f>AT38+'Произв.затраты'!AU8</f>
        <v>1020175.016</v>
      </c>
      <c r="AU37" s="297">
        <f>AU38+'Произв.затраты'!AV8</f>
        <v>1121652.678</v>
      </c>
      <c r="AV37" s="297">
        <f>AV38+'Произв.затраты'!AW8</f>
        <v>1232831.844</v>
      </c>
      <c r="AW37" s="297">
        <f>AW38+'Произв.затраты'!AX8</f>
        <v>1354642.669</v>
      </c>
      <c r="AX37" s="297">
        <f>AX38+'Произв.затраты'!AY8</f>
        <v>1488103.85</v>
      </c>
      <c r="AY37" s="297">
        <f>AY38+'Произв.затраты'!AZ8</f>
        <v>1634330.975</v>
      </c>
      <c r="AZ37" s="297">
        <f>AZ38+'Произв.затраты'!BA8</f>
        <v>1794405.873</v>
      </c>
      <c r="BA37" s="297">
        <f>BA38+'Произв.затраты'!BB8</f>
        <v>1969175.426</v>
      </c>
      <c r="BB37" s="297">
        <f>BB38+'Произв.затраты'!BC8</f>
        <v>2160637.639</v>
      </c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</row>
    <row r="38" ht="12.75" customHeight="1">
      <c r="A38" s="297" t="s">
        <v>316</v>
      </c>
      <c r="B38" s="297">
        <f t="shared" ref="B38:BB38" si="3">B19-B21</f>
        <v>8476.558113</v>
      </c>
      <c r="C38" s="297">
        <f t="shared" si="3"/>
        <v>4148.945753</v>
      </c>
      <c r="D38" s="297">
        <f t="shared" si="3"/>
        <v>17876.23138</v>
      </c>
      <c r="E38" s="297">
        <f t="shared" si="3"/>
        <v>2385.981537</v>
      </c>
      <c r="F38" s="297">
        <f t="shared" si="3"/>
        <v>30728.33962</v>
      </c>
      <c r="G38" s="297">
        <f t="shared" si="3"/>
        <v>37060.2952</v>
      </c>
      <c r="H38" s="297">
        <f t="shared" si="3"/>
        <v>51079.75162</v>
      </c>
      <c r="I38" s="297">
        <f t="shared" si="3"/>
        <v>51079.75162</v>
      </c>
      <c r="J38" s="297">
        <f t="shared" si="3"/>
        <v>38747.50203</v>
      </c>
      <c r="K38" s="297">
        <f t="shared" si="3"/>
        <v>28162.50069</v>
      </c>
      <c r="L38" s="297">
        <f t="shared" si="3"/>
        <v>17810.82735</v>
      </c>
      <c r="M38" s="297">
        <f t="shared" si="3"/>
        <v>9289.714118</v>
      </c>
      <c r="N38" s="297">
        <f t="shared" si="3"/>
        <v>296846.399</v>
      </c>
      <c r="O38" s="297">
        <f t="shared" si="3"/>
        <v>10947.21173</v>
      </c>
      <c r="P38" s="297">
        <f t="shared" si="3"/>
        <v>6190.02633</v>
      </c>
      <c r="Q38" s="297">
        <f t="shared" si="3"/>
        <v>21277.24009</v>
      </c>
      <c r="R38" s="297">
        <f t="shared" si="3"/>
        <v>4252.409623</v>
      </c>
      <c r="S38" s="297">
        <f t="shared" si="3"/>
        <v>35402.57481</v>
      </c>
      <c r="T38" s="297">
        <f t="shared" si="3"/>
        <v>42361.82152</v>
      </c>
      <c r="U38" s="297">
        <f t="shared" si="3"/>
        <v>57770.15071</v>
      </c>
      <c r="V38" s="297">
        <f t="shared" si="3"/>
        <v>57770.15071</v>
      </c>
      <c r="W38" s="297">
        <f t="shared" si="3"/>
        <v>44216.17575</v>
      </c>
      <c r="X38" s="297">
        <f t="shared" si="3"/>
        <v>32582.54458</v>
      </c>
      <c r="Y38" s="297">
        <f t="shared" si="3"/>
        <v>21205.35664</v>
      </c>
      <c r="Z38" s="297">
        <f t="shared" si="3"/>
        <v>11840.07786</v>
      </c>
      <c r="AA38" s="297">
        <f t="shared" si="3"/>
        <v>345815.7404</v>
      </c>
      <c r="AB38" s="297">
        <f t="shared" si="3"/>
        <v>13635.92843</v>
      </c>
      <c r="AC38" s="297">
        <f t="shared" si="3"/>
        <v>8406.686377</v>
      </c>
      <c r="AD38" s="297">
        <f t="shared" si="3"/>
        <v>24988.00058</v>
      </c>
      <c r="AE38" s="297">
        <f t="shared" si="3"/>
        <v>6277.185732</v>
      </c>
      <c r="AF38" s="297">
        <f t="shared" si="3"/>
        <v>40512.18</v>
      </c>
      <c r="AG38" s="297">
        <f t="shared" si="3"/>
        <v>48160.60722</v>
      </c>
      <c r="AH38" s="297">
        <f t="shared" si="3"/>
        <v>65094.83721</v>
      </c>
      <c r="AI38" s="297">
        <f t="shared" si="3"/>
        <v>65094.83721</v>
      </c>
      <c r="AJ38" s="297">
        <f t="shared" si="3"/>
        <v>50198.59983</v>
      </c>
      <c r="AK38" s="297">
        <f t="shared" si="3"/>
        <v>37412.87962</v>
      </c>
      <c r="AL38" s="297">
        <f t="shared" si="3"/>
        <v>24908.99845</v>
      </c>
      <c r="AM38" s="297">
        <f t="shared" si="3"/>
        <v>14616.26763</v>
      </c>
      <c r="AN38" s="297">
        <f t="shared" si="3"/>
        <v>399307.0083</v>
      </c>
      <c r="AO38" s="297">
        <f t="shared" si="3"/>
        <v>458035.2397</v>
      </c>
      <c r="AP38" s="297">
        <f t="shared" si="3"/>
        <v>522358.3975</v>
      </c>
      <c r="AQ38" s="297">
        <f t="shared" si="3"/>
        <v>592814.7827</v>
      </c>
      <c r="AR38" s="297">
        <f t="shared" si="3"/>
        <v>669994.1631</v>
      </c>
      <c r="AS38" s="297">
        <f t="shared" si="3"/>
        <v>754542.6554</v>
      </c>
      <c r="AT38" s="297">
        <f t="shared" si="3"/>
        <v>847168.065</v>
      </c>
      <c r="AU38" s="297">
        <f t="shared" si="3"/>
        <v>948645.7266</v>
      </c>
      <c r="AV38" s="297">
        <f t="shared" si="3"/>
        <v>1059824.893</v>
      </c>
      <c r="AW38" s="297">
        <f t="shared" si="3"/>
        <v>1181635.718</v>
      </c>
      <c r="AX38" s="297">
        <f t="shared" si="3"/>
        <v>1315096.899</v>
      </c>
      <c r="AY38" s="297">
        <f t="shared" si="3"/>
        <v>1461324.024</v>
      </c>
      <c r="AZ38" s="297">
        <f t="shared" si="3"/>
        <v>1621398.922</v>
      </c>
      <c r="BA38" s="297">
        <f t="shared" si="3"/>
        <v>1796168.475</v>
      </c>
      <c r="BB38" s="297">
        <f t="shared" si="3"/>
        <v>1987630.687</v>
      </c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</row>
    <row r="39" ht="12.75" customHeight="1">
      <c r="A39" s="301" t="s">
        <v>317</v>
      </c>
      <c r="B39" s="299">
        <f t="shared" ref="B39:BB39" si="4">IF(B8=0,0,B38/B8)</f>
        <v>0.2922014074</v>
      </c>
      <c r="C39" s="299">
        <f t="shared" si="4"/>
        <v>0.168495419</v>
      </c>
      <c r="D39" s="299">
        <f t="shared" si="4"/>
        <v>0.4620503487</v>
      </c>
      <c r="E39" s="299">
        <f t="shared" si="4"/>
        <v>0.1045698798</v>
      </c>
      <c r="F39" s="299">
        <f t="shared" si="4"/>
        <v>0.5925520415</v>
      </c>
      <c r="G39" s="299">
        <f t="shared" si="4"/>
        <v>0.6351862821</v>
      </c>
      <c r="H39" s="299">
        <f t="shared" si="4"/>
        <v>0.7025100144</v>
      </c>
      <c r="I39" s="299">
        <f t="shared" si="4"/>
        <v>0.7025100144</v>
      </c>
      <c r="J39" s="299">
        <f t="shared" si="4"/>
        <v>0.6449927524</v>
      </c>
      <c r="K39" s="299">
        <f t="shared" si="4"/>
        <v>0.5720762577</v>
      </c>
      <c r="L39" s="299">
        <f t="shared" si="4"/>
        <v>0.4611586356</v>
      </c>
      <c r="M39" s="299">
        <f t="shared" si="4"/>
        <v>0.3107874222</v>
      </c>
      <c r="N39" s="299">
        <f t="shared" si="4"/>
        <v>0.5411193658</v>
      </c>
      <c r="O39" s="299">
        <f t="shared" si="4"/>
        <v>0.3433749309</v>
      </c>
      <c r="P39" s="299">
        <f t="shared" si="4"/>
        <v>0.2287415951</v>
      </c>
      <c r="Q39" s="299">
        <f t="shared" si="4"/>
        <v>0.5004157115</v>
      </c>
      <c r="R39" s="299">
        <f t="shared" si="4"/>
        <v>0.1695808977</v>
      </c>
      <c r="S39" s="299">
        <f t="shared" si="4"/>
        <v>0.621190151</v>
      </c>
      <c r="T39" s="299">
        <f t="shared" si="4"/>
        <v>0.6606465472</v>
      </c>
      <c r="U39" s="299">
        <f t="shared" si="4"/>
        <v>0.7229521454</v>
      </c>
      <c r="V39" s="299">
        <f t="shared" si="4"/>
        <v>0.7229521454</v>
      </c>
      <c r="W39" s="299">
        <f t="shared" si="4"/>
        <v>0.669722069</v>
      </c>
      <c r="X39" s="299">
        <f t="shared" si="4"/>
        <v>0.6022405783</v>
      </c>
      <c r="Y39" s="299">
        <f t="shared" si="4"/>
        <v>0.4995904644</v>
      </c>
      <c r="Z39" s="299">
        <f t="shared" si="4"/>
        <v>0.3604275262</v>
      </c>
      <c r="AA39" s="299">
        <f t="shared" si="4"/>
        <v>0.5735989617</v>
      </c>
      <c r="AB39" s="299">
        <f t="shared" si="4"/>
        <v>0.3891814107</v>
      </c>
      <c r="AC39" s="299">
        <f t="shared" si="4"/>
        <v>0.2826700543</v>
      </c>
      <c r="AD39" s="299">
        <f t="shared" si="4"/>
        <v>0.5347483554</v>
      </c>
      <c r="AE39" s="299">
        <f t="shared" si="4"/>
        <v>0.2277766096</v>
      </c>
      <c r="AF39" s="299">
        <f t="shared" si="4"/>
        <v>0.6468113518</v>
      </c>
      <c r="AG39" s="299">
        <f t="shared" si="4"/>
        <v>0.6834217638</v>
      </c>
      <c r="AH39" s="299">
        <f t="shared" si="4"/>
        <v>0.7412332681</v>
      </c>
      <c r="AI39" s="299">
        <f t="shared" si="4"/>
        <v>0.7412332681</v>
      </c>
      <c r="AJ39" s="299">
        <f t="shared" si="4"/>
        <v>0.6918426695</v>
      </c>
      <c r="AK39" s="299">
        <f t="shared" si="4"/>
        <v>0.6292286091</v>
      </c>
      <c r="AL39" s="299">
        <f t="shared" si="4"/>
        <v>0.5339826332</v>
      </c>
      <c r="AM39" s="299">
        <f t="shared" si="4"/>
        <v>0.4048574979</v>
      </c>
      <c r="AN39" s="299">
        <f t="shared" si="4"/>
        <v>0.6026606556</v>
      </c>
      <c r="AO39" s="299">
        <f t="shared" si="4"/>
        <v>0.6290238423</v>
      </c>
      <c r="AP39" s="299">
        <f t="shared" si="4"/>
        <v>0.6527383106</v>
      </c>
      <c r="AQ39" s="299">
        <f t="shared" si="4"/>
        <v>0.674049599</v>
      </c>
      <c r="AR39" s="299">
        <f t="shared" si="4"/>
        <v>0.6931802121</v>
      </c>
      <c r="AS39" s="299">
        <f t="shared" si="4"/>
        <v>0.7103317731</v>
      </c>
      <c r="AT39" s="299">
        <f t="shared" si="4"/>
        <v>0.7256869758</v>
      </c>
      <c r="AU39" s="299">
        <f t="shared" si="4"/>
        <v>0.7394113535</v>
      </c>
      <c r="AV39" s="299">
        <f t="shared" si="4"/>
        <v>0.7516548836</v>
      </c>
      <c r="AW39" s="299">
        <f t="shared" si="4"/>
        <v>0.7625534416</v>
      </c>
      <c r="AX39" s="299">
        <f t="shared" si="4"/>
        <v>0.7722301196</v>
      </c>
      <c r="AY39" s="299">
        <f t="shared" si="4"/>
        <v>0.7807964219</v>
      </c>
      <c r="AZ39" s="299">
        <f t="shared" si="4"/>
        <v>0.7882853909</v>
      </c>
      <c r="BA39" s="299">
        <f t="shared" si="4"/>
        <v>0.7945897806</v>
      </c>
      <c r="BB39" s="299">
        <f t="shared" si="4"/>
        <v>0.8000809067</v>
      </c>
      <c r="BC39" s="300"/>
      <c r="BD39" s="300"/>
      <c r="BE39" s="300"/>
      <c r="BF39" s="300"/>
      <c r="BG39" s="300"/>
      <c r="BH39" s="300"/>
      <c r="BI39" s="300"/>
      <c r="BJ39" s="300"/>
      <c r="BK39" s="300"/>
      <c r="BL39" s="300"/>
      <c r="BM39" s="300"/>
      <c r="BN39" s="300"/>
      <c r="BO39" s="300"/>
      <c r="BP39" s="300"/>
      <c r="BQ39" s="300"/>
      <c r="BR39" s="300"/>
      <c r="BS39" s="300"/>
      <c r="BT39" s="300"/>
      <c r="BU39" s="300"/>
      <c r="BV39" s="300"/>
    </row>
    <row r="40" ht="12.75" customHeight="1">
      <c r="A40" s="26" t="s">
        <v>318</v>
      </c>
      <c r="B40" s="26">
        <f>'Займ'!$J$26</f>
        <v>0</v>
      </c>
      <c r="C40" s="26">
        <f>'Займ'!$J$27</f>
        <v>0</v>
      </c>
      <c r="D40" s="26">
        <f>'Займ'!$J$28</f>
        <v>0</v>
      </c>
      <c r="E40" s="26">
        <f>'Займ'!$J$29</f>
        <v>0</v>
      </c>
      <c r="F40" s="26">
        <f>'Займ'!$J$30</f>
        <v>0</v>
      </c>
      <c r="G40" s="26">
        <f>'Займ'!$J$31</f>
        <v>0</v>
      </c>
      <c r="H40" s="26">
        <f>'Займ'!$J$32</f>
        <v>18669.99661</v>
      </c>
      <c r="I40" s="26">
        <f>'Займ'!$J$33</f>
        <v>18669.99661</v>
      </c>
      <c r="J40" s="26">
        <f>'Займ'!$J$34</f>
        <v>18669.99661</v>
      </c>
      <c r="K40" s="26">
        <f>'Займ'!$J$35</f>
        <v>18669.99661</v>
      </c>
      <c r="L40" s="26">
        <f>'Займ'!$J$36</f>
        <v>18669.99661</v>
      </c>
      <c r="M40" s="26">
        <f>'Займ'!$J$37</f>
        <v>18669.99661</v>
      </c>
      <c r="N40" s="26">
        <f>SUM(B40:M40)</f>
        <v>112019.9797</v>
      </c>
      <c r="O40" s="26">
        <f>'Займ'!$J$38</f>
        <v>0</v>
      </c>
      <c r="P40" s="26">
        <f>'Займ'!$J$39</f>
        <v>0</v>
      </c>
      <c r="Q40" s="26">
        <f>'Займ'!$J$40</f>
        <v>0</v>
      </c>
      <c r="R40" s="26">
        <f>'Займ'!$J$41</f>
        <v>0</v>
      </c>
      <c r="S40" s="26">
        <f>'Займ'!$J$42</f>
        <v>0</v>
      </c>
      <c r="T40" s="26">
        <f>'Займ'!$J$43</f>
        <v>0</v>
      </c>
      <c r="U40" s="26">
        <f>'Займ'!$J$44</f>
        <v>16417.18963</v>
      </c>
      <c r="V40" s="26">
        <f>'Займ'!$J$45</f>
        <v>16417.18963</v>
      </c>
      <c r="W40" s="26">
        <f>'Займ'!$J$46</f>
        <v>16417.18963</v>
      </c>
      <c r="X40" s="26">
        <f>'Займ'!$J$47</f>
        <v>16417.18963</v>
      </c>
      <c r="Y40" s="26">
        <f>'Займ'!$J$48</f>
        <v>16417.18963</v>
      </c>
      <c r="Z40" s="26">
        <f>'Займ'!$J$49</f>
        <v>16417.18963</v>
      </c>
      <c r="AA40" s="26">
        <f>SUM(O40:Z40)</f>
        <v>98503.13779</v>
      </c>
      <c r="AB40" s="26">
        <f>'Займ'!$J$50</f>
        <v>0</v>
      </c>
      <c r="AC40" s="26">
        <f>'Займ'!$J$51</f>
        <v>0</v>
      </c>
      <c r="AD40" s="26">
        <f>'Займ'!$J$52</f>
        <v>0</v>
      </c>
      <c r="AE40" s="26">
        <f>'Займ'!$J$53</f>
        <v>0</v>
      </c>
      <c r="AF40" s="26">
        <f>'Займ'!$J$54</f>
        <v>0</v>
      </c>
      <c r="AG40" s="26">
        <f>'Займ'!$J$55</f>
        <v>0</v>
      </c>
      <c r="AH40" s="26">
        <f>'Займ'!$J$56</f>
        <v>13902.5166</v>
      </c>
      <c r="AI40" s="26">
        <f>'Займ'!$J$57</f>
        <v>13902.5166</v>
      </c>
      <c r="AJ40" s="26">
        <f>'Займ'!$J$58</f>
        <v>13902.5166</v>
      </c>
      <c r="AK40" s="26">
        <f>'Займ'!$J$59</f>
        <v>13902.5166</v>
      </c>
      <c r="AL40" s="26">
        <f>'Займ'!$J$60</f>
        <v>13902.5166</v>
      </c>
      <c r="AM40" s="26">
        <f>'Займ'!$J$61</f>
        <v>13902.5166</v>
      </c>
      <c r="AN40" s="26">
        <f>SUM(AB40:AM40)</f>
        <v>83415.09958</v>
      </c>
      <c r="AO40" s="26">
        <f>SUM('Займ'!$J$62:$J$73)</f>
        <v>144060.4854</v>
      </c>
      <c r="AP40" s="26">
        <f>SUM('Займ'!$J$74:$J$85)</f>
        <v>215941.6278</v>
      </c>
      <c r="AQ40" s="26">
        <f>SUM('Займ'!$J$86:$J$97)</f>
        <v>182900.428</v>
      </c>
      <c r="AR40" s="26">
        <f>SUM('Займ'!$J$98:$J$109)</f>
        <v>118655.1004</v>
      </c>
      <c r="AS40" s="26">
        <f>SUM('Займ'!$L$131:$L$142)</f>
        <v>0</v>
      </c>
      <c r="AT40" s="26">
        <f>SUM('Займ'!$L$143:$L$154)</f>
        <v>0</v>
      </c>
      <c r="AU40" s="26">
        <f>SUM('Займ'!$L$155:$L$166)</f>
        <v>0</v>
      </c>
      <c r="AV40" s="26">
        <f>SUM('Займ'!$L$167:$L$178)</f>
        <v>0</v>
      </c>
      <c r="AW40" s="26">
        <f>SUM('Займ'!$L$179:$L$190)</f>
        <v>0</v>
      </c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</row>
    <row r="41" ht="12.75" customHeight="1">
      <c r="A41" s="302" t="s">
        <v>319</v>
      </c>
      <c r="B41" s="302">
        <f t="shared" ref="B41:BB41" si="5">B38-B40</f>
        <v>8476.558113</v>
      </c>
      <c r="C41" s="302">
        <f t="shared" si="5"/>
        <v>4148.945753</v>
      </c>
      <c r="D41" s="302">
        <f t="shared" si="5"/>
        <v>17876.23138</v>
      </c>
      <c r="E41" s="302">
        <f t="shared" si="5"/>
        <v>2385.981537</v>
      </c>
      <c r="F41" s="302">
        <f t="shared" si="5"/>
        <v>30728.33962</v>
      </c>
      <c r="G41" s="302">
        <f t="shared" si="5"/>
        <v>37060.2952</v>
      </c>
      <c r="H41" s="302">
        <f t="shared" si="5"/>
        <v>32409.75501</v>
      </c>
      <c r="I41" s="302">
        <f t="shared" si="5"/>
        <v>32409.75501</v>
      </c>
      <c r="J41" s="302">
        <f t="shared" si="5"/>
        <v>20077.50542</v>
      </c>
      <c r="K41" s="302">
        <f t="shared" si="5"/>
        <v>9492.504078</v>
      </c>
      <c r="L41" s="302">
        <f t="shared" si="5"/>
        <v>-859.1692651</v>
      </c>
      <c r="M41" s="302">
        <f t="shared" si="5"/>
        <v>-9380.282495</v>
      </c>
      <c r="N41" s="302">
        <f t="shared" si="5"/>
        <v>184826.4194</v>
      </c>
      <c r="O41" s="302">
        <f t="shared" si="5"/>
        <v>10947.21173</v>
      </c>
      <c r="P41" s="302">
        <f t="shared" si="5"/>
        <v>6190.02633</v>
      </c>
      <c r="Q41" s="302">
        <f t="shared" si="5"/>
        <v>21277.24009</v>
      </c>
      <c r="R41" s="302">
        <f t="shared" si="5"/>
        <v>4252.409623</v>
      </c>
      <c r="S41" s="302">
        <f t="shared" si="5"/>
        <v>35402.57481</v>
      </c>
      <c r="T41" s="302">
        <f t="shared" si="5"/>
        <v>42361.82152</v>
      </c>
      <c r="U41" s="302">
        <f t="shared" si="5"/>
        <v>41352.96108</v>
      </c>
      <c r="V41" s="302">
        <f t="shared" si="5"/>
        <v>41352.96108</v>
      </c>
      <c r="W41" s="302">
        <f t="shared" si="5"/>
        <v>27798.98612</v>
      </c>
      <c r="X41" s="302">
        <f t="shared" si="5"/>
        <v>16165.35495</v>
      </c>
      <c r="Y41" s="302">
        <f t="shared" si="5"/>
        <v>4788.167011</v>
      </c>
      <c r="Z41" s="302">
        <f t="shared" si="5"/>
        <v>-4577.111767</v>
      </c>
      <c r="AA41" s="302">
        <f t="shared" si="5"/>
        <v>247312.6026</v>
      </c>
      <c r="AB41" s="302">
        <f t="shared" si="5"/>
        <v>13635.92843</v>
      </c>
      <c r="AC41" s="302">
        <f t="shared" si="5"/>
        <v>8406.686377</v>
      </c>
      <c r="AD41" s="302">
        <f t="shared" si="5"/>
        <v>24988.00058</v>
      </c>
      <c r="AE41" s="302">
        <f t="shared" si="5"/>
        <v>6277.185732</v>
      </c>
      <c r="AF41" s="302">
        <f t="shared" si="5"/>
        <v>40512.18</v>
      </c>
      <c r="AG41" s="302">
        <f t="shared" si="5"/>
        <v>48160.60722</v>
      </c>
      <c r="AH41" s="302">
        <f t="shared" si="5"/>
        <v>51192.32061</v>
      </c>
      <c r="AI41" s="302">
        <f t="shared" si="5"/>
        <v>51192.32061</v>
      </c>
      <c r="AJ41" s="302">
        <f t="shared" si="5"/>
        <v>36296.08323</v>
      </c>
      <c r="AK41" s="302">
        <f t="shared" si="5"/>
        <v>23510.36303</v>
      </c>
      <c r="AL41" s="302">
        <f t="shared" si="5"/>
        <v>11006.48186</v>
      </c>
      <c r="AM41" s="302">
        <f t="shared" si="5"/>
        <v>713.751037</v>
      </c>
      <c r="AN41" s="302">
        <f t="shared" si="5"/>
        <v>315891.9087</v>
      </c>
      <c r="AO41" s="302">
        <f t="shared" si="5"/>
        <v>313974.7543</v>
      </c>
      <c r="AP41" s="302">
        <f t="shared" si="5"/>
        <v>306416.7697</v>
      </c>
      <c r="AQ41" s="302">
        <f t="shared" si="5"/>
        <v>409914.3547</v>
      </c>
      <c r="AR41" s="302">
        <f t="shared" si="5"/>
        <v>551339.0627</v>
      </c>
      <c r="AS41" s="302">
        <f t="shared" si="5"/>
        <v>754542.6554</v>
      </c>
      <c r="AT41" s="302">
        <f t="shared" si="5"/>
        <v>847168.065</v>
      </c>
      <c r="AU41" s="302">
        <f t="shared" si="5"/>
        <v>948645.7266</v>
      </c>
      <c r="AV41" s="302">
        <f t="shared" si="5"/>
        <v>1059824.893</v>
      </c>
      <c r="AW41" s="302">
        <f t="shared" si="5"/>
        <v>1181635.718</v>
      </c>
      <c r="AX41" s="302">
        <f t="shared" si="5"/>
        <v>1315096.899</v>
      </c>
      <c r="AY41" s="302">
        <f t="shared" si="5"/>
        <v>1461324.024</v>
      </c>
      <c r="AZ41" s="302">
        <f t="shared" si="5"/>
        <v>1621398.922</v>
      </c>
      <c r="BA41" s="302">
        <f t="shared" si="5"/>
        <v>1796168.475</v>
      </c>
      <c r="BB41" s="302">
        <f t="shared" si="5"/>
        <v>1987630.687</v>
      </c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</row>
    <row r="42" ht="12.75" customHeight="1">
      <c r="A42" s="301" t="s">
        <v>320</v>
      </c>
      <c r="B42" s="299">
        <f t="shared" ref="B42:BB42" si="6">IF(B8=0,0,B41/B8)</f>
        <v>0.2922014074</v>
      </c>
      <c r="C42" s="299">
        <f t="shared" si="6"/>
        <v>0.168495419</v>
      </c>
      <c r="D42" s="299">
        <f t="shared" si="6"/>
        <v>0.4620503487</v>
      </c>
      <c r="E42" s="299">
        <f t="shared" si="6"/>
        <v>0.1045698798</v>
      </c>
      <c r="F42" s="299">
        <f t="shared" si="6"/>
        <v>0.5925520415</v>
      </c>
      <c r="G42" s="299">
        <f t="shared" si="6"/>
        <v>0.6351862821</v>
      </c>
      <c r="H42" s="299">
        <f t="shared" si="6"/>
        <v>0.4457378263</v>
      </c>
      <c r="I42" s="299">
        <f t="shared" si="6"/>
        <v>0.4457378263</v>
      </c>
      <c r="J42" s="299">
        <f t="shared" si="6"/>
        <v>0.3342111053</v>
      </c>
      <c r="K42" s="299">
        <f t="shared" si="6"/>
        <v>0.1928250715</v>
      </c>
      <c r="L42" s="299">
        <f t="shared" si="6"/>
        <v>-0.02224564409</v>
      </c>
      <c r="M42" s="299">
        <f t="shared" si="6"/>
        <v>-0.3138173876</v>
      </c>
      <c r="N42" s="299">
        <f t="shared" si="6"/>
        <v>0.3369188751</v>
      </c>
      <c r="O42" s="299">
        <f t="shared" si="6"/>
        <v>0.3433749309</v>
      </c>
      <c r="P42" s="299">
        <f t="shared" si="6"/>
        <v>0.2287415951</v>
      </c>
      <c r="Q42" s="299">
        <f t="shared" si="6"/>
        <v>0.5004157115</v>
      </c>
      <c r="R42" s="299">
        <f t="shared" si="6"/>
        <v>0.1695808977</v>
      </c>
      <c r="S42" s="299">
        <f t="shared" si="6"/>
        <v>0.621190151</v>
      </c>
      <c r="T42" s="299">
        <f t="shared" si="6"/>
        <v>0.6606465472</v>
      </c>
      <c r="U42" s="299">
        <f t="shared" si="6"/>
        <v>0.5175027512</v>
      </c>
      <c r="V42" s="299">
        <f t="shared" si="6"/>
        <v>0.5175027512</v>
      </c>
      <c r="W42" s="299">
        <f t="shared" si="6"/>
        <v>0.4210584517</v>
      </c>
      <c r="X42" s="299">
        <f t="shared" si="6"/>
        <v>0.2987928917</v>
      </c>
      <c r="Y42" s="299">
        <f t="shared" si="6"/>
        <v>0.1128074675</v>
      </c>
      <c r="Z42" s="299">
        <f t="shared" si="6"/>
        <v>-0.1393332958</v>
      </c>
      <c r="AA42" s="299">
        <f t="shared" si="6"/>
        <v>0.4102134041</v>
      </c>
      <c r="AB42" s="299">
        <f t="shared" si="6"/>
        <v>0.3891814107</v>
      </c>
      <c r="AC42" s="299">
        <f t="shared" si="6"/>
        <v>0.2826700543</v>
      </c>
      <c r="AD42" s="299">
        <f t="shared" si="6"/>
        <v>0.5347483554</v>
      </c>
      <c r="AE42" s="299">
        <f t="shared" si="6"/>
        <v>0.2277766096</v>
      </c>
      <c r="AF42" s="299">
        <f t="shared" si="6"/>
        <v>0.6468113518</v>
      </c>
      <c r="AG42" s="299">
        <f t="shared" si="6"/>
        <v>0.6834217638</v>
      </c>
      <c r="AH42" s="299">
        <f t="shared" si="6"/>
        <v>0.5829256626</v>
      </c>
      <c r="AI42" s="299">
        <f t="shared" si="6"/>
        <v>0.5829256626</v>
      </c>
      <c r="AJ42" s="299">
        <f t="shared" si="6"/>
        <v>0.5002366441</v>
      </c>
      <c r="AK42" s="299">
        <f t="shared" si="6"/>
        <v>0.3954090991</v>
      </c>
      <c r="AL42" s="299">
        <f t="shared" si="6"/>
        <v>0.235949678</v>
      </c>
      <c r="AM42" s="299">
        <f t="shared" si="6"/>
        <v>0.01977026326</v>
      </c>
      <c r="AN42" s="299">
        <f t="shared" si="6"/>
        <v>0.4767650476</v>
      </c>
      <c r="AO42" s="299">
        <f t="shared" si="6"/>
        <v>0.4311843047</v>
      </c>
      <c r="AP42" s="299">
        <f t="shared" si="6"/>
        <v>0.3828979597</v>
      </c>
      <c r="AQ42" s="299">
        <f t="shared" si="6"/>
        <v>0.4660858914</v>
      </c>
      <c r="AR42" s="299">
        <f t="shared" si="6"/>
        <v>0.5704188923</v>
      </c>
      <c r="AS42" s="299">
        <f t="shared" si="6"/>
        <v>0.7103317731</v>
      </c>
      <c r="AT42" s="299">
        <f t="shared" si="6"/>
        <v>0.7256869758</v>
      </c>
      <c r="AU42" s="299">
        <f t="shared" si="6"/>
        <v>0.7394113535</v>
      </c>
      <c r="AV42" s="299">
        <f t="shared" si="6"/>
        <v>0.7516548836</v>
      </c>
      <c r="AW42" s="299">
        <f t="shared" si="6"/>
        <v>0.7625534416</v>
      </c>
      <c r="AX42" s="299">
        <f t="shared" si="6"/>
        <v>0.7722301196</v>
      </c>
      <c r="AY42" s="299">
        <f t="shared" si="6"/>
        <v>0.7807964219</v>
      </c>
      <c r="AZ42" s="299">
        <f t="shared" si="6"/>
        <v>0.7882853909</v>
      </c>
      <c r="BA42" s="299">
        <f t="shared" si="6"/>
        <v>0.7945897806</v>
      </c>
      <c r="BB42" s="299">
        <f t="shared" si="6"/>
        <v>0.8000809067</v>
      </c>
      <c r="BC42" s="300"/>
      <c r="BD42" s="300"/>
      <c r="BE42" s="300"/>
      <c r="BF42" s="300"/>
      <c r="BG42" s="300"/>
      <c r="BH42" s="300"/>
      <c r="BI42" s="300"/>
      <c r="BJ42" s="300"/>
      <c r="BK42" s="300"/>
      <c r="BL42" s="300"/>
      <c r="BM42" s="300"/>
      <c r="BN42" s="300"/>
      <c r="BO42" s="300"/>
      <c r="BP42" s="300"/>
      <c r="BQ42" s="300"/>
      <c r="BR42" s="300"/>
      <c r="BS42" s="300"/>
      <c r="BT42" s="300"/>
      <c r="BU42" s="300"/>
      <c r="BV42" s="300"/>
    </row>
    <row r="43" ht="12.75" customHeight="1">
      <c r="A43" s="26" t="s">
        <v>321</v>
      </c>
      <c r="B43" s="26">
        <f>N43/12</f>
        <v>3080.440323</v>
      </c>
      <c r="C43" s="26">
        <f t="shared" ref="C43:M43" si="7">B43</f>
        <v>3080.440323</v>
      </c>
      <c r="D43" s="26">
        <f t="shared" si="7"/>
        <v>3080.440323</v>
      </c>
      <c r="E43" s="26">
        <f t="shared" si="7"/>
        <v>3080.440323</v>
      </c>
      <c r="F43" s="26">
        <f t="shared" si="7"/>
        <v>3080.440323</v>
      </c>
      <c r="G43" s="26">
        <f t="shared" si="7"/>
        <v>3080.440323</v>
      </c>
      <c r="H43" s="26">
        <f t="shared" si="7"/>
        <v>3080.440323</v>
      </c>
      <c r="I43" s="26">
        <f t="shared" si="7"/>
        <v>3080.440323</v>
      </c>
      <c r="J43" s="26">
        <f t="shared" si="7"/>
        <v>3080.440323</v>
      </c>
      <c r="K43" s="26">
        <f t="shared" si="7"/>
        <v>3080.440323</v>
      </c>
      <c r="L43" s="26">
        <f t="shared" si="7"/>
        <v>3080.440323</v>
      </c>
      <c r="M43" s="26">
        <f t="shared" si="7"/>
        <v>3080.440323</v>
      </c>
      <c r="N43" s="26">
        <f>IF(N41&lt;0,0,N41*Panel!$B$27)</f>
        <v>36965.28387</v>
      </c>
      <c r="O43" s="26">
        <f>AA43/12</f>
        <v>4121.87671</v>
      </c>
      <c r="P43" s="26">
        <f t="shared" ref="P43:Z43" si="8">O43</f>
        <v>4121.87671</v>
      </c>
      <c r="Q43" s="26">
        <f t="shared" si="8"/>
        <v>4121.87671</v>
      </c>
      <c r="R43" s="26">
        <f t="shared" si="8"/>
        <v>4121.87671</v>
      </c>
      <c r="S43" s="26">
        <f t="shared" si="8"/>
        <v>4121.87671</v>
      </c>
      <c r="T43" s="26">
        <f t="shared" si="8"/>
        <v>4121.87671</v>
      </c>
      <c r="U43" s="26">
        <f t="shared" si="8"/>
        <v>4121.87671</v>
      </c>
      <c r="V43" s="26">
        <f t="shared" si="8"/>
        <v>4121.87671</v>
      </c>
      <c r="W43" s="26">
        <f t="shared" si="8"/>
        <v>4121.87671</v>
      </c>
      <c r="X43" s="26">
        <f t="shared" si="8"/>
        <v>4121.87671</v>
      </c>
      <c r="Y43" s="26">
        <f t="shared" si="8"/>
        <v>4121.87671</v>
      </c>
      <c r="Z43" s="26">
        <f t="shared" si="8"/>
        <v>4121.87671</v>
      </c>
      <c r="AA43" s="26">
        <f>IF(AA41&lt;0,0,AA41*Panel!$B$27)</f>
        <v>49462.52052</v>
      </c>
      <c r="AB43" s="26">
        <f>AN43/12</f>
        <v>5264.865145</v>
      </c>
      <c r="AC43" s="26">
        <f t="shared" ref="AC43:AM43" si="9">AB43</f>
        <v>5264.865145</v>
      </c>
      <c r="AD43" s="26">
        <f t="shared" si="9"/>
        <v>5264.865145</v>
      </c>
      <c r="AE43" s="26">
        <f t="shared" si="9"/>
        <v>5264.865145</v>
      </c>
      <c r="AF43" s="26">
        <f t="shared" si="9"/>
        <v>5264.865145</v>
      </c>
      <c r="AG43" s="26">
        <f t="shared" si="9"/>
        <v>5264.865145</v>
      </c>
      <c r="AH43" s="26">
        <f t="shared" si="9"/>
        <v>5264.865145</v>
      </c>
      <c r="AI43" s="26">
        <f t="shared" si="9"/>
        <v>5264.865145</v>
      </c>
      <c r="AJ43" s="26">
        <f t="shared" si="9"/>
        <v>5264.865145</v>
      </c>
      <c r="AK43" s="26">
        <f t="shared" si="9"/>
        <v>5264.865145</v>
      </c>
      <c r="AL43" s="26">
        <f t="shared" si="9"/>
        <v>5264.865145</v>
      </c>
      <c r="AM43" s="26">
        <f t="shared" si="9"/>
        <v>5264.865145</v>
      </c>
      <c r="AN43" s="26">
        <f>IF(AN41&lt;0,0,AN41*Panel!$B$27)</f>
        <v>63178.38174</v>
      </c>
      <c r="AO43" s="26">
        <f>IF(AO41&lt;0,0,AO41*Panel!$B$27)</f>
        <v>62794.95086</v>
      </c>
      <c r="AP43" s="26">
        <f>IF(AP41&lt;0,0,AP41*Panel!$B$27)</f>
        <v>61283.35395</v>
      </c>
      <c r="AQ43" s="26">
        <f>IF(AQ41&lt;0,0,AQ41*Panel!$B$27)</f>
        <v>81982.87093</v>
      </c>
      <c r="AR43" s="26">
        <f>IF(AR41&lt;0,0,AR41*Panel!$B$27)</f>
        <v>110267.8125</v>
      </c>
      <c r="AS43" s="26">
        <f>IF(AS41&lt;0,0,AS41*Panel!$B$27)</f>
        <v>150908.5311</v>
      </c>
      <c r="AT43" s="26">
        <f>IF(AT41&lt;0,0,AT41*Panel!$B$27)</f>
        <v>169433.613</v>
      </c>
      <c r="AU43" s="26">
        <f>IF(AU41&lt;0,0,AU41*Panel!$B$27)</f>
        <v>189729.1453</v>
      </c>
      <c r="AV43" s="26">
        <f>IF(AV41&lt;0,0,AV41*Panel!$B$27)</f>
        <v>211964.9785</v>
      </c>
      <c r="AW43" s="26">
        <f>IF(AW41&lt;0,0,AW41*Panel!$B$27)</f>
        <v>236327.1436</v>
      </c>
      <c r="AX43" s="26">
        <f>IF(AX41&lt;0,0,AX41*Panel!$B$27)</f>
        <v>263019.3798</v>
      </c>
      <c r="AY43" s="26">
        <f>IF(AY41&lt;0,0,AY41*Panel!$B$27)</f>
        <v>292264.8047</v>
      </c>
      <c r="AZ43" s="26">
        <f>IF(AZ41&lt;0,0,AZ41*Panel!$B$27)</f>
        <v>324279.7844</v>
      </c>
      <c r="BA43" s="26">
        <f>IF(BA41&lt;0,0,BA41*Panel!$B$27)</f>
        <v>359233.6949</v>
      </c>
      <c r="BB43" s="26">
        <f>IF(BB41&lt;0,0,BB41*Panel!$B$27)</f>
        <v>397526.1375</v>
      </c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</row>
    <row r="44" ht="12.75" customHeight="1">
      <c r="A44" s="297" t="s">
        <v>322</v>
      </c>
      <c r="B44" s="297">
        <f t="shared" ref="B44:BB44" si="10">B41-B43</f>
        <v>5396.11779</v>
      </c>
      <c r="C44" s="297">
        <f t="shared" si="10"/>
        <v>1068.505431</v>
      </c>
      <c r="D44" s="297">
        <f t="shared" si="10"/>
        <v>14795.79106</v>
      </c>
      <c r="E44" s="297">
        <f t="shared" si="10"/>
        <v>-694.4587853</v>
      </c>
      <c r="F44" s="297">
        <f t="shared" si="10"/>
        <v>27647.8993</v>
      </c>
      <c r="G44" s="297">
        <f t="shared" si="10"/>
        <v>33979.85488</v>
      </c>
      <c r="H44" s="297">
        <f t="shared" si="10"/>
        <v>29329.31469</v>
      </c>
      <c r="I44" s="297">
        <f t="shared" si="10"/>
        <v>29329.31469</v>
      </c>
      <c r="J44" s="297">
        <f t="shared" si="10"/>
        <v>16997.0651</v>
      </c>
      <c r="K44" s="297">
        <f t="shared" si="10"/>
        <v>6412.063755</v>
      </c>
      <c r="L44" s="297">
        <f t="shared" si="10"/>
        <v>-3939.609588</v>
      </c>
      <c r="M44" s="297">
        <f t="shared" si="10"/>
        <v>-12460.72282</v>
      </c>
      <c r="N44" s="297">
        <f t="shared" si="10"/>
        <v>147861.1355</v>
      </c>
      <c r="O44" s="297">
        <f t="shared" si="10"/>
        <v>6825.335019</v>
      </c>
      <c r="P44" s="297">
        <f t="shared" si="10"/>
        <v>2068.14962</v>
      </c>
      <c r="Q44" s="297">
        <f t="shared" si="10"/>
        <v>17155.36338</v>
      </c>
      <c r="R44" s="297">
        <f t="shared" si="10"/>
        <v>130.5329131</v>
      </c>
      <c r="S44" s="297">
        <f t="shared" si="10"/>
        <v>31280.6981</v>
      </c>
      <c r="T44" s="297">
        <f t="shared" si="10"/>
        <v>38239.94481</v>
      </c>
      <c r="U44" s="297">
        <f t="shared" si="10"/>
        <v>37231.08437</v>
      </c>
      <c r="V44" s="297">
        <f t="shared" si="10"/>
        <v>37231.08437</v>
      </c>
      <c r="W44" s="297">
        <f t="shared" si="10"/>
        <v>23677.10941</v>
      </c>
      <c r="X44" s="297">
        <f t="shared" si="10"/>
        <v>12043.47824</v>
      </c>
      <c r="Y44" s="297">
        <f t="shared" si="10"/>
        <v>666.2903016</v>
      </c>
      <c r="Z44" s="297">
        <f t="shared" si="10"/>
        <v>-8698.988477</v>
      </c>
      <c r="AA44" s="297">
        <f t="shared" si="10"/>
        <v>197850.0821</v>
      </c>
      <c r="AB44" s="297">
        <f t="shared" si="10"/>
        <v>8371.063286</v>
      </c>
      <c r="AC44" s="297">
        <f t="shared" si="10"/>
        <v>3141.821232</v>
      </c>
      <c r="AD44" s="297">
        <f t="shared" si="10"/>
        <v>19723.13544</v>
      </c>
      <c r="AE44" s="297">
        <f t="shared" si="10"/>
        <v>1012.320587</v>
      </c>
      <c r="AF44" s="297">
        <f t="shared" si="10"/>
        <v>35247.31486</v>
      </c>
      <c r="AG44" s="297">
        <f t="shared" si="10"/>
        <v>42895.74207</v>
      </c>
      <c r="AH44" s="297">
        <f t="shared" si="10"/>
        <v>45927.45547</v>
      </c>
      <c r="AI44" s="297">
        <f t="shared" si="10"/>
        <v>45927.45547</v>
      </c>
      <c r="AJ44" s="297">
        <f t="shared" si="10"/>
        <v>31031.21808</v>
      </c>
      <c r="AK44" s="297">
        <f t="shared" si="10"/>
        <v>18245.49788</v>
      </c>
      <c r="AL44" s="297">
        <f t="shared" si="10"/>
        <v>5741.616712</v>
      </c>
      <c r="AM44" s="297">
        <f t="shared" si="10"/>
        <v>-4551.114108</v>
      </c>
      <c r="AN44" s="297">
        <f t="shared" si="10"/>
        <v>252713.527</v>
      </c>
      <c r="AO44" s="297">
        <f t="shared" si="10"/>
        <v>251179.8034</v>
      </c>
      <c r="AP44" s="297">
        <f t="shared" si="10"/>
        <v>245133.4158</v>
      </c>
      <c r="AQ44" s="297">
        <f t="shared" si="10"/>
        <v>327931.4837</v>
      </c>
      <c r="AR44" s="297">
        <f t="shared" si="10"/>
        <v>441071.2501</v>
      </c>
      <c r="AS44" s="297">
        <f t="shared" si="10"/>
        <v>603634.1243</v>
      </c>
      <c r="AT44" s="297">
        <f t="shared" si="10"/>
        <v>677734.452</v>
      </c>
      <c r="AU44" s="297">
        <f t="shared" si="10"/>
        <v>758916.5813</v>
      </c>
      <c r="AV44" s="297">
        <f t="shared" si="10"/>
        <v>847859.9141</v>
      </c>
      <c r="AW44" s="297">
        <f t="shared" si="10"/>
        <v>945308.5744</v>
      </c>
      <c r="AX44" s="297">
        <f t="shared" si="10"/>
        <v>1052077.519</v>
      </c>
      <c r="AY44" s="297">
        <f t="shared" si="10"/>
        <v>1169059.219</v>
      </c>
      <c r="AZ44" s="297">
        <f t="shared" si="10"/>
        <v>1297119.138</v>
      </c>
      <c r="BA44" s="297">
        <f t="shared" si="10"/>
        <v>1436934.78</v>
      </c>
      <c r="BB44" s="297">
        <f t="shared" si="10"/>
        <v>1590104.55</v>
      </c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</row>
    <row r="45" ht="12.75" customHeight="1">
      <c r="A45" s="301" t="s">
        <v>323</v>
      </c>
      <c r="B45" s="299">
        <f t="shared" ref="B45:BB45" si="11">IF(B8=0,0,B44/B8)</f>
        <v>0.1860133785</v>
      </c>
      <c r="C45" s="299">
        <f t="shared" si="11"/>
        <v>0.04339373927</v>
      </c>
      <c r="D45" s="299">
        <f t="shared" si="11"/>
        <v>0.3824296224</v>
      </c>
      <c r="E45" s="299">
        <f t="shared" si="11"/>
        <v>-0.03043589004</v>
      </c>
      <c r="F45" s="299">
        <f t="shared" si="11"/>
        <v>0.5331501596</v>
      </c>
      <c r="G45" s="299">
        <f t="shared" si="11"/>
        <v>0.5823897939</v>
      </c>
      <c r="H45" s="299">
        <f t="shared" si="11"/>
        <v>0.403371916</v>
      </c>
      <c r="I45" s="299">
        <f t="shared" si="11"/>
        <v>0.403371916</v>
      </c>
      <c r="J45" s="299">
        <f t="shared" si="11"/>
        <v>0.2829339499</v>
      </c>
      <c r="K45" s="299">
        <f t="shared" si="11"/>
        <v>0.1302508423</v>
      </c>
      <c r="L45" s="299">
        <f t="shared" si="11"/>
        <v>-0.1020045249</v>
      </c>
      <c r="M45" s="299">
        <f t="shared" si="11"/>
        <v>-0.4168735306</v>
      </c>
      <c r="N45" s="299">
        <f t="shared" si="11"/>
        <v>0.2695351001</v>
      </c>
      <c r="O45" s="299">
        <f t="shared" si="11"/>
        <v>0.214086381</v>
      </c>
      <c r="P45" s="299">
        <f t="shared" si="11"/>
        <v>0.07642485152</v>
      </c>
      <c r="Q45" s="299">
        <f t="shared" si="11"/>
        <v>0.4034740096</v>
      </c>
      <c r="R45" s="299">
        <f t="shared" si="11"/>
        <v>0.005205493013</v>
      </c>
      <c r="S45" s="299">
        <f t="shared" si="11"/>
        <v>0.5488657726</v>
      </c>
      <c r="T45" s="299">
        <f t="shared" si="11"/>
        <v>0.5963645235</v>
      </c>
      <c r="U45" s="299">
        <f t="shared" si="11"/>
        <v>0.4659204103</v>
      </c>
      <c r="V45" s="299">
        <f t="shared" si="11"/>
        <v>0.4659204103</v>
      </c>
      <c r="W45" s="299">
        <f t="shared" si="11"/>
        <v>0.3586262817</v>
      </c>
      <c r="X45" s="299">
        <f t="shared" si="11"/>
        <v>0.2226060424</v>
      </c>
      <c r="Y45" s="299">
        <f t="shared" si="11"/>
        <v>0.01569755637</v>
      </c>
      <c r="Z45" s="299">
        <f t="shared" si="11"/>
        <v>-0.2648086383</v>
      </c>
      <c r="AA45" s="299">
        <f t="shared" si="11"/>
        <v>0.3281707233</v>
      </c>
      <c r="AB45" s="299">
        <f t="shared" si="11"/>
        <v>0.2389175211</v>
      </c>
      <c r="AC45" s="299">
        <f t="shared" si="11"/>
        <v>0.1056419543</v>
      </c>
      <c r="AD45" s="299">
        <f t="shared" si="11"/>
        <v>0.4220791577</v>
      </c>
      <c r="AE45" s="299">
        <f t="shared" si="11"/>
        <v>0.03673349187</v>
      </c>
      <c r="AF45" s="299">
        <f t="shared" si="11"/>
        <v>0.5627533095</v>
      </c>
      <c r="AG45" s="299">
        <f t="shared" si="11"/>
        <v>0.6087108407</v>
      </c>
      <c r="AH45" s="299">
        <f t="shared" si="11"/>
        <v>0.5229747761</v>
      </c>
      <c r="AI45" s="299">
        <f t="shared" si="11"/>
        <v>0.5229747761</v>
      </c>
      <c r="AJ45" s="299">
        <f t="shared" si="11"/>
        <v>0.4276756888</v>
      </c>
      <c r="AK45" s="299">
        <f t="shared" si="11"/>
        <v>0.3068619516</v>
      </c>
      <c r="AL45" s="299">
        <f t="shared" si="11"/>
        <v>0.1230849814</v>
      </c>
      <c r="AM45" s="299">
        <f t="shared" si="11"/>
        <v>-0.126061777</v>
      </c>
      <c r="AN45" s="299">
        <f t="shared" si="11"/>
        <v>0.3814120381</v>
      </c>
      <c r="AO45" s="299">
        <f t="shared" si="11"/>
        <v>0.3449474437</v>
      </c>
      <c r="AP45" s="299">
        <f t="shared" si="11"/>
        <v>0.3063183677</v>
      </c>
      <c r="AQ45" s="299">
        <f t="shared" si="11"/>
        <v>0.3728687131</v>
      </c>
      <c r="AR45" s="299">
        <f t="shared" si="11"/>
        <v>0.4563351139</v>
      </c>
      <c r="AS45" s="299">
        <f t="shared" si="11"/>
        <v>0.5682654185</v>
      </c>
      <c r="AT45" s="299">
        <f t="shared" si="11"/>
        <v>0.5805495806</v>
      </c>
      <c r="AU45" s="299">
        <f t="shared" si="11"/>
        <v>0.5915290828</v>
      </c>
      <c r="AV45" s="299">
        <f t="shared" si="11"/>
        <v>0.6013239069</v>
      </c>
      <c r="AW45" s="299">
        <f t="shared" si="11"/>
        <v>0.6100427532</v>
      </c>
      <c r="AX45" s="299">
        <f t="shared" si="11"/>
        <v>0.6177840957</v>
      </c>
      <c r="AY45" s="299">
        <f t="shared" si="11"/>
        <v>0.6246371375</v>
      </c>
      <c r="AZ45" s="299">
        <f t="shared" si="11"/>
        <v>0.6306283127</v>
      </c>
      <c r="BA45" s="299">
        <f t="shared" si="11"/>
        <v>0.6356718245</v>
      </c>
      <c r="BB45" s="299">
        <f t="shared" si="11"/>
        <v>0.6400647254</v>
      </c>
      <c r="BC45" s="300"/>
      <c r="BD45" s="300"/>
      <c r="BE45" s="300"/>
      <c r="BF45" s="300"/>
      <c r="BG45" s="300"/>
      <c r="BH45" s="300"/>
      <c r="BI45" s="300"/>
      <c r="BJ45" s="300"/>
      <c r="BK45" s="300"/>
      <c r="BL45" s="300"/>
      <c r="BM45" s="300"/>
      <c r="BN45" s="300"/>
      <c r="BO45" s="300"/>
      <c r="BP45" s="300"/>
      <c r="BQ45" s="300"/>
      <c r="BR45" s="300"/>
      <c r="BS45" s="300"/>
      <c r="BT45" s="300"/>
      <c r="BU45" s="300"/>
      <c r="BV45" s="300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44">
        <f>(N37-'Произв.затраты'!O8)/'ОДДС'!AG23</f>
        <v>2.649941554</v>
      </c>
      <c r="O47" s="244" t="str">
        <f>(O37-'Произв.затраты'!P8)/'ОДДС'!AH23</f>
        <v>#DIV/0!</v>
      </c>
      <c r="P47" s="244" t="str">
        <f>(P37-'Произв.затраты'!Q8)/'ОДДС'!AI23</f>
        <v>#DIV/0!</v>
      </c>
      <c r="Q47" s="244" t="str">
        <f>(Q37-'Произв.затраты'!R8)/'ОДДС'!AJ23</f>
        <v>#DIV/0!</v>
      </c>
      <c r="R47" s="244" t="str">
        <f>(R37-'Произв.затраты'!S8)/'ОДДС'!AK23</f>
        <v>#DIV/0!</v>
      </c>
      <c r="S47" s="244" t="str">
        <f>(S37-'Произв.затраты'!T8)/'ОДДС'!AL23</f>
        <v>#DIV/0!</v>
      </c>
      <c r="T47" s="244" t="str">
        <f>(T37-'Произв.затраты'!U8)/'ОДДС'!AM23</f>
        <v>#DIV/0!</v>
      </c>
      <c r="U47" s="244">
        <f>(U37-'Произв.затраты'!V8)/'ОДДС'!AN23</f>
        <v>3.518881856</v>
      </c>
      <c r="V47" s="244">
        <f>(V37-'Произв.затраты'!W8)/'ОДДС'!AO23</f>
        <v>3.518881856</v>
      </c>
      <c r="W47" s="244">
        <f>(W37-'Произв.затраты'!X8)/'ОДДС'!AP23</f>
        <v>2.693285315</v>
      </c>
      <c r="X47" s="244">
        <f>(X37-'Произв.затраты'!Y8)/'ОДДС'!AQ23</f>
        <v>1.984660305</v>
      </c>
      <c r="Y47" s="244">
        <f>(Y37-'Произв.затраты'!Z8)/'ОДДС'!AR23</f>
        <v>1.291655705</v>
      </c>
      <c r="Z47" s="244">
        <f>(Z37-'Произв.затраты'!AA8)/'ОДДС'!AS23</f>
        <v>0.7212000428</v>
      </c>
      <c r="AA47" s="244">
        <f>(AA37-'Произв.затраты'!AB8)/'ОДДС'!AT23</f>
        <v>3.510707863</v>
      </c>
      <c r="AB47" s="244" t="str">
        <f>(AB37-'Произв.затраты'!AC8)/'ОДДС'!AU23</f>
        <v>#DIV/0!</v>
      </c>
      <c r="AC47" s="244" t="str">
        <f>(AC37-'Произв.затраты'!AD8)/'ОДДС'!AV23</f>
        <v>#DIV/0!</v>
      </c>
      <c r="AD47" s="244" t="str">
        <f>(AD37-'Произв.затраты'!AE8)/'ОДДС'!AW23</f>
        <v>#DIV/0!</v>
      </c>
      <c r="AE47" s="244" t="str">
        <f>(AE37-'Произв.затраты'!AF8)/'ОДДС'!AX23</f>
        <v>#DIV/0!</v>
      </c>
      <c r="AF47" s="244" t="str">
        <f>(AF37-'Произв.затраты'!AG8)/'ОДДС'!AY23</f>
        <v>#DIV/0!</v>
      </c>
      <c r="AG47" s="244" t="str">
        <f>(AG37-'Произв.затраты'!AH8)/'ОДДС'!AZ23</f>
        <v>#DIV/0!</v>
      </c>
      <c r="AH47" s="244">
        <f>(AH37-'Произв.затраты'!AI8)/'ОДДС'!BA23</f>
        <v>4.682234095</v>
      </c>
      <c r="AI47" s="244">
        <f>(AI37-'Произв.затраты'!AJ8)/'ОДДС'!BB23</f>
        <v>4.682234095</v>
      </c>
      <c r="AJ47" s="244">
        <f>(AJ37-'Произв.затраты'!AK8)/'ОДДС'!BC23</f>
        <v>3.610756332</v>
      </c>
      <c r="AK47" s="244">
        <f>(AK37-'Произв.затраты'!AL8)/'ОДДС'!BD23</f>
        <v>2.691086852</v>
      </c>
      <c r="AL47" s="244">
        <f>(AL37-'Произв.затраты'!AM8)/'ОДДС'!BE23</f>
        <v>1.791689892</v>
      </c>
      <c r="AM47" s="244">
        <f>(AM37-'Произв.затраты'!AN8)/'ОДДС'!BF23</f>
        <v>1.0513397</v>
      </c>
      <c r="AN47" s="244">
        <f>(AN37-'Произв.затраты'!AO8)/'ОДДС'!BG23</f>
        <v>4.786987132</v>
      </c>
      <c r="AO47" s="244">
        <f>(AO37-'Произв.затраты'!AP8)/'ОДДС'!BH23</f>
        <v>3.179464781</v>
      </c>
      <c r="AP47" s="244">
        <f>(AP37-'Произв.затраты'!AQ8)/'ОДДС'!BI23</f>
        <v>2.418979624</v>
      </c>
      <c r="AQ47" s="244">
        <f>(AQ37-'Произв.затраты'!AR8)/'ОДДС'!BJ23</f>
        <v>3.241188603</v>
      </c>
      <c r="AR47" s="244">
        <f>(AR37-'Произв.затраты'!AS8)/'ОДДС'!BK23</f>
        <v>5.646568589</v>
      </c>
      <c r="AS47" s="244"/>
      <c r="AT47" s="244"/>
      <c r="AU47" s="244"/>
      <c r="AV47" s="244"/>
      <c r="AW47" s="244"/>
      <c r="AX47" s="244"/>
      <c r="AY47" s="244"/>
      <c r="AZ47" s="244"/>
      <c r="BA47" s="244"/>
      <c r="BB47" s="244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</row>
    <row r="49" ht="12.75" customHeight="1">
      <c r="A49" s="2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44">
        <f>('Инвестиции'!F15-SUM('Займ'!F26:F37))/N37</f>
        <v>4.700002034</v>
      </c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44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</row>
    <row r="51" ht="12.75" customHeight="1">
      <c r="A51" s="2"/>
      <c r="B51" s="2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</row>
    <row r="52" ht="12.75" customHeight="1">
      <c r="A52" s="2"/>
      <c r="B52" s="26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6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</row>
    <row r="53" ht="12.75" customHeight="1">
      <c r="A53" s="2"/>
      <c r="B53" s="26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6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</row>
    <row r="54" ht="12.75" customHeight="1">
      <c r="A54" s="2"/>
      <c r="B54" s="26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</row>
    <row r="55" ht="12.75" customHeight="1">
      <c r="A55" s="2"/>
      <c r="B55" s="26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</row>
    <row r="56" ht="12.75" customHeight="1">
      <c r="A56" s="2"/>
      <c r="B56" s="26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</row>
    <row r="57" ht="12.75" customHeight="1">
      <c r="A57" s="2"/>
      <c r="B57" s="26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</row>
    <row r="58" ht="12.75" customHeight="1">
      <c r="A58" s="2"/>
      <c r="B58" s="2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</row>
    <row r="59" ht="12.75" customHeight="1">
      <c r="A59" s="2"/>
      <c r="B59" s="2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</row>
    <row r="60" ht="12.75" customHeight="1">
      <c r="A60" s="2"/>
      <c r="B60" s="2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</row>
    <row r="61" ht="12.75" customHeight="1">
      <c r="A61" s="2"/>
      <c r="B61" s="26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</row>
    <row r="62" ht="12.75" customHeight="1">
      <c r="A62" s="2"/>
      <c r="B62" s="2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</row>
    <row r="63" ht="12.75" customHeight="1">
      <c r="A63" s="2"/>
      <c r="B63" s="2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</row>
    <row r="64" ht="12.75" customHeight="1">
      <c r="A64" s="2"/>
      <c r="B64" s="2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</row>
    <row r="65" ht="12.75" customHeight="1">
      <c r="A65" s="2"/>
      <c r="B65" s="26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</row>
    <row r="66" ht="12.75" customHeight="1">
      <c r="A66" s="2"/>
      <c r="B66" s="26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</row>
    <row r="67" ht="12.75" customHeight="1">
      <c r="A67" s="2"/>
      <c r="B67" s="2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</row>
    <row r="68" ht="12.75" customHeight="1">
      <c r="A68" s="2"/>
      <c r="B68" s="2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</row>
    <row r="69" ht="12.75" customHeight="1">
      <c r="A69" s="2"/>
      <c r="B69" s="26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</row>
    <row r="70" ht="12.75" customHeight="1">
      <c r="A70" s="2"/>
      <c r="B70" s="2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</row>
    <row r="71" ht="12.75" customHeight="1">
      <c r="A71" s="2"/>
      <c r="B71" s="26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</row>
    <row r="72" ht="12.75" customHeight="1">
      <c r="A72" s="2"/>
      <c r="B72" s="26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</row>
    <row r="73" ht="12.75" customHeight="1">
      <c r="A73" s="2"/>
      <c r="B73" s="26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</row>
    <row r="74" ht="12.75" customHeight="1">
      <c r="A74" s="2"/>
      <c r="B74" s="2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</row>
    <row r="75" ht="12.75" customHeight="1">
      <c r="A75" s="2"/>
      <c r="B75" s="2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</row>
    <row r="76" ht="12.75" customHeight="1">
      <c r="A76" s="2"/>
      <c r="B76" s="2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</row>
    <row r="77" ht="12.75" customHeight="1">
      <c r="A77" s="2"/>
      <c r="B77" s="2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</row>
    <row r="78" ht="12.75" customHeight="1">
      <c r="A78" s="2"/>
      <c r="B78" s="2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</row>
    <row r="79" ht="12.75" customHeight="1">
      <c r="A79" s="2"/>
      <c r="B79" s="2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</row>
    <row r="80" ht="12.75" customHeight="1">
      <c r="A80" s="2"/>
      <c r="B80" s="2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</row>
    <row r="81" ht="12.75" customHeight="1">
      <c r="A81" s="2"/>
      <c r="B81" s="2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</row>
    <row r="82" ht="12.75" customHeight="1">
      <c r="A82" s="2"/>
      <c r="B82" s="2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</row>
    <row r="83" ht="12.75" customHeight="1">
      <c r="A83" s="2"/>
      <c r="B83" s="2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</row>
    <row r="84" ht="12.75" customHeight="1">
      <c r="A84" s="2"/>
      <c r="B84" s="2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</row>
    <row r="85" ht="12.75" customHeight="1">
      <c r="A85" s="2"/>
      <c r="B85" s="2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</row>
    <row r="86" ht="12.75" customHeight="1">
      <c r="A86" s="2"/>
      <c r="B86" s="2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</row>
    <row r="87" ht="12.75" customHeight="1">
      <c r="A87" s="2"/>
      <c r="B87" s="26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</row>
    <row r="88" ht="12.75" customHeight="1">
      <c r="A88" s="2"/>
      <c r="B88" s="2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</row>
    <row r="89" ht="12.75" customHeight="1">
      <c r="A89" s="2"/>
      <c r="B89" s="2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</row>
    <row r="90" ht="12.75" customHeight="1">
      <c r="A90" s="2"/>
      <c r="B90" s="26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</row>
    <row r="91" ht="12.75" customHeight="1">
      <c r="A91" s="2"/>
      <c r="B91" s="2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</row>
    <row r="92" ht="12.75" customHeight="1">
      <c r="A92" s="2"/>
      <c r="B92" s="26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</row>
    <row r="93" ht="12.75" customHeight="1">
      <c r="A93" s="2"/>
      <c r="B93" s="26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</row>
    <row r="94" ht="12.75" customHeight="1">
      <c r="A94" s="2"/>
      <c r="B94" s="2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</row>
    <row r="95" ht="12.75" customHeight="1">
      <c r="A95" s="2"/>
      <c r="B95" s="2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</row>
    <row r="96" ht="12.75" customHeight="1">
      <c r="A96" s="2"/>
      <c r="B96" s="2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</row>
    <row r="97" ht="12.75" customHeight="1">
      <c r="A97" s="2"/>
      <c r="B97" s="2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</row>
    <row r="98" ht="12.75" customHeight="1">
      <c r="A98" s="2"/>
      <c r="B98" s="2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</row>
    <row r="99" ht="12.75" customHeight="1">
      <c r="A99" s="2"/>
      <c r="B99" s="26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</row>
    <row r="100" ht="12.75" customHeight="1">
      <c r="A100" s="2"/>
      <c r="B100" s="2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</row>
    <row r="101" ht="12.75" customHeight="1">
      <c r="A101" s="2"/>
      <c r="B101" s="2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</row>
    <row r="102" ht="12.75" customHeight="1">
      <c r="A102" s="2"/>
      <c r="B102" s="2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</row>
    <row r="103" ht="12.75" customHeight="1">
      <c r="A103" s="2"/>
      <c r="B103" s="26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</row>
    <row r="104" ht="12.75" customHeight="1">
      <c r="A104" s="2"/>
      <c r="B104" s="26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</row>
    <row r="105" ht="12.75" customHeight="1">
      <c r="A105" s="2"/>
      <c r="B105" s="26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</row>
    <row r="106" ht="12.75" customHeight="1">
      <c r="A106" s="2"/>
      <c r="B106" s="2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</row>
    <row r="107" ht="12.75" customHeight="1">
      <c r="A107" s="2"/>
      <c r="B107" s="26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</row>
    <row r="108" ht="12.75" customHeight="1">
      <c r="A108" s="2"/>
      <c r="B108" s="26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</row>
    <row r="109" ht="12.75" customHeight="1">
      <c r="A109" s="2"/>
      <c r="B109" s="26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</row>
    <row r="110" ht="12.75" customHeight="1">
      <c r="A110" s="2"/>
      <c r="B110" s="26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</row>
    <row r="111" ht="12.75" customHeight="1">
      <c r="A111" s="2"/>
      <c r="B111" s="26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</row>
    <row r="112" ht="12.75" customHeight="1">
      <c r="A112" s="2"/>
      <c r="B112" s="2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</row>
    <row r="113" ht="12.75" customHeight="1">
      <c r="A113" s="2"/>
      <c r="B113" s="26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</row>
    <row r="114" ht="12.75" customHeight="1">
      <c r="A114" s="2"/>
      <c r="B114" s="26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</row>
    <row r="115" ht="12.75" customHeight="1">
      <c r="A115" s="2"/>
      <c r="B115" s="26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</row>
    <row r="116" ht="12.75" customHeight="1">
      <c r="A116" s="2"/>
      <c r="B116" s="26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</row>
    <row r="117" ht="12.75" customHeight="1">
      <c r="A117" s="2"/>
      <c r="B117" s="26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</row>
    <row r="118" ht="12.75" customHeight="1">
      <c r="A118" s="2"/>
      <c r="B118" s="2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</row>
    <row r="119" ht="12.75" customHeight="1">
      <c r="A119" s="2"/>
      <c r="B119" s="26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</row>
    <row r="120" ht="12.75" customHeight="1">
      <c r="A120" s="2"/>
      <c r="B120" s="26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</row>
    <row r="121" ht="12.75" customHeight="1">
      <c r="A121" s="2"/>
      <c r="B121" s="26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</row>
    <row r="122" ht="12.75" customHeight="1">
      <c r="A122" s="2"/>
      <c r="B122" s="26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</row>
    <row r="123" ht="12.75" customHeight="1">
      <c r="A123" s="2"/>
      <c r="B123" s="26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</row>
    <row r="124" ht="12.75" customHeight="1">
      <c r="A124" s="2"/>
      <c r="B124" s="2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</row>
    <row r="125" ht="12.75" customHeight="1">
      <c r="A125" s="2"/>
      <c r="B125" s="26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</row>
    <row r="126" ht="12.75" customHeight="1">
      <c r="A126" s="2"/>
      <c r="B126" s="26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</row>
    <row r="127" ht="12.75" customHeight="1">
      <c r="A127" s="2"/>
      <c r="B127" s="26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</row>
    <row r="128" ht="12.75" customHeight="1">
      <c r="A128" s="2"/>
      <c r="B128" s="26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</row>
    <row r="129" ht="12.75" customHeight="1">
      <c r="A129" s="2"/>
      <c r="B129" s="26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</row>
    <row r="130" ht="12.75" customHeight="1">
      <c r="A130" s="2"/>
      <c r="B130" s="2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</row>
    <row r="131" ht="12.75" customHeight="1">
      <c r="A131" s="2"/>
      <c r="B131" s="26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</row>
    <row r="132" ht="12.75" customHeight="1">
      <c r="A132" s="2"/>
      <c r="B132" s="26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</row>
    <row r="133" ht="12.75" customHeight="1">
      <c r="A133" s="2"/>
      <c r="B133" s="26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</row>
    <row r="134" ht="12.75" customHeight="1">
      <c r="A134" s="2"/>
      <c r="B134" s="26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</row>
    <row r="135" ht="12.75" customHeight="1">
      <c r="A135" s="2"/>
      <c r="B135" s="26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</row>
    <row r="136" ht="12.75" customHeight="1">
      <c r="A136" s="2"/>
      <c r="B136" s="2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</row>
    <row r="137" ht="12.75" customHeight="1">
      <c r="A137" s="2"/>
      <c r="B137" s="2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</row>
    <row r="138" ht="12.75" customHeight="1">
      <c r="A138" s="2"/>
      <c r="B138" s="26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</row>
    <row r="139" ht="12.75" customHeight="1">
      <c r="A139" s="2"/>
      <c r="B139" s="26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</row>
    <row r="140" ht="12.75" customHeight="1">
      <c r="A140" s="2"/>
      <c r="B140" s="26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</row>
    <row r="141" ht="12.75" customHeight="1">
      <c r="A141" s="2"/>
      <c r="B141" s="26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</row>
    <row r="142" ht="12.75" customHeight="1">
      <c r="A142" s="2"/>
      <c r="B142" s="2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</row>
    <row r="143" ht="12.75" customHeight="1">
      <c r="A143" s="2"/>
      <c r="B143" s="2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</row>
    <row r="144" ht="12.75" customHeight="1">
      <c r="A144" s="2"/>
      <c r="B144" s="26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</row>
    <row r="145" ht="12.75" customHeight="1">
      <c r="A145" s="2"/>
      <c r="B145" s="26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</row>
    <row r="146" ht="12.75" customHeight="1">
      <c r="A146" s="2"/>
      <c r="B146" s="26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</row>
    <row r="147" ht="12.75" customHeight="1">
      <c r="A147" s="2"/>
      <c r="B147" s="26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</row>
    <row r="148" ht="12.75" customHeight="1">
      <c r="A148" s="2"/>
      <c r="B148" s="2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</row>
    <row r="149" ht="12.75" customHeight="1">
      <c r="A149" s="2"/>
      <c r="B149" s="26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</row>
    <row r="150" ht="12.75" customHeight="1">
      <c r="A150" s="2"/>
      <c r="B150" s="26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</row>
    <row r="151" ht="12.75" customHeight="1">
      <c r="A151" s="2"/>
      <c r="B151" s="26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</row>
    <row r="152" ht="12.75" customHeight="1">
      <c r="A152" s="2"/>
      <c r="B152" s="26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</row>
    <row r="153" ht="12.75" customHeight="1">
      <c r="A153" s="2"/>
      <c r="B153" s="26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</row>
    <row r="154" ht="12.75" customHeight="1">
      <c r="A154" s="2"/>
      <c r="B154" s="2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</row>
    <row r="155" ht="12.75" customHeight="1">
      <c r="A155" s="2"/>
      <c r="B155" s="26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</row>
    <row r="156" ht="12.75" customHeight="1">
      <c r="A156" s="2"/>
      <c r="B156" s="26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</row>
    <row r="157" ht="12.75" customHeight="1">
      <c r="A157" s="2"/>
      <c r="B157" s="26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</row>
    <row r="158" ht="12.75" customHeight="1">
      <c r="A158" s="2"/>
      <c r="B158" s="2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</row>
    <row r="159" ht="12.75" customHeight="1">
      <c r="A159" s="2"/>
      <c r="B159" s="26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</row>
    <row r="160" ht="12.75" customHeight="1">
      <c r="A160" s="2"/>
      <c r="B160" s="2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</row>
    <row r="161" ht="12.75" customHeight="1">
      <c r="A161" s="2"/>
      <c r="B161" s="26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</row>
    <row r="162" ht="12.75" customHeight="1">
      <c r="A162" s="2"/>
      <c r="B162" s="26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</row>
    <row r="163" ht="12.75" customHeight="1">
      <c r="A163" s="2"/>
      <c r="B163" s="26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</row>
    <row r="164" ht="12.75" customHeight="1">
      <c r="A164" s="2"/>
      <c r="B164" s="26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</row>
    <row r="165" ht="12.75" customHeight="1">
      <c r="A165" s="2"/>
      <c r="B165" s="26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</row>
    <row r="166" ht="12.75" customHeight="1">
      <c r="A166" s="2"/>
      <c r="B166" s="2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</row>
    <row r="167" ht="12.75" customHeight="1">
      <c r="A167" s="2"/>
      <c r="B167" s="26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</row>
    <row r="168" ht="12.75" customHeight="1">
      <c r="A168" s="2"/>
      <c r="B168" s="26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</row>
    <row r="169" ht="12.75" customHeight="1">
      <c r="A169" s="2"/>
      <c r="B169" s="26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</row>
    <row r="170" ht="12.75" customHeight="1">
      <c r="A170" s="2"/>
      <c r="B170" s="26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</row>
    <row r="171" ht="12.75" customHeight="1">
      <c r="A171" s="2"/>
      <c r="B171" s="26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</row>
    <row r="172" ht="12.75" customHeight="1">
      <c r="A172" s="2"/>
      <c r="B172" s="2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</row>
    <row r="173" ht="12.75" customHeight="1">
      <c r="A173" s="2"/>
      <c r="B173" s="26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</row>
    <row r="174" ht="12.75" customHeight="1">
      <c r="A174" s="2"/>
      <c r="B174" s="26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</row>
    <row r="175" ht="12.75" customHeight="1">
      <c r="A175" s="2"/>
      <c r="B175" s="26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</row>
    <row r="176" ht="12.75" customHeight="1">
      <c r="A176" s="2"/>
      <c r="B176" s="26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</row>
    <row r="177" ht="12.75" customHeight="1">
      <c r="A177" s="2"/>
      <c r="B177" s="26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</row>
    <row r="178" ht="12.75" customHeight="1">
      <c r="A178" s="2"/>
      <c r="B178" s="2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</row>
    <row r="179" ht="12.75" customHeight="1">
      <c r="A179" s="2"/>
      <c r="B179" s="2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</row>
    <row r="180" ht="12.75" customHeight="1">
      <c r="A180" s="2"/>
      <c r="B180" s="26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</row>
    <row r="181" ht="12.75" customHeight="1">
      <c r="A181" s="2"/>
      <c r="B181" s="26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</row>
    <row r="182" ht="12.75" customHeight="1">
      <c r="A182" s="2"/>
      <c r="B182" s="26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</row>
    <row r="183" ht="12.75" customHeight="1">
      <c r="A183" s="2"/>
      <c r="B183" s="26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</row>
    <row r="184" ht="12.75" customHeight="1">
      <c r="A184" s="2"/>
      <c r="B184" s="2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</row>
    <row r="185" ht="12.75" customHeight="1">
      <c r="A185" s="2"/>
      <c r="B185" s="26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</row>
    <row r="186" ht="12.75" customHeight="1">
      <c r="A186" s="2"/>
      <c r="B186" s="2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</row>
    <row r="187" ht="12.75" customHeight="1">
      <c r="A187" s="2"/>
      <c r="B187" s="26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</row>
    <row r="188" ht="12.75" customHeight="1">
      <c r="A188" s="2"/>
      <c r="B188" s="26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</row>
    <row r="189" ht="12.75" customHeight="1">
      <c r="A189" s="2"/>
      <c r="B189" s="26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</row>
    <row r="190" ht="12.75" customHeight="1">
      <c r="A190" s="2"/>
      <c r="B190" s="2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</row>
    <row r="191" ht="12.75" customHeight="1">
      <c r="A191" s="2"/>
      <c r="B191" s="26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</row>
    <row r="192" ht="12.75" customHeight="1">
      <c r="A192" s="2"/>
      <c r="B192" s="26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</row>
    <row r="193" ht="12.75" customHeight="1">
      <c r="A193" s="2"/>
      <c r="B193" s="26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</row>
    <row r="194" ht="12.75" customHeight="1">
      <c r="A194" s="2"/>
      <c r="B194" s="26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</row>
    <row r="195" ht="12.75" customHeight="1">
      <c r="A195" s="2"/>
      <c r="B195" s="26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</row>
    <row r="196" ht="12.75" customHeight="1">
      <c r="A196" s="2"/>
      <c r="B196" s="2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</row>
    <row r="197" ht="12.75" customHeight="1">
      <c r="A197" s="2"/>
      <c r="B197" s="26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</row>
    <row r="198" ht="12.75" customHeight="1">
      <c r="A198" s="2"/>
      <c r="B198" s="26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</row>
    <row r="199" ht="12.75" customHeight="1">
      <c r="A199" s="2"/>
      <c r="B199" s="26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</row>
    <row r="200" ht="12.75" customHeight="1">
      <c r="A200" s="2"/>
      <c r="B200" s="26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</row>
    <row r="201" ht="12.75" customHeight="1">
      <c r="A201" s="2"/>
      <c r="B201" s="26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</row>
    <row r="202" ht="12.75" customHeight="1">
      <c r="A202" s="2"/>
      <c r="B202" s="26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</row>
    <row r="203" ht="12.75" customHeight="1">
      <c r="A203" s="2"/>
      <c r="B203" s="26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</row>
    <row r="204" ht="12.75" customHeight="1">
      <c r="A204" s="2"/>
      <c r="B204" s="26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</row>
    <row r="205" ht="12.75" customHeight="1">
      <c r="A205" s="2"/>
      <c r="B205" s="26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</row>
    <row r="206" ht="12.75" customHeight="1">
      <c r="A206" s="2"/>
      <c r="B206" s="26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</row>
    <row r="207" ht="12.75" customHeight="1">
      <c r="A207" s="2"/>
      <c r="B207" s="26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</row>
    <row r="208" ht="12.75" customHeight="1">
      <c r="A208" s="2"/>
      <c r="B208" s="26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</row>
    <row r="209" ht="12.75" customHeight="1">
      <c r="A209" s="2"/>
      <c r="B209" s="26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</row>
    <row r="210" ht="12.75" customHeight="1">
      <c r="A210" s="2"/>
      <c r="B210" s="26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</row>
  </sheetData>
  <printOptions/>
  <pageMargins bottom="0.52" footer="0.0" header="0.0" left="0.3937007874015748" right="0.3937007874015748" top="0.52"/>
  <pageSetup paperSize="9" scale="77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 outlineLevelCol="1" outlineLevelRow="2"/>
  <cols>
    <col customWidth="1" min="1" max="1" width="82.29"/>
    <col customWidth="1" min="2" max="5" width="10.57" outlineLevel="1"/>
    <col customWidth="1" min="6" max="6" width="12.0" outlineLevel="1"/>
    <col customWidth="1" min="7" max="7" width="12.14"/>
    <col customWidth="1" min="8" max="11" width="12.0" outlineLevel="1"/>
    <col customWidth="1" min="12" max="12" width="12.14" outlineLevel="1"/>
    <col customWidth="1" min="13" max="19" width="12.0" outlineLevel="1"/>
    <col customWidth="1" min="20" max="20" width="12.14"/>
    <col customWidth="1" min="21" max="32" width="12.0" outlineLevel="1"/>
    <col customWidth="1" min="33" max="33" width="11.43"/>
    <col customWidth="1" min="34" max="34" width="10.29" outlineLevel="1"/>
    <col customWidth="1" min="35" max="43" width="12.0" outlineLevel="1"/>
    <col customWidth="1" min="44" max="45" width="10.57" outlineLevel="1"/>
    <col customWidth="1" min="46" max="46" width="11.43"/>
    <col customWidth="1" min="47" max="48" width="10.29" outlineLevel="1"/>
    <col customWidth="1" min="49" max="58" width="11.43" outlineLevel="1"/>
    <col customWidth="1" min="59" max="59" width="11.43"/>
    <col customWidth="1" min="60" max="61" width="12.14"/>
    <col customWidth="1" min="62" max="65" width="11.43" outlineLevel="1"/>
    <col customWidth="1" min="66" max="66" width="12.43"/>
    <col customWidth="1" min="67" max="70" width="12.43" outlineLevel="1"/>
    <col customWidth="1" min="71" max="71" width="12.43"/>
    <col customWidth="1" min="72" max="72" width="12.43" outlineLevel="1"/>
    <col customWidth="1" min="73" max="73" width="12.43"/>
    <col customWidth="1" min="74" max="74" width="8.86"/>
    <col customWidth="1" min="75" max="75" width="12.43"/>
  </cols>
  <sheetData>
    <row r="1" ht="12.75" customHeight="1">
      <c r="A1" s="1" t="str">
        <f>Panel!A1</f>
        <v/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</row>
    <row r="2" ht="12.75" customHeight="1">
      <c r="A2" s="1" t="str">
        <f>Panel!A2</f>
        <v>Строительство ГЭС -5 МВТ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</row>
    <row r="3" ht="12.75" customHeight="1">
      <c r="A3" s="2"/>
      <c r="B3" s="2"/>
      <c r="C3" s="2"/>
      <c r="D3" s="2"/>
      <c r="E3" s="2"/>
      <c r="F3" s="2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1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>
        <f>60*300</f>
        <v>18000</v>
      </c>
      <c r="BQ3" s="2"/>
      <c r="BR3" s="2"/>
      <c r="BS3" s="2"/>
      <c r="BT3" s="2"/>
      <c r="BU3" s="2"/>
      <c r="BV3" s="2"/>
      <c r="BW3" s="2"/>
    </row>
    <row r="4" ht="12.75" customHeight="1">
      <c r="A4" s="1" t="s">
        <v>324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</row>
    <row r="5" ht="12.75" customHeight="1">
      <c r="A5" s="215"/>
      <c r="B5" s="292">
        <f>Panel!$B$26</f>
        <v>0.16</v>
      </c>
      <c r="C5" s="292">
        <f>Panel!$B$26</f>
        <v>0.16</v>
      </c>
      <c r="D5" s="292">
        <f>Panel!$B$26</f>
        <v>0.16</v>
      </c>
      <c r="E5" s="292">
        <f>Panel!$B$26</f>
        <v>0.16</v>
      </c>
      <c r="F5" s="292">
        <f>Panel!$B$26</f>
        <v>0.16</v>
      </c>
      <c r="G5" s="292">
        <f>Panel!$B$26</f>
        <v>0.16</v>
      </c>
      <c r="H5" s="292">
        <f>Panel!$B$26</f>
        <v>0.16</v>
      </c>
      <c r="I5" s="292">
        <f>Panel!$B$26</f>
        <v>0.16</v>
      </c>
      <c r="J5" s="292">
        <f>Panel!$B$26</f>
        <v>0.16</v>
      </c>
      <c r="K5" s="292">
        <f>Panel!$B$26</f>
        <v>0.16</v>
      </c>
      <c r="L5" s="292">
        <f>Panel!$B$26</f>
        <v>0.16</v>
      </c>
      <c r="M5" s="292">
        <f>Panel!$B$26</f>
        <v>0.16</v>
      </c>
      <c r="N5" s="292">
        <f>Panel!$B$26</f>
        <v>0.16</v>
      </c>
      <c r="O5" s="292">
        <f>Panel!$B$26</f>
        <v>0.16</v>
      </c>
      <c r="P5" s="292">
        <f>Panel!$B$26</f>
        <v>0.16</v>
      </c>
      <c r="Q5" s="292">
        <f>Panel!$B$26</f>
        <v>0.16</v>
      </c>
      <c r="R5" s="292">
        <f>Panel!$B$26</f>
        <v>0.16</v>
      </c>
      <c r="S5" s="292">
        <f>Panel!$B$26</f>
        <v>0.16</v>
      </c>
      <c r="T5" s="292">
        <f>Panel!$B$26</f>
        <v>0.16</v>
      </c>
      <c r="U5" s="292">
        <f>Panel!$B$26</f>
        <v>0.16</v>
      </c>
      <c r="V5" s="292">
        <f>Panel!$B$26</f>
        <v>0.16</v>
      </c>
      <c r="W5" s="292">
        <f>Panel!$B$26</f>
        <v>0.16</v>
      </c>
      <c r="X5" s="292">
        <f>Panel!$B$26</f>
        <v>0.16</v>
      </c>
      <c r="Y5" s="292">
        <f>Panel!$B$26</f>
        <v>0.16</v>
      </c>
      <c r="Z5" s="292">
        <f>Panel!$B$26</f>
        <v>0.16</v>
      </c>
      <c r="AA5" s="292">
        <f>Panel!$B$26</f>
        <v>0.16</v>
      </c>
      <c r="AB5" s="292">
        <f>Panel!$B$26</f>
        <v>0.16</v>
      </c>
      <c r="AC5" s="292">
        <f>Panel!$B$26</f>
        <v>0.16</v>
      </c>
      <c r="AD5" s="292">
        <f>Panel!$B$26</f>
        <v>0.16</v>
      </c>
      <c r="AE5" s="292">
        <f>Panel!$B$26</f>
        <v>0.16</v>
      </c>
      <c r="AF5" s="292">
        <f>Panel!$B$26</f>
        <v>0.16</v>
      </c>
      <c r="AG5" s="292">
        <f>Panel!$B$26</f>
        <v>0.16</v>
      </c>
      <c r="AH5" s="292">
        <f>Panel!$B$26</f>
        <v>0.16</v>
      </c>
      <c r="AI5" s="292">
        <f>Panel!$B$26</f>
        <v>0.16</v>
      </c>
      <c r="AJ5" s="292">
        <f>Panel!$B$26</f>
        <v>0.16</v>
      </c>
      <c r="AK5" s="292">
        <f>Panel!$B$26</f>
        <v>0.16</v>
      </c>
      <c r="AL5" s="292">
        <f>Panel!$B$26</f>
        <v>0.16</v>
      </c>
      <c r="AM5" s="292">
        <f>Panel!$B$26</f>
        <v>0.16</v>
      </c>
      <c r="AN5" s="292">
        <f>Panel!$B$26</f>
        <v>0.16</v>
      </c>
      <c r="AO5" s="292">
        <f>Panel!$B$26</f>
        <v>0.16</v>
      </c>
      <c r="AP5" s="292">
        <f>Panel!$B$26</f>
        <v>0.16</v>
      </c>
      <c r="AQ5" s="292">
        <f>Panel!$B$26</f>
        <v>0.16</v>
      </c>
      <c r="AR5" s="292">
        <f>Panel!$B$26</f>
        <v>0.16</v>
      </c>
      <c r="AS5" s="292">
        <f>Panel!$B$26</f>
        <v>0.16</v>
      </c>
      <c r="AT5" s="292">
        <f>Panel!$B$26</f>
        <v>0.16</v>
      </c>
      <c r="AU5" s="292">
        <f>Panel!$B$26</f>
        <v>0.16</v>
      </c>
      <c r="AV5" s="292">
        <f>Panel!$B$26</f>
        <v>0.16</v>
      </c>
      <c r="AW5" s="292">
        <f>Panel!$B$26</f>
        <v>0.16</v>
      </c>
      <c r="AX5" s="292">
        <f>Panel!$B$26</f>
        <v>0.16</v>
      </c>
      <c r="AY5" s="292">
        <f>Panel!$B$26</f>
        <v>0.16</v>
      </c>
      <c r="AZ5" s="292">
        <f>Panel!$B$26</f>
        <v>0.16</v>
      </c>
      <c r="BA5" s="292">
        <f>Panel!$B$26</f>
        <v>0.16</v>
      </c>
      <c r="BB5" s="292">
        <f>Panel!$B$26</f>
        <v>0.16</v>
      </c>
      <c r="BC5" s="292">
        <f>Panel!$B$26</f>
        <v>0.16</v>
      </c>
      <c r="BD5" s="292">
        <f>Panel!$B$26</f>
        <v>0.16</v>
      </c>
      <c r="BE5" s="292">
        <f>Panel!$B$26</f>
        <v>0.16</v>
      </c>
      <c r="BF5" s="292">
        <f>Panel!$B$26</f>
        <v>0.16</v>
      </c>
      <c r="BG5" s="292">
        <f>Panel!$B$26</f>
        <v>0.16</v>
      </c>
      <c r="BH5" s="292">
        <f>Panel!$B$26</f>
        <v>0.16</v>
      </c>
      <c r="BI5" s="292">
        <f>Panel!$B$26</f>
        <v>0.16</v>
      </c>
      <c r="BJ5" s="292">
        <f>Panel!$B$26</f>
        <v>0.16</v>
      </c>
      <c r="BK5" s="292">
        <f>Panel!$B$26</f>
        <v>0.16</v>
      </c>
      <c r="BL5" s="292">
        <f>Panel!$B$26</f>
        <v>0.16</v>
      </c>
      <c r="BM5" s="292">
        <f>Panel!$B$26</f>
        <v>0.16</v>
      </c>
      <c r="BN5" s="292">
        <f>Panel!$B$26</f>
        <v>0.16</v>
      </c>
      <c r="BO5" s="292">
        <f>Panel!$B$26</f>
        <v>0.16</v>
      </c>
      <c r="BP5" s="292">
        <f>Panel!$B$26</f>
        <v>0.16</v>
      </c>
      <c r="BQ5" s="292">
        <f>Panel!$B$26</f>
        <v>0.16</v>
      </c>
      <c r="BR5" s="292">
        <f>Panel!$B$26</f>
        <v>0.16</v>
      </c>
      <c r="BS5" s="292">
        <f>Panel!$B$26</f>
        <v>0.16</v>
      </c>
      <c r="BT5" s="292">
        <f>Panel!$B$26</f>
        <v>0.16</v>
      </c>
      <c r="BU5" s="292">
        <f>Panel!$B$26</f>
        <v>0.16</v>
      </c>
      <c r="BV5" s="215"/>
      <c r="BW5" s="215"/>
    </row>
    <row r="6" ht="12.75" customHeight="1">
      <c r="A6" s="34" t="s">
        <v>124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</row>
    <row r="7" ht="12.75" customHeight="1">
      <c r="A7" s="303" t="s">
        <v>325</v>
      </c>
      <c r="B7" s="59" t="s">
        <v>66</v>
      </c>
      <c r="C7" s="59" t="s">
        <v>67</v>
      </c>
      <c r="D7" s="59" t="s">
        <v>68</v>
      </c>
      <c r="E7" s="59" t="s">
        <v>69</v>
      </c>
      <c r="F7" s="59" t="s">
        <v>70</v>
      </c>
      <c r="G7" s="304">
        <v>2030.0</v>
      </c>
      <c r="H7" s="59" t="s">
        <v>59</v>
      </c>
      <c r="I7" s="59" t="s">
        <v>60</v>
      </c>
      <c r="J7" s="59" t="s">
        <v>61</v>
      </c>
      <c r="K7" s="59" t="s">
        <v>62</v>
      </c>
      <c r="L7" s="59" t="s">
        <v>63</v>
      </c>
      <c r="M7" s="59" t="s">
        <v>64</v>
      </c>
      <c r="N7" s="59" t="s">
        <v>65</v>
      </c>
      <c r="O7" s="59" t="s">
        <v>66</v>
      </c>
      <c r="P7" s="59" t="s">
        <v>67</v>
      </c>
      <c r="Q7" s="59" t="s">
        <v>68</v>
      </c>
      <c r="R7" s="59" t="s">
        <v>69</v>
      </c>
      <c r="S7" s="59" t="s">
        <v>70</v>
      </c>
      <c r="T7" s="304">
        <v>2031.0</v>
      </c>
      <c r="U7" s="59" t="s">
        <v>59</v>
      </c>
      <c r="V7" s="59" t="s">
        <v>60</v>
      </c>
      <c r="W7" s="59" t="s">
        <v>61</v>
      </c>
      <c r="X7" s="59" t="s">
        <v>62</v>
      </c>
      <c r="Y7" s="59" t="s">
        <v>63</v>
      </c>
      <c r="Z7" s="59" t="s">
        <v>64</v>
      </c>
      <c r="AA7" s="59" t="s">
        <v>65</v>
      </c>
      <c r="AB7" s="59" t="s">
        <v>66</v>
      </c>
      <c r="AC7" s="59" t="s">
        <v>67</v>
      </c>
      <c r="AD7" s="59" t="s">
        <v>68</v>
      </c>
      <c r="AE7" s="59" t="s">
        <v>69</v>
      </c>
      <c r="AF7" s="59" t="s">
        <v>70</v>
      </c>
      <c r="AG7" s="162">
        <v>2026.0</v>
      </c>
      <c r="AH7" s="162" t="s">
        <v>59</v>
      </c>
      <c r="AI7" s="162" t="s">
        <v>60</v>
      </c>
      <c r="AJ7" s="162" t="s">
        <v>61</v>
      </c>
      <c r="AK7" s="162" t="s">
        <v>62</v>
      </c>
      <c r="AL7" s="162" t="s">
        <v>63</v>
      </c>
      <c r="AM7" s="162" t="s">
        <v>64</v>
      </c>
      <c r="AN7" s="162" t="s">
        <v>65</v>
      </c>
      <c r="AO7" s="162" t="s">
        <v>66</v>
      </c>
      <c r="AP7" s="162" t="s">
        <v>67</v>
      </c>
      <c r="AQ7" s="162" t="s">
        <v>68</v>
      </c>
      <c r="AR7" s="162" t="s">
        <v>69</v>
      </c>
      <c r="AS7" s="162" t="s">
        <v>70</v>
      </c>
      <c r="AT7" s="162">
        <v>2027.0</v>
      </c>
      <c r="AU7" s="162" t="s">
        <v>59</v>
      </c>
      <c r="AV7" s="162" t="s">
        <v>60</v>
      </c>
      <c r="AW7" s="162" t="s">
        <v>61</v>
      </c>
      <c r="AX7" s="162" t="s">
        <v>62</v>
      </c>
      <c r="AY7" s="162" t="s">
        <v>63</v>
      </c>
      <c r="AZ7" s="162" t="s">
        <v>64</v>
      </c>
      <c r="BA7" s="162" t="s">
        <v>65</v>
      </c>
      <c r="BB7" s="162" t="s">
        <v>66</v>
      </c>
      <c r="BC7" s="162" t="s">
        <v>67</v>
      </c>
      <c r="BD7" s="162" t="s">
        <v>68</v>
      </c>
      <c r="BE7" s="162" t="s">
        <v>69</v>
      </c>
      <c r="BF7" s="162" t="s">
        <v>70</v>
      </c>
      <c r="BG7" s="162">
        <v>2028.0</v>
      </c>
      <c r="BH7" s="162">
        <v>2029.0</v>
      </c>
      <c r="BI7" s="162">
        <v>2030.0</v>
      </c>
      <c r="BJ7" s="162">
        <v>2031.0</v>
      </c>
      <c r="BK7" s="162">
        <v>2032.0</v>
      </c>
      <c r="BL7" s="162">
        <v>2033.0</v>
      </c>
      <c r="BM7" s="162">
        <v>2034.0</v>
      </c>
      <c r="BN7" s="162">
        <v>2035.0</v>
      </c>
      <c r="BO7" s="162">
        <v>2036.0</v>
      </c>
      <c r="BP7" s="162">
        <v>2037.0</v>
      </c>
      <c r="BQ7" s="162">
        <v>2038.0</v>
      </c>
      <c r="BR7" s="162">
        <v>2039.0</v>
      </c>
      <c r="BS7" s="162">
        <v>2040.0</v>
      </c>
      <c r="BT7" s="162">
        <v>2041.0</v>
      </c>
      <c r="BU7" s="162">
        <v>2042.0</v>
      </c>
      <c r="BV7" s="2"/>
      <c r="BW7" s="2"/>
    </row>
    <row r="8" ht="12.75" customHeight="1">
      <c r="A8" s="2"/>
      <c r="B8" s="2"/>
      <c r="C8" s="2"/>
      <c r="D8" s="2"/>
      <c r="E8" s="2"/>
      <c r="F8" s="2"/>
      <c r="G8" s="26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6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305"/>
      <c r="AH8" s="305"/>
      <c r="AI8" s="305"/>
      <c r="AJ8" s="305"/>
      <c r="AK8" s="305"/>
      <c r="AL8" s="305"/>
      <c r="AM8" s="305"/>
      <c r="AN8" s="305"/>
      <c r="AO8" s="305"/>
      <c r="AP8" s="305"/>
      <c r="AQ8" s="305"/>
      <c r="AR8" s="305"/>
      <c r="AS8" s="305"/>
      <c r="AT8" s="305"/>
      <c r="AU8" s="305"/>
      <c r="AV8" s="305"/>
      <c r="AW8" s="305"/>
      <c r="AX8" s="305"/>
      <c r="AY8" s="305"/>
      <c r="AZ8" s="305"/>
      <c r="BA8" s="305"/>
      <c r="BB8" s="305"/>
      <c r="BC8" s="305"/>
      <c r="BD8" s="305"/>
      <c r="BE8" s="305"/>
      <c r="BF8" s="305"/>
      <c r="BG8" s="305"/>
      <c r="BH8" s="305"/>
      <c r="BI8" s="305"/>
      <c r="BJ8" s="305"/>
      <c r="BK8" s="305"/>
      <c r="BL8" s="305"/>
      <c r="BM8" s="305"/>
      <c r="BN8" s="305"/>
      <c r="BO8" s="305"/>
      <c r="BP8" s="305"/>
      <c r="BQ8" s="305"/>
      <c r="BR8" s="305"/>
      <c r="BS8" s="305"/>
      <c r="BT8" s="305"/>
      <c r="BU8" s="305"/>
      <c r="BV8" s="2"/>
      <c r="BW8" s="2"/>
    </row>
    <row r="9" ht="12.75" customHeight="1">
      <c r="A9" s="1" t="s">
        <v>326</v>
      </c>
      <c r="B9" s="2"/>
      <c r="C9" s="2"/>
      <c r="D9" s="2"/>
      <c r="E9" s="2"/>
      <c r="F9" s="2"/>
      <c r="G9" s="2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6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05"/>
      <c r="AH9" s="305"/>
      <c r="AI9" s="305"/>
      <c r="AJ9" s="305"/>
      <c r="AK9" s="305"/>
      <c r="AL9" s="305"/>
      <c r="AM9" s="305"/>
      <c r="AN9" s="305"/>
      <c r="AO9" s="305"/>
      <c r="AP9" s="305"/>
      <c r="AQ9" s="305"/>
      <c r="AR9" s="305"/>
      <c r="AS9" s="305"/>
      <c r="AT9" s="305"/>
      <c r="AU9" s="305"/>
      <c r="AV9" s="305"/>
      <c r="AW9" s="305"/>
      <c r="AX9" s="305"/>
      <c r="AY9" s="305"/>
      <c r="AZ9" s="305"/>
      <c r="BA9" s="305"/>
      <c r="BB9" s="305"/>
      <c r="BC9" s="305"/>
      <c r="BD9" s="305"/>
      <c r="BE9" s="305"/>
      <c r="BF9" s="305"/>
      <c r="BG9" s="305"/>
      <c r="BH9" s="305"/>
      <c r="BI9" s="305"/>
      <c r="BJ9" s="305"/>
      <c r="BK9" s="305"/>
      <c r="BL9" s="305"/>
      <c r="BM9" s="305"/>
      <c r="BN9" s="305"/>
      <c r="BO9" s="305"/>
      <c r="BP9" s="305"/>
      <c r="BQ9" s="305"/>
      <c r="BR9" s="305"/>
      <c r="BS9" s="305"/>
      <c r="BT9" s="305"/>
      <c r="BU9" s="305"/>
      <c r="BV9" s="2"/>
      <c r="BW9" s="2"/>
    </row>
    <row r="10" ht="12.75" customHeight="1">
      <c r="A10" s="26" t="s">
        <v>327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>
        <f>'ОПиУ'!B8*(1+'ОДДС'!U5)</f>
        <v>33650.7873</v>
      </c>
      <c r="V10" s="26">
        <f>'ОПиУ'!C8*(1+'ОДДС'!V5)</f>
        <v>28563.25176</v>
      </c>
      <c r="W10" s="26">
        <f>'ОПиУ'!D8*(1+'ОДДС'!W5)</f>
        <v>44879.15324</v>
      </c>
      <c r="X10" s="26">
        <f>'ОПиУ'!E8*(1+'ОДДС'!X5)</f>
        <v>26467.83747</v>
      </c>
      <c r="Y10" s="26">
        <f>'ОПиУ'!F8*(1+'ОДДС'!Y5)</f>
        <v>60154.8412</v>
      </c>
      <c r="Z10" s="26">
        <f>'ОПиУ'!G8*(1+'ОДДС'!Z5)</f>
        <v>67680.84206</v>
      </c>
      <c r="AA10" s="26">
        <f>'ОПиУ'!H8*(1+'ОДДС'!AA5)</f>
        <v>84344.01029</v>
      </c>
      <c r="AB10" s="26">
        <f>'ОПиУ'!I8*(1+'ОДДС'!AB5)</f>
        <v>84344.01029</v>
      </c>
      <c r="AC10" s="26">
        <f>'ОПиУ'!J8*(1+'ОДДС'!AC5)</f>
        <v>69686.21306</v>
      </c>
      <c r="AD10" s="26">
        <f>'ОПиУ'!K8*(1+'ОДДС'!AD5)</f>
        <v>57105.15051</v>
      </c>
      <c r="AE10" s="26">
        <f>'ОПиУ'!L8*(1+'ОДДС'!AE5)</f>
        <v>44801.41567</v>
      </c>
      <c r="AF10" s="26">
        <f>'ОПиУ'!M8*(1+'ОДДС'!AF5)</f>
        <v>34673.43788</v>
      </c>
      <c r="AG10" s="26">
        <f>'ОПиУ'!N8*(1+'ОДДС'!AG5)</f>
        <v>636350.9507</v>
      </c>
      <c r="AH10" s="26">
        <f>'ОПиУ'!O8*(1+'ОДДС'!AH5)</f>
        <v>36982.21525</v>
      </c>
      <c r="AI10" s="26">
        <f>'ОПиУ'!P8*(1+'ОДДС'!AI5)</f>
        <v>31391.01368</v>
      </c>
      <c r="AJ10" s="26">
        <f>'ОПиУ'!Q8*(1+'ОДДС'!AJ5)</f>
        <v>49322.18941</v>
      </c>
      <c r="AK10" s="26">
        <f>'ОПиУ'!R8*(1+'ОДДС'!AK5)</f>
        <v>29088.15338</v>
      </c>
      <c r="AL10" s="26">
        <f>'ОПиУ'!S8*(1+'ОДДС'!AL5)</f>
        <v>66110.17048</v>
      </c>
      <c r="AM10" s="26">
        <f>'ОПиУ'!T8*(1+'ОДДС'!AM5)</f>
        <v>74381.24542</v>
      </c>
      <c r="AN10" s="26">
        <f>'ОПиУ'!U8*(1+'ОДДС'!AN5)</f>
        <v>92694.06731</v>
      </c>
      <c r="AO10" s="26">
        <f>'ОПиУ'!V8*(1+'ОДДС'!AO5)</f>
        <v>92694.06731</v>
      </c>
      <c r="AP10" s="26">
        <f>'ОПиУ'!W8*(1+'ОДДС'!AP5)</f>
        <v>76585.14815</v>
      </c>
      <c r="AQ10" s="26">
        <f>'ОПиУ'!X8*(1+'ОДДС'!AQ5)</f>
        <v>62758.56041</v>
      </c>
      <c r="AR10" s="26">
        <f>'ОПиУ'!Y8*(1+'ОДДС'!AR5)</f>
        <v>49236.75582</v>
      </c>
      <c r="AS10" s="26">
        <f>'ОПиУ'!Z8*(1+'ОДДС'!AS5)</f>
        <v>38106.10823</v>
      </c>
      <c r="AT10" s="26">
        <f>'ОПиУ'!AA8*(1+'ОДДС'!AT5)</f>
        <v>699349.6948</v>
      </c>
      <c r="AU10" s="26">
        <f>'ОПиУ'!AB8*(1+'ОДДС'!AU5)</f>
        <v>40643.45456</v>
      </c>
      <c r="AV10" s="26">
        <f>'ОПиУ'!AC8*(1+'ОДДС'!AV5)</f>
        <v>34498.72404</v>
      </c>
      <c r="AW10" s="26">
        <f>'ОПиУ'!AD8*(1+'ОДДС'!AW5)</f>
        <v>54205.08616</v>
      </c>
      <c r="AX10" s="26">
        <f>'ОПиУ'!AE8*(1+'ОДДС'!AX5)</f>
        <v>31967.88056</v>
      </c>
      <c r="AY10" s="26">
        <f>'ОПиУ'!AF8*(1+'ОДДС'!AY5)</f>
        <v>72655.07736</v>
      </c>
      <c r="AZ10" s="26">
        <f>'ОПиУ'!AG8*(1+'ОДДС'!AZ5)</f>
        <v>81744.98872</v>
      </c>
      <c r="BA10" s="26">
        <f>'ОПиУ'!AH8*(1+'ОДДС'!BA5)</f>
        <v>101870.78</v>
      </c>
      <c r="BB10" s="26">
        <f>'ОПиУ'!AI8*(1+'ОДДС'!BB5)</f>
        <v>101870.78</v>
      </c>
      <c r="BC10" s="26">
        <f>'ОПиУ'!AJ8*(1+'ОДДС'!BC5)</f>
        <v>84167.07781</v>
      </c>
      <c r="BD10" s="26">
        <f>'ОПиУ'!AK8*(1+'ОДДС'!BD5)</f>
        <v>68971.65789</v>
      </c>
      <c r="BE10" s="26">
        <f>'ОПиУ'!AL8*(1+'ОДДС'!BE5)</f>
        <v>54111.19465</v>
      </c>
      <c r="BF10" s="26">
        <f>'ОПиУ'!AM8*(1+'ОДДС'!BF5)</f>
        <v>41878.61295</v>
      </c>
      <c r="BG10" s="26">
        <f>'ОПиУ'!AN8*(1+'ОДДС'!BG5)</f>
        <v>768585.3146</v>
      </c>
      <c r="BH10" s="26">
        <f>'ОПиУ'!AO8*(1+'ОДДС'!BH5)</f>
        <v>844675.2608</v>
      </c>
      <c r="BI10" s="26">
        <f>'ОПиУ'!AP8*(1+'ОДДС'!BI5)</f>
        <v>928298.1116</v>
      </c>
      <c r="BJ10" s="26">
        <f>'ОПиУ'!AQ8*(1+'ОДДС'!BJ5)</f>
        <v>1020199.625</v>
      </c>
      <c r="BK10" s="26">
        <f>'ОПиУ'!AR8*(1+'ОДДС'!BK5)</f>
        <v>1121199.387</v>
      </c>
      <c r="BL10" s="26">
        <f>'ОПиУ'!AS8*(1+'ОДДС'!BL5)</f>
        <v>1232198.127</v>
      </c>
      <c r="BM10" s="26">
        <f>'ОПиУ'!AT8*(1+'ОДДС'!BM5)</f>
        <v>1354185.741</v>
      </c>
      <c r="BN10" s="26">
        <f>'ОПиУ'!AU8*(1+'ОДДС'!BN5)</f>
        <v>1488250.13</v>
      </c>
      <c r="BO10" s="26">
        <f>'ОПиУ'!AV8*(1+'ОДДС'!BO5)</f>
        <v>1635586.893</v>
      </c>
      <c r="BP10" s="26">
        <f>'ОПиУ'!AW8*(1+'ОДДС'!BP5)</f>
        <v>1797509.995</v>
      </c>
      <c r="BQ10" s="26">
        <f>'ОПиУ'!AX8*(1+'ОДДС'!BQ5)</f>
        <v>1975463.485</v>
      </c>
      <c r="BR10" s="26">
        <f>'ОПиУ'!AY8*(1+'ОДДС'!BR5)</f>
        <v>2171034.37</v>
      </c>
      <c r="BS10" s="26">
        <f>'ОПиУ'!AZ8*(1+'ОДДС'!BS5)</f>
        <v>2385966.772</v>
      </c>
      <c r="BT10" s="26">
        <f>'ОПиУ'!BA8*(1+'ОДДС'!BT5)</f>
        <v>2622177.483</v>
      </c>
      <c r="BU10" s="26">
        <f>'ОПиУ'!BB8*(1+'ОДДС'!BU5)</f>
        <v>2881773.053</v>
      </c>
      <c r="BV10" s="2"/>
      <c r="BW10" s="26"/>
    </row>
    <row r="11" ht="12.75" customHeight="1" outlineLevel="1">
      <c r="A11" s="26" t="s">
        <v>328</v>
      </c>
      <c r="B11" s="26"/>
      <c r="C11" s="26"/>
      <c r="D11" s="26"/>
      <c r="E11" s="26"/>
      <c r="F11" s="26"/>
      <c r="G11" s="26">
        <f t="shared" ref="G11:G14" si="1">SUM(B11:F11)</f>
        <v>0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>
        <f t="shared" ref="T11:T14" si="2">SUM(H11:S11)</f>
        <v>0</v>
      </c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70">
        <v>0.0</v>
      </c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>
        <v>0.0</v>
      </c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>
        <v>0.0</v>
      </c>
      <c r="BH11" s="70">
        <v>0.0</v>
      </c>
      <c r="BI11" s="70">
        <v>0.0</v>
      </c>
      <c r="BJ11" s="70">
        <v>0.0</v>
      </c>
      <c r="BK11" s="70">
        <v>0.0</v>
      </c>
      <c r="BL11" s="70">
        <v>0.0</v>
      </c>
      <c r="BM11" s="70">
        <v>0.0</v>
      </c>
      <c r="BN11" s="70">
        <v>0.0</v>
      </c>
      <c r="BO11" s="70">
        <v>0.0</v>
      </c>
      <c r="BP11" s="70">
        <v>0.0</v>
      </c>
      <c r="BQ11" s="70">
        <v>0.0</v>
      </c>
      <c r="BR11" s="70">
        <v>0.0</v>
      </c>
      <c r="BS11" s="70">
        <v>0.0</v>
      </c>
      <c r="BT11" s="70">
        <v>0.0</v>
      </c>
      <c r="BU11" s="70">
        <v>0.0</v>
      </c>
      <c r="BV11" s="2"/>
      <c r="BW11" s="26"/>
    </row>
    <row r="12" ht="12.75" customHeight="1" outlineLevel="1">
      <c r="A12" s="26" t="s">
        <v>329</v>
      </c>
      <c r="B12" s="26"/>
      <c r="C12" s="26"/>
      <c r="D12" s="26"/>
      <c r="E12" s="26"/>
      <c r="F12" s="26"/>
      <c r="G12" s="26">
        <f t="shared" si="1"/>
        <v>0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>
        <f t="shared" si="2"/>
        <v>0</v>
      </c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70">
        <v>0.0</v>
      </c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>
        <v>0.0</v>
      </c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>
        <v>0.0</v>
      </c>
      <c r="BH12" s="70">
        <v>0.0</v>
      </c>
      <c r="BI12" s="70">
        <v>0.0</v>
      </c>
      <c r="BJ12" s="70">
        <v>0.0</v>
      </c>
      <c r="BK12" s="70">
        <v>0.0</v>
      </c>
      <c r="BL12" s="70">
        <v>0.0</v>
      </c>
      <c r="BM12" s="70">
        <v>0.0</v>
      </c>
      <c r="BN12" s="70">
        <v>0.0</v>
      </c>
      <c r="BO12" s="70">
        <v>0.0</v>
      </c>
      <c r="BP12" s="70">
        <v>0.0</v>
      </c>
      <c r="BQ12" s="70">
        <v>0.0</v>
      </c>
      <c r="BR12" s="70">
        <v>0.0</v>
      </c>
      <c r="BS12" s="70">
        <v>0.0</v>
      </c>
      <c r="BT12" s="70">
        <v>0.0</v>
      </c>
      <c r="BU12" s="70">
        <v>0.0</v>
      </c>
      <c r="BV12" s="2"/>
      <c r="BW12" s="26"/>
    </row>
    <row r="13" ht="12.75" customHeight="1" outlineLevel="1">
      <c r="A13" s="26" t="s">
        <v>330</v>
      </c>
      <c r="B13" s="26"/>
      <c r="C13" s="26"/>
      <c r="D13" s="26"/>
      <c r="E13" s="26"/>
      <c r="F13" s="26"/>
      <c r="G13" s="26">
        <f t="shared" si="1"/>
        <v>0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>
        <f t="shared" si="2"/>
        <v>0</v>
      </c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70">
        <v>0.0</v>
      </c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>
        <v>0.0</v>
      </c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>
        <v>0.0</v>
      </c>
      <c r="BH13" s="70">
        <v>0.0</v>
      </c>
      <c r="BI13" s="70">
        <v>0.0</v>
      </c>
      <c r="BJ13" s="70">
        <v>0.0</v>
      </c>
      <c r="BK13" s="70">
        <v>0.0</v>
      </c>
      <c r="BL13" s="70">
        <v>0.0</v>
      </c>
      <c r="BM13" s="70">
        <v>0.0</v>
      </c>
      <c r="BN13" s="70">
        <v>0.0</v>
      </c>
      <c r="BO13" s="70">
        <v>0.0</v>
      </c>
      <c r="BP13" s="70">
        <v>0.0</v>
      </c>
      <c r="BQ13" s="70">
        <v>0.0</v>
      </c>
      <c r="BR13" s="70">
        <v>0.0</v>
      </c>
      <c r="BS13" s="70">
        <v>0.0</v>
      </c>
      <c r="BT13" s="70">
        <v>0.0</v>
      </c>
      <c r="BU13" s="70">
        <v>0.0</v>
      </c>
      <c r="BV13" s="2"/>
      <c r="BW13" s="26"/>
    </row>
    <row r="14" ht="12.75" customHeight="1" outlineLevel="1">
      <c r="A14" s="26" t="s">
        <v>331</v>
      </c>
      <c r="B14" s="26"/>
      <c r="C14" s="26"/>
      <c r="D14" s="26"/>
      <c r="E14" s="26"/>
      <c r="F14" s="26"/>
      <c r="G14" s="26">
        <f t="shared" si="1"/>
        <v>0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>
        <f t="shared" si="2"/>
        <v>0</v>
      </c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70">
        <v>0.0</v>
      </c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>
        <v>0.0</v>
      </c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>
        <v>0.0</v>
      </c>
      <c r="BH14" s="70">
        <v>0.0</v>
      </c>
      <c r="BI14" s="70">
        <v>0.0</v>
      </c>
      <c r="BJ14" s="70">
        <v>0.0</v>
      </c>
      <c r="BK14" s="70">
        <v>0.0</v>
      </c>
      <c r="BL14" s="70">
        <v>0.0</v>
      </c>
      <c r="BM14" s="70">
        <v>0.0</v>
      </c>
      <c r="BN14" s="70">
        <v>0.0</v>
      </c>
      <c r="BO14" s="70">
        <v>0.0</v>
      </c>
      <c r="BP14" s="70">
        <v>0.0</v>
      </c>
      <c r="BQ14" s="70">
        <v>0.0</v>
      </c>
      <c r="BR14" s="70">
        <v>0.0</v>
      </c>
      <c r="BS14" s="70">
        <v>0.0</v>
      </c>
      <c r="BT14" s="70">
        <v>0.0</v>
      </c>
      <c r="BU14" s="70">
        <v>0.0</v>
      </c>
      <c r="BV14" s="2"/>
      <c r="BW14" s="26"/>
    </row>
    <row r="15" ht="12.75" customHeight="1">
      <c r="A15" s="302" t="s">
        <v>332</v>
      </c>
      <c r="B15" s="302">
        <f t="shared" ref="B15:BU15" si="3">SUM(B10:B14)</f>
        <v>0</v>
      </c>
      <c r="C15" s="302">
        <f t="shared" si="3"/>
        <v>0</v>
      </c>
      <c r="D15" s="302">
        <f t="shared" si="3"/>
        <v>0</v>
      </c>
      <c r="E15" s="302">
        <f t="shared" si="3"/>
        <v>0</v>
      </c>
      <c r="F15" s="302">
        <f t="shared" si="3"/>
        <v>0</v>
      </c>
      <c r="G15" s="302">
        <f t="shared" si="3"/>
        <v>0</v>
      </c>
      <c r="H15" s="302">
        <f t="shared" si="3"/>
        <v>0</v>
      </c>
      <c r="I15" s="302">
        <f t="shared" si="3"/>
        <v>0</v>
      </c>
      <c r="J15" s="302">
        <f t="shared" si="3"/>
        <v>0</v>
      </c>
      <c r="K15" s="302">
        <f t="shared" si="3"/>
        <v>0</v>
      </c>
      <c r="L15" s="302">
        <f t="shared" si="3"/>
        <v>0</v>
      </c>
      <c r="M15" s="302">
        <f t="shared" si="3"/>
        <v>0</v>
      </c>
      <c r="N15" s="302">
        <f t="shared" si="3"/>
        <v>0</v>
      </c>
      <c r="O15" s="302">
        <f t="shared" si="3"/>
        <v>0</v>
      </c>
      <c r="P15" s="302">
        <f t="shared" si="3"/>
        <v>0</v>
      </c>
      <c r="Q15" s="302">
        <f t="shared" si="3"/>
        <v>0</v>
      </c>
      <c r="R15" s="302">
        <f t="shared" si="3"/>
        <v>0</v>
      </c>
      <c r="S15" s="302">
        <f t="shared" si="3"/>
        <v>0</v>
      </c>
      <c r="T15" s="302">
        <f t="shared" si="3"/>
        <v>0</v>
      </c>
      <c r="U15" s="306">
        <f t="shared" si="3"/>
        <v>33650.7873</v>
      </c>
      <c r="V15" s="306">
        <f t="shared" si="3"/>
        <v>28563.25176</v>
      </c>
      <c r="W15" s="306">
        <f t="shared" si="3"/>
        <v>44879.15324</v>
      </c>
      <c r="X15" s="306">
        <f t="shared" si="3"/>
        <v>26467.83747</v>
      </c>
      <c r="Y15" s="306">
        <f t="shared" si="3"/>
        <v>60154.8412</v>
      </c>
      <c r="Z15" s="306">
        <f t="shared" si="3"/>
        <v>67680.84206</v>
      </c>
      <c r="AA15" s="306">
        <f t="shared" si="3"/>
        <v>84344.01029</v>
      </c>
      <c r="AB15" s="306">
        <f t="shared" si="3"/>
        <v>84344.01029</v>
      </c>
      <c r="AC15" s="306">
        <f t="shared" si="3"/>
        <v>69686.21306</v>
      </c>
      <c r="AD15" s="306">
        <f t="shared" si="3"/>
        <v>57105.15051</v>
      </c>
      <c r="AE15" s="306">
        <f t="shared" si="3"/>
        <v>44801.41567</v>
      </c>
      <c r="AF15" s="306">
        <f t="shared" si="3"/>
        <v>34673.43788</v>
      </c>
      <c r="AG15" s="306">
        <f t="shared" si="3"/>
        <v>636350.9507</v>
      </c>
      <c r="AH15" s="306">
        <f t="shared" si="3"/>
        <v>36982.21525</v>
      </c>
      <c r="AI15" s="306">
        <f t="shared" si="3"/>
        <v>31391.01368</v>
      </c>
      <c r="AJ15" s="306">
        <f t="shared" si="3"/>
        <v>49322.18941</v>
      </c>
      <c r="AK15" s="306">
        <f t="shared" si="3"/>
        <v>29088.15338</v>
      </c>
      <c r="AL15" s="306">
        <f t="shared" si="3"/>
        <v>66110.17048</v>
      </c>
      <c r="AM15" s="306">
        <f t="shared" si="3"/>
        <v>74381.24542</v>
      </c>
      <c r="AN15" s="306">
        <f t="shared" si="3"/>
        <v>92694.06731</v>
      </c>
      <c r="AO15" s="306">
        <f t="shared" si="3"/>
        <v>92694.06731</v>
      </c>
      <c r="AP15" s="306">
        <f t="shared" si="3"/>
        <v>76585.14815</v>
      </c>
      <c r="AQ15" s="306">
        <f t="shared" si="3"/>
        <v>62758.56041</v>
      </c>
      <c r="AR15" s="306">
        <f t="shared" si="3"/>
        <v>49236.75582</v>
      </c>
      <c r="AS15" s="306">
        <f t="shared" si="3"/>
        <v>38106.10823</v>
      </c>
      <c r="AT15" s="306">
        <f t="shared" si="3"/>
        <v>699349.6948</v>
      </c>
      <c r="AU15" s="306">
        <f t="shared" si="3"/>
        <v>40643.45456</v>
      </c>
      <c r="AV15" s="306">
        <f t="shared" si="3"/>
        <v>34498.72404</v>
      </c>
      <c r="AW15" s="306">
        <f t="shared" si="3"/>
        <v>54205.08616</v>
      </c>
      <c r="AX15" s="306">
        <f t="shared" si="3"/>
        <v>31967.88056</v>
      </c>
      <c r="AY15" s="306">
        <f t="shared" si="3"/>
        <v>72655.07736</v>
      </c>
      <c r="AZ15" s="306">
        <f t="shared" si="3"/>
        <v>81744.98872</v>
      </c>
      <c r="BA15" s="306">
        <f t="shared" si="3"/>
        <v>101870.78</v>
      </c>
      <c r="BB15" s="306">
        <f t="shared" si="3"/>
        <v>101870.78</v>
      </c>
      <c r="BC15" s="306">
        <f t="shared" si="3"/>
        <v>84167.07781</v>
      </c>
      <c r="BD15" s="306">
        <f t="shared" si="3"/>
        <v>68971.65789</v>
      </c>
      <c r="BE15" s="306">
        <f t="shared" si="3"/>
        <v>54111.19465</v>
      </c>
      <c r="BF15" s="306">
        <f t="shared" si="3"/>
        <v>41878.61295</v>
      </c>
      <c r="BG15" s="306">
        <f t="shared" si="3"/>
        <v>768585.3146</v>
      </c>
      <c r="BH15" s="306">
        <f t="shared" si="3"/>
        <v>844675.2608</v>
      </c>
      <c r="BI15" s="306">
        <f t="shared" si="3"/>
        <v>928298.1116</v>
      </c>
      <c r="BJ15" s="306">
        <f t="shared" si="3"/>
        <v>1020199.625</v>
      </c>
      <c r="BK15" s="306">
        <f t="shared" si="3"/>
        <v>1121199.387</v>
      </c>
      <c r="BL15" s="306">
        <f t="shared" si="3"/>
        <v>1232198.127</v>
      </c>
      <c r="BM15" s="306">
        <f t="shared" si="3"/>
        <v>1354185.741</v>
      </c>
      <c r="BN15" s="306">
        <f t="shared" si="3"/>
        <v>1488250.13</v>
      </c>
      <c r="BO15" s="306">
        <f t="shared" si="3"/>
        <v>1635586.893</v>
      </c>
      <c r="BP15" s="306">
        <f t="shared" si="3"/>
        <v>1797509.995</v>
      </c>
      <c r="BQ15" s="306">
        <f t="shared" si="3"/>
        <v>1975463.485</v>
      </c>
      <c r="BR15" s="306">
        <f t="shared" si="3"/>
        <v>2171034.37</v>
      </c>
      <c r="BS15" s="306">
        <f t="shared" si="3"/>
        <v>2385966.772</v>
      </c>
      <c r="BT15" s="306">
        <f t="shared" si="3"/>
        <v>2622177.483</v>
      </c>
      <c r="BU15" s="306">
        <f t="shared" si="3"/>
        <v>2881773.053</v>
      </c>
      <c r="BV15" s="2"/>
      <c r="BW15" s="26"/>
    </row>
    <row r="16" ht="12.7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305"/>
      <c r="AH16" s="305"/>
      <c r="AI16" s="305"/>
      <c r="AJ16" s="305"/>
      <c r="AK16" s="305"/>
      <c r="AL16" s="305"/>
      <c r="AM16" s="305"/>
      <c r="AN16" s="305"/>
      <c r="AO16" s="305"/>
      <c r="AP16" s="305"/>
      <c r="AQ16" s="305"/>
      <c r="AR16" s="305"/>
      <c r="AS16" s="305"/>
      <c r="AT16" s="305"/>
      <c r="AU16" s="305"/>
      <c r="AV16" s="305"/>
      <c r="AW16" s="305"/>
      <c r="AX16" s="305"/>
      <c r="AY16" s="305"/>
      <c r="AZ16" s="305"/>
      <c r="BA16" s="305"/>
      <c r="BB16" s="305"/>
      <c r="BC16" s="305"/>
      <c r="BD16" s="305"/>
      <c r="BE16" s="305"/>
      <c r="BF16" s="305"/>
      <c r="BG16" s="305"/>
      <c r="BH16" s="305"/>
      <c r="BI16" s="305"/>
      <c r="BJ16" s="305"/>
      <c r="BK16" s="305"/>
      <c r="BL16" s="305"/>
      <c r="BM16" s="305"/>
      <c r="BN16" s="305"/>
      <c r="BO16" s="305"/>
      <c r="BP16" s="305"/>
      <c r="BQ16" s="305"/>
      <c r="BR16" s="305"/>
      <c r="BS16" s="305"/>
      <c r="BT16" s="305"/>
      <c r="BU16" s="305"/>
      <c r="BV16" s="2"/>
      <c r="BW16" s="2"/>
    </row>
    <row r="17" ht="12.75" customHeight="1">
      <c r="A17" s="233" t="s">
        <v>333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305"/>
      <c r="AH17" s="305"/>
      <c r="AI17" s="305"/>
      <c r="AJ17" s="305"/>
      <c r="AK17" s="305"/>
      <c r="AL17" s="305"/>
      <c r="AM17" s="305"/>
      <c r="AN17" s="305"/>
      <c r="AO17" s="305"/>
      <c r="AP17" s="305"/>
      <c r="AQ17" s="305"/>
      <c r="AR17" s="305"/>
      <c r="AS17" s="305"/>
      <c r="AT17" s="305"/>
      <c r="AU17" s="305"/>
      <c r="AV17" s="305"/>
      <c r="AW17" s="305"/>
      <c r="AX17" s="305"/>
      <c r="AY17" s="305"/>
      <c r="AZ17" s="305"/>
      <c r="BA17" s="305"/>
      <c r="BB17" s="305"/>
      <c r="BC17" s="305"/>
      <c r="BD17" s="305"/>
      <c r="BE17" s="305"/>
      <c r="BF17" s="305"/>
      <c r="BG17" s="305"/>
      <c r="BH17" s="305"/>
      <c r="BI17" s="305"/>
      <c r="BJ17" s="305"/>
      <c r="BK17" s="305"/>
      <c r="BL17" s="305"/>
      <c r="BM17" s="305"/>
      <c r="BN17" s="305"/>
      <c r="BO17" s="305"/>
      <c r="BP17" s="305"/>
      <c r="BQ17" s="305"/>
      <c r="BR17" s="305"/>
      <c r="BS17" s="305"/>
      <c r="BT17" s="305"/>
      <c r="BU17" s="305"/>
      <c r="BV17" s="2"/>
      <c r="BW17" s="2"/>
    </row>
    <row r="18" ht="12.75" customHeight="1" outlineLevel="1">
      <c r="A18" s="26" t="s">
        <v>334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>
        <f>'Адм.затраты'!C16</f>
        <v>740.7407407</v>
      </c>
      <c r="V18" s="26">
        <f>'Адм.затраты'!D16</f>
        <v>740.7407407</v>
      </c>
      <c r="W18" s="26">
        <f>'Адм.затраты'!E16</f>
        <v>740.7407407</v>
      </c>
      <c r="X18" s="26">
        <f>'Адм.затраты'!F16</f>
        <v>740.7407407</v>
      </c>
      <c r="Y18" s="26">
        <f>'Адм.затраты'!G16</f>
        <v>740.7407407</v>
      </c>
      <c r="Z18" s="26">
        <f>'Адм.затраты'!H16</f>
        <v>740.7407407</v>
      </c>
      <c r="AA18" s="26">
        <f>'Адм.затраты'!I16</f>
        <v>740.7407407</v>
      </c>
      <c r="AB18" s="26">
        <f>'Адм.затраты'!J16</f>
        <v>740.7407407</v>
      </c>
      <c r="AC18" s="26">
        <f>'Адм.затраты'!K16</f>
        <v>740.7407407</v>
      </c>
      <c r="AD18" s="26">
        <f>'Адм.затраты'!L16</f>
        <v>740.7407407</v>
      </c>
      <c r="AE18" s="26">
        <f>'Адм.затраты'!M16</f>
        <v>740.7407407</v>
      </c>
      <c r="AF18" s="26">
        <f>'Адм.затраты'!N16</f>
        <v>740.7407407</v>
      </c>
      <c r="AG18" s="26">
        <f>'Адм.затраты'!O16</f>
        <v>8888.888889</v>
      </c>
      <c r="AH18" s="26">
        <f>'Адм.затраты'!P16</f>
        <v>740.7407407</v>
      </c>
      <c r="AI18" s="26">
        <f>'Адм.затраты'!Q16</f>
        <v>740.7407407</v>
      </c>
      <c r="AJ18" s="26">
        <f>'Адм.затраты'!R16</f>
        <v>740.7407407</v>
      </c>
      <c r="AK18" s="26">
        <f>'Адм.затраты'!S16</f>
        <v>740.7407407</v>
      </c>
      <c r="AL18" s="26">
        <f>'Адм.затраты'!T16</f>
        <v>740.7407407</v>
      </c>
      <c r="AM18" s="26">
        <f>'Адм.затраты'!U16</f>
        <v>740.7407407</v>
      </c>
      <c r="AN18" s="26">
        <f>'Адм.затраты'!V16</f>
        <v>740.7407407</v>
      </c>
      <c r="AO18" s="26">
        <f>'Адм.затраты'!W16</f>
        <v>740.7407407</v>
      </c>
      <c r="AP18" s="26">
        <f>'Адм.затраты'!X16</f>
        <v>740.7407407</v>
      </c>
      <c r="AQ18" s="26">
        <f>'Адм.затраты'!Y16</f>
        <v>740.7407407</v>
      </c>
      <c r="AR18" s="26">
        <f>'Адм.затраты'!Z16</f>
        <v>740.7407407</v>
      </c>
      <c r="AS18" s="26">
        <f>'Адм.затраты'!AA16</f>
        <v>740.7407407</v>
      </c>
      <c r="AT18" s="26">
        <f>'Адм.затраты'!AB16</f>
        <v>8888.888889</v>
      </c>
      <c r="AU18" s="26">
        <f>'Адм.затраты'!AC16</f>
        <v>740.7407407</v>
      </c>
      <c r="AV18" s="26">
        <f>'Адм.затраты'!AD16</f>
        <v>740.7407407</v>
      </c>
      <c r="AW18" s="26">
        <f>'Адм.затраты'!AE16</f>
        <v>740.7407407</v>
      </c>
      <c r="AX18" s="26">
        <f>'Адм.затраты'!AF16</f>
        <v>740.7407407</v>
      </c>
      <c r="AY18" s="26">
        <f>'Адм.затраты'!AG16</f>
        <v>740.7407407</v>
      </c>
      <c r="AZ18" s="26">
        <f>'Адм.затраты'!AH16</f>
        <v>740.7407407</v>
      </c>
      <c r="BA18" s="26">
        <f>'Адм.затраты'!AI16</f>
        <v>740.7407407</v>
      </c>
      <c r="BB18" s="26">
        <f>'Адм.затраты'!AJ16</f>
        <v>740.7407407</v>
      </c>
      <c r="BC18" s="26">
        <f>'Адм.затраты'!AK16</f>
        <v>740.7407407</v>
      </c>
      <c r="BD18" s="26">
        <f>'Адм.затраты'!AL16</f>
        <v>740.7407407</v>
      </c>
      <c r="BE18" s="26">
        <f>'Адм.затраты'!AM16</f>
        <v>740.7407407</v>
      </c>
      <c r="BF18" s="26">
        <f>'Адм.затраты'!AN16</f>
        <v>740.7407407</v>
      </c>
      <c r="BG18" s="26">
        <f>'Адм.затраты'!AO16</f>
        <v>8888.888889</v>
      </c>
      <c r="BH18" s="26">
        <f>'Адм.затраты'!AP16</f>
        <v>8888.888889</v>
      </c>
      <c r="BI18" s="26">
        <f>'Адм.затраты'!AQ16</f>
        <v>8888.888889</v>
      </c>
      <c r="BJ18" s="26">
        <f>'Адм.затраты'!AR16</f>
        <v>8888.888889</v>
      </c>
      <c r="BK18" s="26">
        <f>'Адм.затраты'!AS16</f>
        <v>8888.888889</v>
      </c>
      <c r="BL18" s="26">
        <f>'Адм.затраты'!AT16</f>
        <v>8888.888889</v>
      </c>
      <c r="BM18" s="26">
        <f>'Адм.затраты'!AU16</f>
        <v>8888.888889</v>
      </c>
      <c r="BN18" s="26">
        <f>'Адм.затраты'!AV16</f>
        <v>8888.888889</v>
      </c>
      <c r="BO18" s="26">
        <f>'Адм.затраты'!AW16</f>
        <v>8888.888889</v>
      </c>
      <c r="BP18" s="26">
        <f>'Адм.затраты'!AX16</f>
        <v>8888.888889</v>
      </c>
      <c r="BQ18" s="26">
        <f>'Адм.затраты'!AY16</f>
        <v>8888.888889</v>
      </c>
      <c r="BR18" s="26">
        <f>'Адм.затраты'!AZ16</f>
        <v>8888.888889</v>
      </c>
      <c r="BS18" s="26">
        <f>'Адм.затраты'!BA16</f>
        <v>8888.888889</v>
      </c>
      <c r="BT18" s="26">
        <f>'Адм.затраты'!BB16</f>
        <v>8888.888889</v>
      </c>
      <c r="BU18" s="26">
        <f>'Адм.затраты'!BC16</f>
        <v>8888.888889</v>
      </c>
      <c r="BV18" s="2"/>
      <c r="BW18" s="26"/>
    </row>
    <row r="19" ht="12.75" customHeight="1" outlineLevel="1">
      <c r="A19" s="26" t="s">
        <v>335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>
        <f>('Адм.затраты'!C10+'Адм.затраты'!C11+'Адм.затраты'!C12+'Адм.затраты'!C20+'Адм.затраты'!C22+'Адм.затраты'!C23+'Произв.затраты'!C9+'Произв.затраты'!C10+'Произв.затраты'!C14+'Произв.затраты'!C15+'Произв.затраты'!C16)*(1+U5)</f>
        <v>4624.165282</v>
      </c>
      <c r="V19" s="26">
        <f>('Адм.затраты'!D10+'Адм.затраты'!D11+'Адм.затраты'!D12+'Адм.затраты'!D20+'Адм.затраты'!D22+'Адм.затраты'!D23+'Произв.затраты'!D9+'Произв.затраты'!D10+'Произв.затраты'!D14+'Произв.затраты'!D15+'Произв.затраты'!D16)*(1+V5)</f>
        <v>4574.428772</v>
      </c>
      <c r="W19" s="26">
        <f>('Адм.затраты'!E10+'Адм.затраты'!E11+'Адм.затраты'!E12+'Адм.затраты'!E20+'Адм.затраты'!E22+'Адм.затраты'!E23+'Произв.затраты'!E9+'Произв.затраты'!E10+'Произв.затраты'!E14+'Произв.затраты'!E15+'Произв.затраты'!E16)*(1+W5)</f>
        <v>4909.694097</v>
      </c>
      <c r="X19" s="26">
        <f>('Адм.затраты'!F10+'Адм.затраты'!F11+'Адм.затраты'!F12+'Адм.затраты'!F20+'Адм.затраты'!F22+'Адм.затраты'!F23+'Произв.затраты'!F9+'Произв.затраты'!F10+'Произв.затраты'!F14+'Произв.затраты'!F15+'Произв.затраты'!F16)*(1+X5)</f>
        <v>4531.371405</v>
      </c>
      <c r="Y19" s="26">
        <f>('Адм.затраты'!G10+'Адм.затраты'!G11+'Адм.затраты'!G12+'Адм.затраты'!G20+'Адм.затраты'!G22+'Адм.затраты'!G23+'Произв.затраты'!G9+'Произв.затраты'!G10+'Произв.затраты'!G14+'Произв.затраты'!G15+'Произв.затраты'!G16)*(1+Y5)</f>
        <v>5223.58472</v>
      </c>
      <c r="Z19" s="26">
        <f>('Адм.затраты'!H10+'Адм.затраты'!H11+'Адм.затраты'!H12+'Адм.затраты'!H20+'Адм.затраты'!H22+'Адм.затраты'!H23+'Произв.затраты'!H9+'Произв.затраты'!H10+'Произв.затраты'!H14+'Произв.затраты'!H15+'Произв.затраты'!H16)*(1+Z5)</f>
        <v>5378.231837</v>
      </c>
      <c r="AA19" s="26">
        <f>('Адм.затраты'!I10+'Адм.затраты'!I11+'Адм.затраты'!I12+'Адм.затраты'!I20+'Адм.затраты'!I22+'Адм.затраты'!I23+'Произв.затраты'!I9+'Произв.затраты'!I10+'Произв.затраты'!I14+'Произв.затраты'!I15+'Произв.затраты'!I16)*(1+AA5)</f>
        <v>5720.632931</v>
      </c>
      <c r="AB19" s="26">
        <f>('Адм.затраты'!J10+'Адм.затраты'!J11+'Адм.затраты'!J12+'Адм.затраты'!J20+'Адм.затраты'!J22+'Адм.затраты'!J23+'Произв.затраты'!J9+'Произв.затраты'!J10+'Произв.затраты'!J14+'Произв.затраты'!J15+'Произв.затраты'!J16)*(1+AB5)</f>
        <v>5720.632931</v>
      </c>
      <c r="AC19" s="26">
        <f>('Адм.затраты'!K10+'Адм.затраты'!K11+'Адм.затраты'!K12+'Адм.затраты'!K20+'Адм.затраты'!K22+'Адм.затраты'!K23+'Произв.затраты'!K9+'Произв.затраты'!K10+'Произв.затраты'!K14+'Произв.затраты'!K15+'Произв.затраты'!K16)*(1+AC5)</f>
        <v>5419.43896</v>
      </c>
      <c r="AD19" s="26">
        <f>('Адм.затраты'!L10+'Адм.затраты'!L11+'Адм.затраты'!L12+'Адм.затраты'!L20+'Адм.затраты'!L22+'Адм.затраты'!L23+'Произв.затраты'!L9+'Произв.затраты'!L10+'Произв.затраты'!L14+'Произв.затраты'!L15+'Произв.затраты'!L16)*(1+AD5)</f>
        <v>5160.918521</v>
      </c>
      <c r="AE19" s="26">
        <f>('Адм.затраты'!M10+'Адм.затраты'!M11+'Адм.затраты'!M12+'Адм.затраты'!M20+'Адм.затраты'!M22+'Адм.затраты'!M23+'Произв.затраты'!M9+'Произв.затраты'!M10+'Произв.затраты'!M14+'Произв.затраты'!M15+'Произв.затраты'!M16)*(1+AE5)</f>
        <v>4908.096716</v>
      </c>
      <c r="AF19" s="26">
        <f>('Адм.затраты'!N10+'Адм.затраты'!N11+'Адм.затраты'!N12+'Адм.затраты'!N20+'Адм.затраты'!N22+'Адм.затраты'!N23+'Произв.затраты'!N9+'Произв.затраты'!N10+'Произв.затраты'!N14+'Произв.затраты'!N15+'Произв.затраты'!N16)*(1+AF5)</f>
        <v>4699.983191</v>
      </c>
      <c r="AG19" s="26">
        <f>('Адм.затраты'!O10+'Адм.затраты'!O11+'Адм.затраты'!O12+'Адм.затраты'!O20+'Адм.затраты'!O22+'Адм.затраты'!O23+'Произв.затраты'!O9+'Произв.затраты'!O10+'Произв.затраты'!O14+'Произв.затраты'!O15+'Произв.затраты'!O16)*(1+AG5)</f>
        <v>60871.17936</v>
      </c>
      <c r="AH19" s="26">
        <f>('Адм.затраты'!P10+'Адм.затраты'!P11+'Адм.затраты'!P12+'Адм.затраты'!P20+'Адм.затраты'!P22+'Адм.затраты'!P23+'Произв.затраты'!P9+'Произв.затраты'!P10+'Произв.затраты'!P14+'Произв.затраты'!P15+'Произв.затраты'!P16)*(1+AH5)</f>
        <v>5162.164049</v>
      </c>
      <c r="AI19" s="26">
        <f>('Адм.затраты'!Q10+'Адм.затраты'!Q11+'Адм.затраты'!Q12+'Адм.затраты'!Q20+'Адм.затраты'!Q22+'Адм.затраты'!Q23+'Произв.затраты'!Q9+'Произв.затраты'!Q10+'Произв.затраты'!Q14+'Произв.затраты'!Q15+'Произв.затраты'!Q16)*(1+AI5)</f>
        <v>5107.066245</v>
      </c>
      <c r="AJ19" s="26">
        <f>('Адм.затраты'!R10+'Адм.затраты'!R11+'Адм.затраты'!R12+'Адм.затраты'!R20+'Адм.затраты'!R22+'Адм.затраты'!R23+'Произв.затраты'!R9+'Произв.затраты'!R10+'Произв.затраты'!R14+'Произв.затраты'!R15+'Произв.затраты'!R16)*(1+AJ5)</f>
        <v>5480.089182</v>
      </c>
      <c r="AK19" s="26">
        <f>('Адм.затраты'!S10+'Адм.затраты'!S11+'Адм.затраты'!S12+'Адм.затраты'!S20+'Адм.затраты'!S22+'Адм.затраты'!S23+'Произв.затраты'!S9+'Произв.затраты'!S10+'Произв.затраты'!S14+'Произв.затраты'!S15+'Произв.затраты'!S16)*(1+AK5)</f>
        <v>5059.159754</v>
      </c>
      <c r="AL19" s="26">
        <f>('Адм.затраты'!T10+'Адм.затраты'!T11+'Адм.затраты'!T12+'Адм.затраты'!T20+'Адм.затраты'!T22+'Адм.затраты'!T23+'Произв.затраты'!T9+'Произв.затраты'!T10+'Произв.затраты'!T14+'Произв.затраты'!T15+'Произв.затраты'!T16)*(1+AL5)</f>
        <v>5829.330197</v>
      </c>
      <c r="AM19" s="26">
        <f>('Адм.затраты'!U10+'Адм.затраты'!U11+'Адм.затраты'!U12+'Адм.затраты'!U20+'Адм.затраты'!U22+'Адм.затраты'!U23+'Произв.затраты'!U9+'Произв.затраты'!U10+'Произв.затраты'!U14+'Произв.затраты'!U15+'Произв.затраты'!U16)*(1+AM5)</f>
        <v>6001.393686</v>
      </c>
      <c r="AN19" s="26">
        <f>('Адм.затраты'!V10+'Адм.затраты'!V11+'Адм.затраты'!V12+'Адм.затраты'!V20+'Адм.затраты'!V22+'Адм.затраты'!V23+'Произв.затраты'!V9+'Произв.затраты'!V10+'Произв.затраты'!V14+'Произв.затраты'!V15+'Произв.затраты'!V16)*(1+AN5)</f>
        <v>6382.356023</v>
      </c>
      <c r="AO19" s="26">
        <f>('Адм.затраты'!W10+'Адм.затраты'!W11+'Адм.затраты'!W12+'Адм.затраты'!W20+'Адм.затраты'!W22+'Адм.затраты'!W23+'Произв.затраты'!W9+'Произв.затраты'!W10+'Произв.затраты'!W14+'Произв.затраты'!W15+'Произв.затраты'!W16)*(1+AO5)</f>
        <v>6382.356023</v>
      </c>
      <c r="AP19" s="26">
        <f>('Адм.затраты'!X10+'Адм.затраты'!X11+'Адм.затраты'!X12+'Адм.затраты'!X20+'Адм.затраты'!X22+'Адм.затраты'!X23+'Произв.затраты'!X9+'Произв.затраты'!X10+'Произв.затраты'!X14+'Произв.затраты'!X15+'Произв.затраты'!X16)*(1+AP5)</f>
        <v>6047.241559</v>
      </c>
      <c r="AQ19" s="26">
        <f>('Адм.затраты'!Y10+'Адм.затраты'!Y11+'Адм.затраты'!Y12+'Адм.затраты'!Y20+'Адм.затраты'!Y22+'Адм.затраты'!Y23+'Произв.затраты'!Y9+'Произв.затраты'!Y10+'Произв.затраты'!Y14+'Произв.затраты'!Y15+'Произв.затраты'!Y16)*(1+AQ5)</f>
        <v>5759.606524</v>
      </c>
      <c r="AR19" s="26">
        <f>('Адм.затраты'!Z10+'Адм.затраты'!Z11+'Адм.затраты'!Z12+'Адм.затраты'!Z20+'Адм.затраты'!Z22+'Адм.затраты'!Z23+'Произв.затраты'!Z9+'Произв.затраты'!Z10+'Произв.затраты'!Z14+'Произв.затраты'!Z15+'Произв.затраты'!Z16)*(1+AR5)</f>
        <v>5478.311904</v>
      </c>
      <c r="AS19" s="26">
        <f>('Адм.затраты'!AA10+'Адм.затраты'!AA11+'Адм.затраты'!AA12+'Адм.затраты'!AA20+'Адм.затраты'!AA22+'Адм.затраты'!AA23+'Произв.затраты'!AA9+'Произв.затраты'!AA10+'Произв.затраты'!AA14+'Произв.затраты'!AA15+'Произв.затраты'!AA16)*(1+AS5)</f>
        <v>5246.760615</v>
      </c>
      <c r="AT19" s="26">
        <f>('Адм.затраты'!AB10+'Адм.затраты'!AB11+'Адм.затраты'!AB12+'Адм.затраты'!AB20+'Адм.затраты'!AB22+'Адм.затраты'!AB23+'Произв.затраты'!AB9+'Произв.затраты'!AB10+'Произв.затраты'!AB14+'Произв.затраты'!AB15+'Произв.затраты'!AB16)*(1+AT5)</f>
        <v>67935.83576</v>
      </c>
      <c r="AU19" s="26">
        <f>('Адм.затраты'!AC10+'Адм.затраты'!AC11+'Адм.затраты'!AC12+'Адм.затраты'!AC20+'Адм.затраты'!AC22+'Адм.затраты'!AC23+'Произв.затраты'!AC9+'Произв.затраты'!AC10+'Произв.затраты'!AC14+'Произв.затраты'!AC15+'Произв.затраты'!AC16)*(1+AU5)</f>
        <v>5762.808843</v>
      </c>
      <c r="AV19" s="26">
        <f>('Адм.затраты'!AD10+'Адм.затраты'!AD11+'Адм.затраты'!AD12+'Адм.затраты'!AD20+'Адм.затраты'!AD22+'Адм.затраты'!AD23+'Произв.затраты'!AD9+'Произв.затраты'!AD10+'Произв.затраты'!AD14+'Произв.затраты'!AD15+'Произв.затраты'!AD16)*(1+AV5)</f>
        <v>5701.767805</v>
      </c>
      <c r="AW19" s="26">
        <f>('Адм.затраты'!AE10+'Адм.затраты'!AE11+'Адм.затраты'!AE12+'Адм.затраты'!AE20+'Адм.затраты'!AE22+'Адм.затраты'!AE23+'Произв.затраты'!AE9+'Произв.затраты'!AE10+'Произв.затраты'!AE14+'Произв.затраты'!AE15+'Произв.затраты'!AE16)*(1+AW5)</f>
        <v>6116.82062</v>
      </c>
      <c r="AX19" s="26">
        <f>('Адм.затраты'!AF10+'Адм.затраты'!AF11+'Адм.затраты'!AF12+'Адм.затраты'!AF20+'Адм.затраты'!AF22+'Адм.затраты'!AF23+'Произв.затраты'!AF9+'Произв.затраты'!AF10+'Произв.затраты'!AF14+'Произв.затраты'!AF15+'Произв.затраты'!AF16)*(1+AX5)</f>
        <v>5648.463512</v>
      </c>
      <c r="AY19" s="26">
        <f>('Адм.затраты'!AG10+'Адм.затраты'!AG11+'Адм.затраты'!AG12+'Адм.затраты'!AG20+'Адм.затраты'!AG22+'Адм.затраты'!AG23+'Произв.затраты'!AG9+'Произв.затраты'!AG10+'Произв.затраты'!AG14+'Произв.затраты'!AG15+'Произв.затраты'!AG16)*(1+AY5)</f>
        <v>6505.411915</v>
      </c>
      <c r="AZ19" s="26">
        <f>('Адм.затраты'!AH10+'Адм.затраты'!AH11+'Адм.затраты'!AH12+'Адм.затраты'!AH20+'Адм.затраты'!AH22+'Адм.затраты'!AH23+'Произв.затраты'!AH9+'Произв.затраты'!AH10+'Произв.затраты'!AH14+'Произв.затраты'!AH15+'Произв.затраты'!AH16)*(1+AZ5)</f>
        <v>6696.862436</v>
      </c>
      <c r="BA19" s="26">
        <f>('Адм.затраты'!AI10+'Адм.затраты'!AI11+'Адм.затраты'!AI12+'Адм.затраты'!AI20+'Адм.затраты'!AI22+'Адм.затраты'!AI23+'Произв.затраты'!AI9+'Произв.затраты'!AI10+'Произв.затраты'!AI14+'Произв.затраты'!AI15+'Произв.затраты'!AI16)*(1+BA5)</f>
        <v>7120.749212</v>
      </c>
      <c r="BB19" s="26">
        <f>('Адм.затраты'!AJ10+'Адм.затраты'!AJ11+'Адм.затраты'!AJ12+'Адм.затраты'!AJ20+'Адм.затраты'!AJ22+'Адм.затраты'!AJ23+'Произв.затраты'!AJ9+'Произв.затраты'!AJ10+'Произв.затраты'!AJ14+'Произв.затраты'!AJ15+'Произв.затраты'!AJ16)*(1+BB5)</f>
        <v>7120.749212</v>
      </c>
      <c r="BC19" s="26">
        <f>('Адм.затраты'!AK10+'Адм.затраты'!AK11+'Адм.затраты'!AK12+'Адм.затраты'!AK20+'Адм.затраты'!AK22+'Адм.затраты'!AK23+'Произв.затраты'!AK9+'Произв.затраты'!AK10+'Произв.затраты'!AK14+'Произв.затраты'!AK15+'Произв.затраты'!AK16)*(1+BC5)</f>
        <v>6747.876158</v>
      </c>
      <c r="BD19" s="26">
        <f>('Адм.затраты'!AL10+'Адм.затраты'!AL11+'Адм.затраты'!AL12+'Адм.затраты'!AL20+'Адм.затраты'!AL22+'Адм.затраты'!AL23+'Произв.затраты'!AL9+'Произв.затраты'!AL10+'Произв.затраты'!AL14+'Произв.затраты'!AL15+'Произв.затраты'!AL16)*(1+BD5)</f>
        <v>6427.832217</v>
      </c>
      <c r="BE19" s="26">
        <f>('Адм.затраты'!AM10+'Адм.затраты'!AM11+'Адм.затраты'!AM12+'Адм.затраты'!AM20+'Адм.затраты'!AM22+'Адм.затраты'!AM23+'Произв.затраты'!AM9+'Произв.затраты'!AM10+'Произв.затраты'!AM14+'Произв.затраты'!AM15+'Произв.затраты'!AM16)*(1+BE5)</f>
        <v>6114.843089</v>
      </c>
      <c r="BF19" s="26">
        <f>('Адм.затраты'!AN10+'Адм.затраты'!AN11+'Адм.затраты'!AN12+'Адм.затраты'!AN20+'Адм.затраты'!AN22+'Адм.затраты'!AN23+'Произв.затраты'!AN9+'Произв.затраты'!AN10+'Произв.затраты'!AN14+'Произв.затраты'!AN15+'Произв.затраты'!AN16)*(1+BF5)</f>
        <v>5857.202057</v>
      </c>
      <c r="BG19" s="26">
        <f>('Адм.затраты'!AO10+'Адм.затраты'!AO11+'Адм.затраты'!AO12+'Адм.затраты'!AO20+'Адм.затраты'!AO22+'Адм.затраты'!AO23+'Произв.затраты'!AO9+'Произв.затраты'!AO10+'Произв.затраты'!AO14+'Произв.затраты'!AO15+'Произв.затраты'!AO16)*(1+BG5)</f>
        <v>75821.38707</v>
      </c>
      <c r="BH19" s="26">
        <f>('Адм.затраты'!AP10+'Адм.затраты'!AP11+'Адм.затраты'!AP12+'Адм.затраты'!AP20+'Адм.затраты'!AP22+'Адм.затраты'!AP23+'Произв.затраты'!AP9+'Произв.затраты'!AP10+'Произв.затраты'!AP14+'Произв.затраты'!AP15+'Произв.затраты'!AP16)*(1+BH5)</f>
        <v>84623.31668</v>
      </c>
      <c r="BI19" s="26">
        <f>('Адм.затраты'!AQ10+'Адм.затраты'!AQ11+'Адм.затраты'!AQ12+'Адм.затраты'!AQ20+'Адм.затраты'!AQ22+'Адм.затраты'!AQ23+'Произв.затраты'!AQ9+'Произв.затраты'!AQ10+'Произв.затраты'!AQ14+'Произв.затраты'!AQ15+'Произв.затраты'!AQ16)*(1+BI5)</f>
        <v>94448.22396</v>
      </c>
      <c r="BJ19" s="26">
        <f>('Адм.затраты'!AR10+'Адм.затраты'!AR11+'Адм.затраты'!AR12+'Адм.затраты'!AR20+'Адм.затраты'!AR22+'Адм.затраты'!AR23+'Произв.затраты'!AR9+'Произв.затраты'!AR10+'Произв.затраты'!AR14+'Произв.затраты'!AR15+'Произв.затраты'!AR16)*(1+BJ5)</f>
        <v>105415.1193</v>
      </c>
      <c r="BK19" s="26">
        <f>('Адм.затраты'!AS10+'Адм.затраты'!AS11+'Адм.затраты'!AS12+'Адм.затраты'!AS20+'Адм.затраты'!AS22+'Адм.затраты'!AS23+'Произв.затраты'!AS9+'Произв.затраты'!AS10+'Произв.затраты'!AS14+'Произв.затраты'!AS15+'Произв.затраты'!AS16)*(1+BK5)</f>
        <v>117656.8703</v>
      </c>
      <c r="BL19" s="26">
        <f>('Адм.затраты'!AT10+'Адм.затраты'!AT11+'Адм.затраты'!AT12+'Адм.затраты'!AT20+'Адм.затраты'!AT22+'Адм.затраты'!AT23+'Произв.затраты'!AT9+'Произв.затраты'!AT10+'Произв.затраты'!AT14+'Произв.затраты'!AT15+'Произв.затраты'!AT16)*(1+BL5)</f>
        <v>131321.8162</v>
      </c>
      <c r="BM19" s="26">
        <f>('Адм.затраты'!AU10+'Адм.затраты'!AU11+'Адм.затраты'!AU12+'Адм.затраты'!AU20+'Адм.затраты'!AU22+'Адм.затраты'!AU23+'Произв.затраты'!AU9+'Произв.затраты'!AU10+'Произв.затраты'!AU14+'Произв.затраты'!AU15+'Произв.затраты'!AU16)*(1+BM5)</f>
        <v>146575.5709</v>
      </c>
      <c r="BN19" s="26">
        <f>('Адм.затраты'!AV10+'Адм.затраты'!AV11+'Адм.затраты'!AV12+'Адм.затраты'!AV20+'Адм.затраты'!AV22+'Адм.затраты'!AV23+'Произв.затраты'!AV9+'Произв.затраты'!AV10+'Произв.затраты'!AV14+'Произв.затраты'!AV15+'Произв.затраты'!AV16)*(1+BN5)</f>
        <v>163603.036</v>
      </c>
      <c r="BO19" s="26">
        <f>('Адм.затраты'!AW10+'Адм.затраты'!AW11+'Адм.затраты'!AW12+'Адм.затраты'!AW20+'Адм.затраты'!AW22+'Адм.затраты'!AW23+'Произв.затраты'!AW9+'Произв.затраты'!AW10+'Произв.затраты'!AW14+'Произв.затраты'!AW15+'Произв.затраты'!AW16)*(1+BO5)</f>
        <v>182610.6487</v>
      </c>
      <c r="BP19" s="26">
        <f>('Адм.затраты'!AX10+'Адм.затраты'!AX11+'Адм.затраты'!AX12+'Адм.затраты'!AX20+'Адм.затраты'!AX22+'Адм.затраты'!AX23+'Произв.затраты'!AX9+'Произв.затраты'!AX10+'Произв.затраты'!AX14+'Произв.затраты'!AX15+'Произв.затраты'!AX16)*(1+BP5)</f>
        <v>203828.8917</v>
      </c>
      <c r="BQ19" s="26">
        <f>('Адм.затраты'!AY10+'Адм.затраты'!AY11+'Адм.затраты'!AY12+'Адм.затраты'!AY20+'Адм.затраты'!AY22+'Адм.затраты'!AY23+'Произв.затраты'!AY9+'Произв.затраты'!AY10+'Произв.затраты'!AY14+'Произв.затраты'!AY15+'Произв.затраты'!AY16)*(1+BQ5)</f>
        <v>227515.0962</v>
      </c>
      <c r="BR19" s="26">
        <f>('Адм.затраты'!AZ10+'Адм.затраты'!AZ11+'Адм.затраты'!AZ12+'Адм.затраты'!AZ20+'Адм.затраты'!AZ22+'Адм.затраты'!AZ23+'Произв.затраты'!AZ9+'Произв.затраты'!AZ10+'Произв.затраты'!AZ14+'Произв.затраты'!AZ15+'Произв.затраты'!AZ16)*(1+BR5)</f>
        <v>253956.5707</v>
      </c>
      <c r="BS19" s="26">
        <f>('Адм.затраты'!BA10+'Адм.затраты'!BA11+'Адм.затраты'!BA12+'Адм.затраты'!BA20+'Адм.затраты'!BA22+'Адм.затраты'!BA23+'Произв.затраты'!BA9+'Произв.затраты'!BA10+'Произв.затраты'!BA14+'Произв.затраты'!BA15+'Произв.затраты'!BA16)*(1+BS5)</f>
        <v>283474.0964</v>
      </c>
      <c r="BT19" s="26">
        <f>('Адм.затраты'!BB10+'Адм.затраты'!BB11+'Адм.затраты'!BB12+'Адм.затраты'!BB20+'Адм.затраты'!BB22+'Адм.затраты'!BB23+'Произв.затраты'!BB9+'Произв.затраты'!BB10+'Произв.затраты'!BB14+'Произв.затраты'!BB15+'Произв.затраты'!BB16)*(1+BT5)</f>
        <v>316425.8286</v>
      </c>
      <c r="BU19" s="26">
        <f>('Адм.затраты'!BC10+'Адм.затраты'!BC11+'Адм.затраты'!BC12+'Адм.затраты'!BC20+'Адм.затраты'!BC22+'Адм.затраты'!BC23+'Произв.затраты'!BC9+'Произв.затраты'!BC10+'Произв.затраты'!BC14+'Произв.затраты'!BC15+'Произв.затраты'!BC16)*(1+BU5)</f>
        <v>353211.6546</v>
      </c>
      <c r="BV19" s="2"/>
      <c r="BW19" s="26"/>
    </row>
    <row r="20" ht="12.75" customHeight="1" outlineLevel="2">
      <c r="A20" s="26" t="s">
        <v>336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"/>
      <c r="BW20" s="26"/>
    </row>
    <row r="21" ht="12.75" customHeight="1" outlineLevel="1">
      <c r="A21" s="26" t="s">
        <v>337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>
        <f>'Адм.затраты'!C19+'Адм.затраты'!C21+'Адм.затраты'!C15</f>
        <v>191.6666667</v>
      </c>
      <c r="V21" s="26">
        <f>'Адм.затраты'!D19+'Адм.затраты'!D21+'Адм.затраты'!D15</f>
        <v>191.6666667</v>
      </c>
      <c r="W21" s="26">
        <f>'Адм.затраты'!E19+'Адм.затраты'!E21+'Адм.затраты'!E15</f>
        <v>191.6666667</v>
      </c>
      <c r="X21" s="26">
        <f>'Адм.затраты'!F19+'Адм.затраты'!F21+'Адм.затраты'!F15</f>
        <v>191.6666667</v>
      </c>
      <c r="Y21" s="26">
        <f>'Адм.затраты'!G19+'Адм.затраты'!G21+'Адм.затраты'!G15</f>
        <v>191.6666667</v>
      </c>
      <c r="Z21" s="26">
        <f>'Адм.затраты'!H19+'Адм.затраты'!H21+'Адм.затраты'!H15</f>
        <v>191.6666667</v>
      </c>
      <c r="AA21" s="26">
        <f>'Адм.затраты'!I19+'Адм.затраты'!I21+'Адм.затраты'!I15</f>
        <v>191.6666667</v>
      </c>
      <c r="AB21" s="26">
        <f>'Адм.затраты'!J19+'Адм.затраты'!J21+'Адм.затраты'!J15</f>
        <v>191.6666667</v>
      </c>
      <c r="AC21" s="26">
        <f>'Адм.затраты'!K19+'Адм.затраты'!K21+'Адм.затраты'!K15</f>
        <v>191.6666667</v>
      </c>
      <c r="AD21" s="26">
        <f>'Адм.затраты'!L19+'Адм.затраты'!L21+'Адм.затраты'!L15</f>
        <v>191.6666667</v>
      </c>
      <c r="AE21" s="26">
        <f>'Адм.затраты'!M19+'Адм.затраты'!M21+'Адм.затраты'!M15</f>
        <v>191.6666667</v>
      </c>
      <c r="AF21" s="26">
        <f>'Адм.затраты'!N19+'Адм.затраты'!N21+'Адм.затраты'!N15</f>
        <v>191.6666667</v>
      </c>
      <c r="AG21" s="26">
        <f>'Адм.затраты'!O19+'Адм.затраты'!O21+'Адм.затраты'!O15</f>
        <v>2300</v>
      </c>
      <c r="AH21" s="26">
        <f>'Адм.затраты'!P19+'Адм.затраты'!P21+'Адм.затраты'!P15</f>
        <v>201.4166667</v>
      </c>
      <c r="AI21" s="26">
        <f>'Адм.затраты'!Q19+'Адм.затраты'!Q21+'Адм.затраты'!Q15</f>
        <v>201.4166667</v>
      </c>
      <c r="AJ21" s="26">
        <f>'Адм.затраты'!R19+'Адм.затраты'!R21+'Адм.затраты'!R15</f>
        <v>201.4166667</v>
      </c>
      <c r="AK21" s="26">
        <f>'Адм.затраты'!S19+'Адм.затраты'!S21+'Адм.затраты'!S15</f>
        <v>201.4166667</v>
      </c>
      <c r="AL21" s="26">
        <f>'Адм.затраты'!T19+'Адм.затраты'!T21+'Адм.затраты'!T15</f>
        <v>201.4166667</v>
      </c>
      <c r="AM21" s="26">
        <f>'Адм.затраты'!U19+'Адм.затраты'!U21+'Адм.затраты'!U15</f>
        <v>201.4166667</v>
      </c>
      <c r="AN21" s="26">
        <f>'Адм.затраты'!V19+'Адм.затраты'!V21+'Адм.затраты'!V15</f>
        <v>201.4166667</v>
      </c>
      <c r="AO21" s="26">
        <f>'Адм.затраты'!W19+'Адм.затраты'!W21+'Адм.затраты'!W15</f>
        <v>201.4166667</v>
      </c>
      <c r="AP21" s="26">
        <f>'Адм.затраты'!X19+'Адм.затраты'!X21+'Адм.затраты'!X15</f>
        <v>201.4166667</v>
      </c>
      <c r="AQ21" s="26">
        <f>'Адм.затраты'!Y19+'Адм.затраты'!Y21+'Адм.затраты'!Y15</f>
        <v>201.4166667</v>
      </c>
      <c r="AR21" s="26">
        <f>'Адм.затраты'!Z19+'Адм.затраты'!Z21+'Адм.затраты'!Z15</f>
        <v>201.4166667</v>
      </c>
      <c r="AS21" s="26">
        <f>'Адм.затраты'!AA19+'Адм.затраты'!AA21+'Адм.затраты'!AA15</f>
        <v>201.4166667</v>
      </c>
      <c r="AT21" s="26">
        <f>'Адм.затраты'!AB19+'Адм.затраты'!AB21+'Адм.затраты'!AB15</f>
        <v>2417</v>
      </c>
      <c r="AU21" s="26">
        <f>'Адм.затраты'!AC19+'Адм.затраты'!AC21+'Адм.затраты'!AC15</f>
        <v>212.3074167</v>
      </c>
      <c r="AV21" s="26">
        <f>'Адм.затраты'!AD19+'Адм.затраты'!AD21+'Адм.затраты'!AD15</f>
        <v>212.3074167</v>
      </c>
      <c r="AW21" s="26">
        <f>'Адм.затраты'!AE19+'Адм.затраты'!AE21+'Адм.затраты'!AE15</f>
        <v>212.3074167</v>
      </c>
      <c r="AX21" s="26">
        <f>'Адм.затраты'!AF19+'Адм.затраты'!AF21+'Адм.затраты'!AF15</f>
        <v>212.3074167</v>
      </c>
      <c r="AY21" s="26">
        <f>'Адм.затраты'!AG19+'Адм.затраты'!AG21+'Адм.затраты'!AG15</f>
        <v>212.3074167</v>
      </c>
      <c r="AZ21" s="26">
        <f>'Адм.затраты'!AH19+'Адм.затраты'!AH21+'Адм.затраты'!AH15</f>
        <v>212.3074167</v>
      </c>
      <c r="BA21" s="26">
        <f>'Адм.затраты'!AI19+'Адм.затраты'!AI21+'Адм.затраты'!AI15</f>
        <v>212.3074167</v>
      </c>
      <c r="BB21" s="26">
        <f>'Адм.затраты'!AJ19+'Адм.затраты'!AJ21+'Адм.затраты'!AJ15</f>
        <v>212.3074167</v>
      </c>
      <c r="BC21" s="26">
        <f>'Адм.затраты'!AK19+'Адм.затраты'!AK21+'Адм.затраты'!AK15</f>
        <v>212.3074167</v>
      </c>
      <c r="BD21" s="26">
        <f>'Адм.затраты'!AL19+'Адм.затраты'!AL21+'Адм.затраты'!AL15</f>
        <v>212.3074167</v>
      </c>
      <c r="BE21" s="26">
        <f>'Адм.затраты'!AM19+'Адм.затраты'!AM21+'Адм.затраты'!AM15</f>
        <v>212.3074167</v>
      </c>
      <c r="BF21" s="26">
        <f>'Адм.затраты'!AN19+'Адм.затраты'!AN21+'Адм.затраты'!AN15</f>
        <v>212.3074167</v>
      </c>
      <c r="BG21" s="26">
        <f>'Адм.затраты'!AO19+'Адм.затраты'!AO21+'Адм.затраты'!AO15</f>
        <v>2547.689</v>
      </c>
      <c r="BH21" s="26">
        <f>'Адм.затраты'!AP19+'Адм.затраты'!AP21+'Адм.затраты'!AP15</f>
        <v>2693.668613</v>
      </c>
      <c r="BI21" s="26">
        <f>'Адм.затраты'!AQ19+'Адм.затраты'!AQ21+'Адм.затраты'!AQ15</f>
        <v>2856.727841</v>
      </c>
      <c r="BJ21" s="26">
        <f>'Адм.затраты'!AR19+'Адм.затраты'!AR21+'Адм.затраты'!AR15</f>
        <v>3038.864998</v>
      </c>
      <c r="BK21" s="26">
        <f>'Адм.затраты'!AS19+'Адм.затраты'!AS21+'Адм.затраты'!AS15</f>
        <v>3242.312203</v>
      </c>
      <c r="BL21" s="26">
        <f>'Адм.затраты'!AT19+'Адм.затраты'!AT21+'Адм.затраты'!AT15</f>
        <v>3469.562731</v>
      </c>
      <c r="BM21" s="26">
        <f>'Адм.затраты'!AU19+'Адм.затраты'!AU21+'Адм.затраты'!AU15</f>
        <v>3723.40157</v>
      </c>
      <c r="BN21" s="26">
        <f>'Адм.затраты'!AV19+'Адм.затраты'!AV21+'Адм.затраты'!AV15</f>
        <v>4006.939554</v>
      </c>
      <c r="BO21" s="26">
        <f>'Адм.затраты'!AW19+'Адм.затраты'!AW21+'Адм.затраты'!AW15</f>
        <v>4323.651482</v>
      </c>
      <c r="BP21" s="26">
        <f>'Адм.затраты'!AX19+'Адм.затраты'!AX21+'Адм.затраты'!AX15</f>
        <v>4677.418705</v>
      </c>
      <c r="BQ21" s="26">
        <f>'Адм.затраты'!AY19+'Адм.затраты'!AY21+'Адм.затраты'!AY15</f>
        <v>5072.576693</v>
      </c>
      <c r="BR21" s="26">
        <f>'Адм.затраты'!AZ19+'Адм.затраты'!AZ21+'Адм.затраты'!AZ15</f>
        <v>5513.968167</v>
      </c>
      <c r="BS21" s="26">
        <f>'Адм.затраты'!BA19+'Адм.затраты'!BA21+'Адм.затраты'!BA15</f>
        <v>6007.002442</v>
      </c>
      <c r="BT21" s="26">
        <f>'Адм.затраты'!BB19+'Адм.затраты'!BB21+'Адм.затраты'!BB15</f>
        <v>6557.721728</v>
      </c>
      <c r="BU21" s="26">
        <f>'Адм.затраты'!BC19+'Адм.затраты'!BC21+'Адм.затраты'!BC15</f>
        <v>7172.87517</v>
      </c>
      <c r="BV21" s="2"/>
      <c r="BW21" s="26"/>
    </row>
    <row r="22" ht="12.75" customHeight="1" outlineLevel="1">
      <c r="A22" s="269" t="s">
        <v>338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>
        <f>'Произв.затраты'!C11+'Произв.затраты'!C12+'Произв.затраты'!C13+'Адм.затраты'!C8+'Адм.затраты'!C9+'Адм.затраты'!C13+'Адм.затраты'!C14+'Адм.затраты'!C17+'Адм.затраты'!C18</f>
        <v>1196.738561</v>
      </c>
      <c r="V22" s="26">
        <f>'Произв.затраты'!D11+'Произв.затраты'!D12+'Произв.затраты'!D13+'Адм.затраты'!D8+'Адм.затраты'!D9+'Адм.затраты'!D13+'Адм.затраты'!D14+'Адм.затраты'!D17+'Адм.затраты'!D18</f>
        <v>1181.420718</v>
      </c>
      <c r="W22" s="26">
        <f>'Произв.затраты'!E11+'Произв.затраты'!E12+'Произв.затраты'!E13+'Адм.затраты'!E8+'Адм.затраты'!E9+'Адм.затраты'!E13+'Адм.затраты'!E14+'Адм.затраты'!E17+'Адм.затраты'!E18</f>
        <v>1230.545567</v>
      </c>
      <c r="X22" s="26">
        <f>'Произв.затраты'!F11+'Произв.затраты'!F12+'Произв.затраты'!F13+'Адм.затраты'!F8+'Адм.затраты'!F9+'Адм.затраты'!F13+'Адм.затраты'!F14+'Адм.затраты'!F17+'Адм.затраты'!F18</f>
        <v>1175.111725</v>
      </c>
      <c r="Y22" s="26">
        <f>'Произв.затраты'!G11+'Произв.затраты'!G12+'Произв.затраты'!G13+'Адм.затраты'!G8+'Адм.затраты'!G9+'Адм.затраты'!G13+'Адм.затраты'!G14+'Адм.затраты'!G17+'Адм.затраты'!G18</f>
        <v>1276.538483</v>
      </c>
      <c r="Z22" s="26">
        <f>'Произв.затраты'!H11+'Произв.затраты'!H12+'Произв.затраты'!H13+'Адм.затраты'!H8+'Адм.затраты'!H9+'Адм.затраты'!H13+'Адм.затраты'!H14+'Адм.затраты'!H17+'Адм.затраты'!H18</f>
        <v>1299.198197</v>
      </c>
      <c r="AA22" s="26">
        <f>'Произв.затраты'!I11+'Произв.затраты'!I12+'Произв.затраты'!I13+'Адм.затраты'!I8+'Адм.затраты'!I9+'Адм.затраты'!I13+'Адм.затраты'!I14+'Адм.затраты'!I17+'Адм.затраты'!I18</f>
        <v>1349.368617</v>
      </c>
      <c r="AB22" s="26">
        <f>'Произв.затраты'!J11+'Произв.затраты'!J12+'Произв.затраты'!J13+'Адм.затраты'!J8+'Адм.затраты'!J9+'Адм.затраты'!J13+'Адм.затраты'!J14+'Адм.затраты'!J17+'Адм.затраты'!J18</f>
        <v>1349.368617</v>
      </c>
      <c r="AC22" s="26">
        <f>'Произв.затраты'!K11+'Произв.затраты'!K12+'Произв.затраты'!K13+'Адм.затраты'!K8+'Адм.затраты'!K9+'Адм.затраты'!K13+'Адм.затраты'!K14+'Адм.затраты'!K17+'Адм.затраты'!K18</f>
        <v>1305.236082</v>
      </c>
      <c r="AD22" s="26">
        <f>'Произв.затраты'!L11+'Произв.затраты'!L12+'Произв.затраты'!L13+'Адм.затраты'!L8+'Адм.затраты'!L9+'Адм.затраты'!L13+'Адм.затраты'!L14+'Адм.затраты'!L17+'Адм.затраты'!L18</f>
        <v>1267.356299</v>
      </c>
      <c r="AE22" s="26">
        <f>'Произв.затраты'!M11+'Произв.затраты'!M12+'Произв.затраты'!M13+'Адм.затраты'!M8+'Адм.затраты'!M9+'Адм.затраты'!M13+'Адм.затраты'!M14+'Адм.затраты'!M17+'Адм.затраты'!M18</f>
        <v>1230.311511</v>
      </c>
      <c r="AF22" s="26">
        <f>'Произв.затраты'!N11+'Произв.затраты'!N12+'Произв.затраты'!N13+'Адм.затраты'!N8+'Адм.затраты'!N9+'Адм.затраты'!N13+'Адм.затраты'!N14+'Адм.затраты'!N17+'Адм.затраты'!N18</f>
        <v>1199.817616</v>
      </c>
      <c r="AG22" s="26">
        <f>'Произв.затраты'!O11+'Произв.затраты'!O12+'Произв.затраты'!O13+'Адм.затраты'!O8+'Адм.затраты'!O9+'Адм.затраты'!O13+'Адм.затраты'!O14+'Адм.затраты'!O17+'Адм.затраты'!O18</f>
        <v>15061.01199</v>
      </c>
      <c r="AH22" s="26">
        <f>'Произв.затраты'!P11+'Произв.затраты'!P12+'Произв.затраты'!P13+'Адм.затраты'!P8+'Адм.затраты'!P9+'Адм.затраты'!P13+'Адм.затраты'!P14+'Адм.затраты'!P17+'Адм.затраты'!P18</f>
        <v>1124.463545</v>
      </c>
      <c r="AI22" s="26">
        <f>'Произв.затраты'!Q11+'Произв.затраты'!Q12+'Произв.затраты'!Q13+'Адм.затраты'!Q8+'Адм.затраты'!Q9+'Адм.затраты'!Q13+'Адм.затраты'!Q14+'Адм.затраты'!Q17+'Адм.затраты'!Q18</f>
        <v>1109.145702</v>
      </c>
      <c r="AJ22" s="26">
        <f>'Произв.затраты'!R11+'Произв.затраты'!R12+'Произв.затраты'!R13+'Адм.затраты'!R8+'Адм.затраты'!R9+'Адм.затраты'!R13+'Адм.затраты'!R14+'Адм.затраты'!R17+'Адм.затраты'!R18</f>
        <v>1158.270551</v>
      </c>
      <c r="AK22" s="26">
        <f>'Произв.затраты'!S11+'Произв.затраты'!S12+'Произв.затраты'!S13+'Адм.затраты'!S8+'Адм.затраты'!S9+'Адм.затраты'!S13+'Адм.затраты'!S14+'Адм.затраты'!S17+'Адм.затраты'!S18</f>
        <v>1102.836708</v>
      </c>
      <c r="AL22" s="26">
        <f>'Произв.затраты'!T11+'Произв.затраты'!T12+'Произв.затраты'!T13+'Адм.затраты'!T8+'Адм.затраты'!T9+'Адм.затраты'!T13+'Адм.затраты'!T14+'Адм.затраты'!T17+'Адм.затраты'!T18</f>
        <v>1204.263467</v>
      </c>
      <c r="AM22" s="26">
        <f>'Произв.затраты'!U11+'Произв.затраты'!U12+'Произв.затраты'!U13+'Адм.затраты'!U8+'Адм.затраты'!U9+'Адм.затраты'!U13+'Адм.затраты'!U14+'Адм.затраты'!U17+'Адм.затраты'!U18</f>
        <v>1226.92318</v>
      </c>
      <c r="AN22" s="26">
        <f>'Произв.затраты'!V11+'Произв.затраты'!V12+'Произв.затраты'!V13+'Адм.затраты'!V8+'Адм.затраты'!V9+'Адм.затраты'!V13+'Адм.затраты'!V14+'Адм.затраты'!V17+'Адм.затраты'!V18</f>
        <v>1277.093601</v>
      </c>
      <c r="AO22" s="26">
        <f>'Произв.затраты'!W11+'Произв.затраты'!W12+'Произв.затраты'!W13+'Адм.затраты'!W8+'Адм.затраты'!W9+'Адм.затраты'!W13+'Адм.затраты'!W14+'Адм.затраты'!W17+'Адм.затраты'!W18</f>
        <v>1277.093601</v>
      </c>
      <c r="AP22" s="26">
        <f>'Произв.затраты'!X11+'Произв.затраты'!X12+'Произв.затраты'!X13+'Адм.затраты'!X8+'Адм.затраты'!X9+'Адм.затраты'!X13+'Адм.затраты'!X14+'Адм.затраты'!X17+'Адм.затраты'!X18</f>
        <v>1232.961066</v>
      </c>
      <c r="AQ22" s="26">
        <f>'Произв.затраты'!Y11+'Произв.затраты'!Y12+'Произв.затраты'!Y13+'Адм.затраты'!Y8+'Адм.затраты'!Y9+'Адм.затраты'!Y13+'Адм.затраты'!Y14+'Адм.затраты'!Y17+'Адм.затраты'!Y18</f>
        <v>1195.081283</v>
      </c>
      <c r="AR22" s="26">
        <f>'Произв.затраты'!Z11+'Произв.затраты'!Z12+'Произв.затраты'!Z13+'Адм.затраты'!Z8+'Адм.затраты'!Z9+'Адм.затраты'!Z13+'Адм.затраты'!Z14+'Адм.затраты'!Z17+'Адм.затраты'!Z18</f>
        <v>1158.036495</v>
      </c>
      <c r="AS22" s="26">
        <f>'Произв.затраты'!AA11+'Произв.затраты'!AA12+'Произв.затраты'!AA13+'Адм.затраты'!AA8+'Адм.затраты'!AA9+'Адм.затраты'!AA13+'Адм.затраты'!AA14+'Адм.затраты'!AA17+'Адм.затраты'!AA18</f>
        <v>1127.5426</v>
      </c>
      <c r="AT22" s="26">
        <f>'Произв.затраты'!AB11+'Произв.затраты'!AB12+'Произв.затраты'!AB13+'Адм.затраты'!AB8+'Адм.затраты'!AB9+'Адм.затраты'!AB13+'Адм.затраты'!AB14+'Адм.затраты'!AB17+'Адм.затраты'!AB18</f>
        <v>14193.7118</v>
      </c>
      <c r="AU22" s="26">
        <f>'Произв.затраты'!AC11+'Произв.затраты'!AC12+'Произв.затраты'!AC13+'Адм.затраты'!AC8+'Адм.затраты'!AC9+'Адм.затраты'!AC13+'Адм.затраты'!AC14+'Адм.затраты'!AC17+'Адм.затраты'!AC18</f>
        <v>1063.29964</v>
      </c>
      <c r="AV22" s="26">
        <f>'Произв.затраты'!AD11+'Произв.затраты'!AD12+'Произв.затраты'!AD13+'Адм.затраты'!AD8+'Адм.затраты'!AD9+'Адм.затраты'!AD13+'Адм.затраты'!AD14+'Адм.затраты'!AD17+'Адм.затраты'!AD18</f>
        <v>1047.981797</v>
      </c>
      <c r="AW22" s="26">
        <f>'Произв.затраты'!AE11+'Произв.затраты'!AE12+'Произв.затраты'!AE13+'Адм.затраты'!AE8+'Адм.затраты'!AE9+'Адм.затраты'!AE13+'Адм.затраты'!AE14+'Адм.затраты'!AE17+'Адм.затраты'!AE18</f>
        <v>1097.106646</v>
      </c>
      <c r="AX22" s="26">
        <f>'Произв.затраты'!AF11+'Произв.затраты'!AF12+'Произв.затраты'!AF13+'Адм.затраты'!AF8+'Адм.затраты'!AF9+'Адм.затраты'!AF13+'Адм.затраты'!AF14+'Адм.затраты'!AF17+'Адм.затраты'!AF18</f>
        <v>1041.672804</v>
      </c>
      <c r="AY22" s="26">
        <f>'Произв.затраты'!AG11+'Произв.затраты'!AG12+'Произв.затраты'!AG13+'Адм.затраты'!AG8+'Адм.затраты'!AG9+'Адм.затраты'!AG13+'Адм.затраты'!AG14+'Адм.затраты'!AG17+'Адм.затраты'!AG18</f>
        <v>1143.099562</v>
      </c>
      <c r="AZ22" s="26">
        <f>'Произв.затраты'!AH11+'Произв.затраты'!AH12+'Произв.затраты'!AH13+'Адм.затраты'!AH8+'Адм.затраты'!AH9+'Адм.затраты'!AH13+'Адм.затраты'!AH14+'Адм.затраты'!AH17+'Адм.затраты'!AH18</f>
        <v>1165.759275</v>
      </c>
      <c r="BA22" s="26">
        <f>'Произв.затраты'!AI11+'Произв.затраты'!AI12+'Произв.затраты'!AI13+'Адм.затраты'!AI8+'Адм.затраты'!AI9+'Адм.затраты'!AI13+'Адм.затраты'!AI14+'Адм.затраты'!AI17+'Адм.затраты'!AI18</f>
        <v>1215.929696</v>
      </c>
      <c r="BB22" s="26">
        <f>'Произв.затраты'!AJ11+'Произв.затраты'!AJ12+'Произв.затраты'!AJ13+'Адм.затраты'!AJ8+'Адм.затраты'!AJ9+'Адм.затраты'!AJ13+'Адм.затраты'!AJ14+'Адм.затраты'!AJ17+'Адм.затраты'!AJ18</f>
        <v>1215.929696</v>
      </c>
      <c r="BC22" s="26">
        <f>'Произв.затраты'!AK11+'Произв.затраты'!AK12+'Произв.затраты'!AK13+'Адм.затраты'!AK8+'Адм.затраты'!AK9+'Адм.затраты'!AK13+'Адм.затраты'!AK14+'Адм.затраты'!AK17+'Адм.затраты'!AK18</f>
        <v>1171.797161</v>
      </c>
      <c r="BD22" s="26">
        <f>'Произв.затраты'!AL11+'Произв.затраты'!AL12+'Произв.затраты'!AL13+'Адм.затраты'!AL8+'Адм.затраты'!AL9+'Адм.затраты'!AL13+'Адм.затраты'!AL14+'Адм.затраты'!AL17+'Адм.затраты'!AL18</f>
        <v>1133.917378</v>
      </c>
      <c r="BE22" s="26">
        <f>'Произв.затраты'!AM11+'Произв.затраты'!AM12+'Произв.затраты'!AM13+'Адм.затраты'!AM8+'Адм.затраты'!AM9+'Адм.затраты'!AM13+'Адм.затраты'!AM14+'Адм.затраты'!AM17+'Адм.затраты'!AM18</f>
        <v>1096.87259</v>
      </c>
      <c r="BF22" s="26">
        <f>'Произв.затраты'!AN11+'Произв.затраты'!AN12+'Произв.затраты'!AN13+'Адм.затраты'!AN8+'Адм.затраты'!AN9+'Адм.затраты'!AN13+'Адм.затраты'!AN14+'Адм.затраты'!AN17+'Адм.затраты'!AN18</f>
        <v>1066.378695</v>
      </c>
      <c r="BG22" s="26">
        <f>'Произв.затраты'!AO11+'Произв.затраты'!AO12+'Произв.затраты'!AO13+'Адм.затраты'!AO8+'Адм.затраты'!AO9+'Адм.затраты'!AO13+'Адм.затраты'!AO14+'Адм.затраты'!AO17+'Адм.затраты'!AO18</f>
        <v>13459.74494</v>
      </c>
      <c r="BH22" s="26">
        <f>'Произв.затраты'!AP11+'Произв.затраты'!AP12+'Произв.затраты'!AP13+'Адм.затраты'!AP8+'Адм.затраты'!AP9+'Адм.затраты'!AP13+'Адм.затраты'!AP14+'Адм.затраты'!AP17+'Адм.затраты'!AP18</f>
        <v>12592.44475</v>
      </c>
      <c r="BI22" s="26">
        <f>'Произв.затраты'!AQ11+'Произв.затраты'!AQ12+'Произв.затраты'!AQ13+'Адм.затраты'!AQ8+'Адм.затраты'!AQ9+'Адм.затраты'!AQ13+'Адм.затраты'!AQ14+'Адм.затраты'!AQ17+'Адм.затраты'!AQ18</f>
        <v>11725.14455</v>
      </c>
      <c r="BJ22" s="26">
        <f>'Произв.затраты'!AR11+'Произв.затраты'!AR12+'Произв.затраты'!AR13+'Адм.затраты'!AR8+'Адм.затраты'!AR9+'Адм.затраты'!AR13+'Адм.затраты'!AR14+'Адм.затраты'!AR17+'Адм.затраты'!AR18</f>
        <v>10857.84436</v>
      </c>
      <c r="BK22" s="26">
        <f>'Произв.затраты'!AS11+'Произв.затраты'!AS12+'Произв.затраты'!AS13+'Адм.затраты'!AS8+'Адм.затраты'!AS9+'Адм.затраты'!AS13+'Адм.затраты'!AS14+'Адм.затраты'!AS17+'Адм.затраты'!AS18</f>
        <v>9990.544165</v>
      </c>
      <c r="BL22" s="26">
        <f>'Произв.затраты'!AT11+'Произв.затраты'!AT12+'Произв.затраты'!AT13+'Адм.затраты'!AT8+'Адм.затраты'!AT9+'Адм.затраты'!AT13+'Адм.затраты'!AT14+'Адм.затраты'!AT17+'Адм.затраты'!AT18</f>
        <v>9123.243972</v>
      </c>
      <c r="BM22" s="26">
        <f>'Произв.затраты'!AU11+'Произв.затраты'!AU12+'Произв.затраты'!AU13+'Адм.затраты'!AU8+'Адм.затраты'!AU9+'Адм.затраты'!AU13+'Адм.затраты'!AU14+'Адм.затраты'!AU17+'Адм.затраты'!AU18</f>
        <v>8255.943779</v>
      </c>
      <c r="BN22" s="26">
        <f>'Произв.затраты'!AV11+'Произв.затраты'!AV12+'Произв.затраты'!AV13+'Адм.затраты'!AV8+'Адм.затраты'!AV9+'Адм.затраты'!AV13+'Адм.затраты'!AV14+'Адм.затраты'!AV17+'Адм.затраты'!AV18</f>
        <v>7388.643586</v>
      </c>
      <c r="BO22" s="26">
        <f>'Произв.затраты'!AW11+'Произв.затраты'!AW12+'Произв.затраты'!AW13+'Адм.затраты'!AW8+'Адм.затраты'!AW9+'Адм.затраты'!AW13+'Адм.затраты'!AW14+'Адм.затраты'!AW17+'Адм.затраты'!AW18</f>
        <v>6521.343392</v>
      </c>
      <c r="BP22" s="26">
        <f>'Произв.затраты'!AX11+'Произв.затраты'!AX12+'Произв.затраты'!AX13+'Адм.затраты'!AX8+'Адм.затраты'!AX9+'Адм.затраты'!AX13+'Адм.затраты'!AX14+'Адм.затраты'!AX17+'Адм.затраты'!AX18</f>
        <v>5654.043199</v>
      </c>
      <c r="BQ22" s="26">
        <f>'Произв.затраты'!AY11+'Произв.затраты'!AY12+'Произв.затраты'!AY13+'Адм.затраты'!AY8+'Адм.затраты'!AY9+'Адм.затраты'!AY13+'Адм.затраты'!AY14+'Адм.затраты'!AY17+'Адм.затраты'!AY18</f>
        <v>4786.743006</v>
      </c>
      <c r="BR22" s="26">
        <f>'Произв.затраты'!AZ11+'Произв.затраты'!AZ12+'Произв.затраты'!AZ13+'Адм.затраты'!AZ8+'Адм.затраты'!AZ9+'Адм.затраты'!AZ13+'Адм.затраты'!AZ14+'Адм.затраты'!AZ17+'Адм.затраты'!AZ18</f>
        <v>3919.442813</v>
      </c>
      <c r="BS22" s="26">
        <f>'Произв.затраты'!BA11+'Произв.затраты'!BA12+'Произв.затраты'!BA13+'Адм.затраты'!BA8+'Адм.затраты'!BA9+'Адм.затраты'!BA13+'Адм.затраты'!BA14+'Адм.затраты'!BA17+'Адм.затраты'!BA18</f>
        <v>3191.921281</v>
      </c>
      <c r="BT22" s="26">
        <f>'Произв.затраты'!BB11+'Произв.затраты'!BB12+'Произв.затраты'!BB13+'Адм.затраты'!BB8+'Адм.затраты'!BB9+'Адм.затраты'!BB13+'Адм.затраты'!BB14+'Адм.затраты'!BB17+'Адм.затраты'!BB18</f>
        <v>3094.906514</v>
      </c>
      <c r="BU22" s="26">
        <f>'Произв.затраты'!BC11+'Произв.затраты'!BC12+'Произв.затраты'!BC13+'Адм.затраты'!BC8+'Адм.затраты'!BC9+'Адм.затраты'!BC13+'Адм.затраты'!BC14+'Адм.затраты'!BC17+'Адм.затраты'!BC18</f>
        <v>3094.906514</v>
      </c>
      <c r="BV22" s="2"/>
      <c r="BW22" s="26"/>
    </row>
    <row r="23" ht="12.75" customHeight="1" outlineLevel="1">
      <c r="A23" s="26" t="s">
        <v>303</v>
      </c>
      <c r="B23" s="26"/>
      <c r="C23" s="26"/>
      <c r="D23" s="26"/>
      <c r="E23" s="26"/>
      <c r="F23" s="26"/>
      <c r="G23" s="26"/>
      <c r="H23" s="26"/>
      <c r="I23" s="26">
        <f>'Займ'!I15</f>
        <v>0</v>
      </c>
      <c r="J23" s="26">
        <f>'Займ'!I16</f>
        <v>0</v>
      </c>
      <c r="K23" s="26">
        <f>'Займ'!I17</f>
        <v>4718.296926</v>
      </c>
      <c r="L23" s="26">
        <f>'Займ'!I18</f>
        <v>5846.106442</v>
      </c>
      <c r="M23" s="26">
        <f>'Займ'!I19</f>
        <v>6973.915957</v>
      </c>
      <c r="N23" s="26">
        <f>'Займ'!I20</f>
        <v>8101.725473</v>
      </c>
      <c r="O23" s="26">
        <f>'Займ'!I21</f>
        <v>9229.534988</v>
      </c>
      <c r="P23" s="26">
        <f>'Займ'!I22</f>
        <v>10357.3445</v>
      </c>
      <c r="Q23" s="26">
        <f>'Займ'!I23</f>
        <v>11485.15402</v>
      </c>
      <c r="R23" s="26">
        <f>'Займ'!I24</f>
        <v>12612.96353</v>
      </c>
      <c r="S23" s="26">
        <f>'Займ'!I25</f>
        <v>13740.77305</v>
      </c>
      <c r="T23" s="26">
        <f>SUM(H23:S23)</f>
        <v>83065.8149</v>
      </c>
      <c r="U23" s="26">
        <f>'ОПиУ'!B40</f>
        <v>0</v>
      </c>
      <c r="V23" s="26">
        <f>'ОПиУ'!C40</f>
        <v>0</v>
      </c>
      <c r="W23" s="26">
        <f>'ОПиУ'!D40</f>
        <v>0</v>
      </c>
      <c r="X23" s="26">
        <f>'ОПиУ'!E40</f>
        <v>0</v>
      </c>
      <c r="Y23" s="26">
        <f>'ОПиУ'!F40</f>
        <v>0</v>
      </c>
      <c r="Z23" s="26">
        <f>'ОПиУ'!G40</f>
        <v>0</v>
      </c>
      <c r="AA23" s="26">
        <f>'ОПиУ'!H40</f>
        <v>18669.99661</v>
      </c>
      <c r="AB23" s="26">
        <f>'ОПиУ'!I40</f>
        <v>18669.99661</v>
      </c>
      <c r="AC23" s="26">
        <f>'ОПиУ'!J40</f>
        <v>18669.99661</v>
      </c>
      <c r="AD23" s="26">
        <f>'ОПиУ'!K40</f>
        <v>18669.99661</v>
      </c>
      <c r="AE23" s="26">
        <f>'ОПиУ'!L40</f>
        <v>18669.99661</v>
      </c>
      <c r="AF23" s="26">
        <f>'ОПиУ'!M40</f>
        <v>18669.99661</v>
      </c>
      <c r="AG23" s="26">
        <f>SUM(U23:AF23)</f>
        <v>112019.9797</v>
      </c>
      <c r="AH23" s="26">
        <f>'ОПиУ'!O40</f>
        <v>0</v>
      </c>
      <c r="AI23" s="26">
        <f>'ОПиУ'!P40</f>
        <v>0</v>
      </c>
      <c r="AJ23" s="26">
        <f>'ОПиУ'!Q40</f>
        <v>0</v>
      </c>
      <c r="AK23" s="26">
        <f>'ОПиУ'!R40</f>
        <v>0</v>
      </c>
      <c r="AL23" s="26">
        <f>'ОПиУ'!S40</f>
        <v>0</v>
      </c>
      <c r="AM23" s="26">
        <f>'ОПиУ'!T40</f>
        <v>0</v>
      </c>
      <c r="AN23" s="26">
        <f>'ОПиУ'!U40</f>
        <v>16417.18963</v>
      </c>
      <c r="AO23" s="26">
        <f>'ОПиУ'!V40</f>
        <v>16417.18963</v>
      </c>
      <c r="AP23" s="26">
        <f>'ОПиУ'!W40</f>
        <v>16417.18963</v>
      </c>
      <c r="AQ23" s="26">
        <f>'ОПиУ'!X40</f>
        <v>16417.18963</v>
      </c>
      <c r="AR23" s="26">
        <f>'ОПиУ'!Y40</f>
        <v>16417.18963</v>
      </c>
      <c r="AS23" s="26">
        <f>'ОПиУ'!Z40</f>
        <v>16417.18963</v>
      </c>
      <c r="AT23" s="26">
        <f>SUM(AH23:AS23)</f>
        <v>98503.13779</v>
      </c>
      <c r="AU23" s="26">
        <f>'ОПиУ'!AB40</f>
        <v>0</v>
      </c>
      <c r="AV23" s="26">
        <f>'ОПиУ'!AC40</f>
        <v>0</v>
      </c>
      <c r="AW23" s="26">
        <f>'ОПиУ'!AD40</f>
        <v>0</v>
      </c>
      <c r="AX23" s="26">
        <f>'ОПиУ'!AE40</f>
        <v>0</v>
      </c>
      <c r="AY23" s="26">
        <f>'ОПиУ'!AF40</f>
        <v>0</v>
      </c>
      <c r="AZ23" s="26">
        <f>'ОПиУ'!AG40</f>
        <v>0</v>
      </c>
      <c r="BA23" s="26">
        <f>'ОПиУ'!AH40</f>
        <v>13902.5166</v>
      </c>
      <c r="BB23" s="26">
        <f>'ОПиУ'!AI40</f>
        <v>13902.5166</v>
      </c>
      <c r="BC23" s="26">
        <f>'ОПиУ'!AJ40</f>
        <v>13902.5166</v>
      </c>
      <c r="BD23" s="26">
        <f>'ОПиУ'!AK40</f>
        <v>13902.5166</v>
      </c>
      <c r="BE23" s="26">
        <f>'ОПиУ'!AL40</f>
        <v>13902.5166</v>
      </c>
      <c r="BF23" s="26">
        <f>'ОПиУ'!AM40</f>
        <v>13902.5166</v>
      </c>
      <c r="BG23" s="26">
        <f>SUM(AU23:BF23)</f>
        <v>83415.09958</v>
      </c>
      <c r="BH23" s="26">
        <f>'ОПиУ'!AO40</f>
        <v>144060.4854</v>
      </c>
      <c r="BI23" s="26">
        <f>'ОПиУ'!AP40</f>
        <v>215941.6278</v>
      </c>
      <c r="BJ23" s="26">
        <f>'ОПиУ'!AQ40</f>
        <v>182900.428</v>
      </c>
      <c r="BK23" s="26">
        <f>'ОПиУ'!AR40</f>
        <v>118655.1004</v>
      </c>
      <c r="BL23" s="26">
        <f>'ОПиУ'!AS40</f>
        <v>0</v>
      </c>
      <c r="BM23" s="26">
        <f>'ОПиУ'!AT40</f>
        <v>0</v>
      </c>
      <c r="BN23" s="26">
        <f>'ОПиУ'!AU40</f>
        <v>0</v>
      </c>
      <c r="BO23" s="26">
        <f>'ОПиУ'!AV40</f>
        <v>0</v>
      </c>
      <c r="BP23" s="26">
        <f>'ОПиУ'!AW40</f>
        <v>0</v>
      </c>
      <c r="BQ23" s="26" t="str">
        <f>'ОПиУ'!AX40</f>
        <v/>
      </c>
      <c r="BR23" s="26" t="str">
        <f>'ОПиУ'!AY40</f>
        <v/>
      </c>
      <c r="BS23" s="26" t="str">
        <f>'ОПиУ'!AZ40</f>
        <v/>
      </c>
      <c r="BT23" s="26" t="str">
        <f>'ОПиУ'!BA40</f>
        <v/>
      </c>
      <c r="BU23" s="26" t="str">
        <f>'ОПиУ'!BB40</f>
        <v/>
      </c>
      <c r="BV23" s="26"/>
      <c r="BW23" s="26"/>
    </row>
    <row r="24" ht="12.75" customHeight="1" outlineLevel="1">
      <c r="A24" s="26" t="s">
        <v>339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>
        <f>'ОПиУ'!B43</f>
        <v>3080.440323</v>
      </c>
      <c r="V24" s="26">
        <f>'ОПиУ'!C43</f>
        <v>3080.440323</v>
      </c>
      <c r="W24" s="26">
        <f>'ОПиУ'!D43</f>
        <v>3080.440323</v>
      </c>
      <c r="X24" s="26">
        <f>'ОПиУ'!E43</f>
        <v>3080.440323</v>
      </c>
      <c r="Y24" s="26">
        <f>'ОПиУ'!F43</f>
        <v>3080.440323</v>
      </c>
      <c r="Z24" s="26">
        <f>'ОПиУ'!G43</f>
        <v>3080.440323</v>
      </c>
      <c r="AA24" s="26">
        <f>'ОПиУ'!H43</f>
        <v>3080.440323</v>
      </c>
      <c r="AB24" s="26">
        <f>'ОПиУ'!I43</f>
        <v>3080.440323</v>
      </c>
      <c r="AC24" s="26">
        <f>'ОПиУ'!J43</f>
        <v>3080.440323</v>
      </c>
      <c r="AD24" s="26">
        <f>'ОПиУ'!K43</f>
        <v>3080.440323</v>
      </c>
      <c r="AE24" s="26">
        <f>'ОПиУ'!L43</f>
        <v>3080.440323</v>
      </c>
      <c r="AF24" s="26">
        <f>'ОПиУ'!M43</f>
        <v>3080.440323</v>
      </c>
      <c r="AG24" s="26">
        <f>'ОПиУ'!N43</f>
        <v>36965.28387</v>
      </c>
      <c r="AH24" s="26">
        <f>'ОПиУ'!O43</f>
        <v>4121.87671</v>
      </c>
      <c r="AI24" s="26">
        <f>'ОПиУ'!P43</f>
        <v>4121.87671</v>
      </c>
      <c r="AJ24" s="26">
        <f>'ОПиУ'!Q43</f>
        <v>4121.87671</v>
      </c>
      <c r="AK24" s="26">
        <f>'ОПиУ'!R43</f>
        <v>4121.87671</v>
      </c>
      <c r="AL24" s="26">
        <f>'ОПиУ'!S43</f>
        <v>4121.87671</v>
      </c>
      <c r="AM24" s="26">
        <f>'ОПиУ'!T43</f>
        <v>4121.87671</v>
      </c>
      <c r="AN24" s="26">
        <f>'ОПиУ'!U43</f>
        <v>4121.87671</v>
      </c>
      <c r="AO24" s="26">
        <f>'ОПиУ'!V43</f>
        <v>4121.87671</v>
      </c>
      <c r="AP24" s="26">
        <f>'ОПиУ'!W43</f>
        <v>4121.87671</v>
      </c>
      <c r="AQ24" s="26">
        <f>'ОПиУ'!X43</f>
        <v>4121.87671</v>
      </c>
      <c r="AR24" s="26">
        <f>'ОПиУ'!Y43</f>
        <v>4121.87671</v>
      </c>
      <c r="AS24" s="26">
        <f>'ОПиУ'!Z43</f>
        <v>4121.87671</v>
      </c>
      <c r="AT24" s="26">
        <f>'ОПиУ'!AA43</f>
        <v>49462.52052</v>
      </c>
      <c r="AU24" s="26">
        <f>'ОПиУ'!AB43</f>
        <v>5264.865145</v>
      </c>
      <c r="AV24" s="26">
        <f>'ОПиУ'!AC43</f>
        <v>5264.865145</v>
      </c>
      <c r="AW24" s="26">
        <f>'ОПиУ'!AD43</f>
        <v>5264.865145</v>
      </c>
      <c r="AX24" s="26">
        <f>'ОПиУ'!AE43</f>
        <v>5264.865145</v>
      </c>
      <c r="AY24" s="26">
        <f>'ОПиУ'!AF43</f>
        <v>5264.865145</v>
      </c>
      <c r="AZ24" s="26">
        <f>'ОПиУ'!AG43</f>
        <v>5264.865145</v>
      </c>
      <c r="BA24" s="26">
        <f>'ОПиУ'!AH43</f>
        <v>5264.865145</v>
      </c>
      <c r="BB24" s="26">
        <f>'ОПиУ'!AI43</f>
        <v>5264.865145</v>
      </c>
      <c r="BC24" s="26">
        <f>'ОПиУ'!AJ43</f>
        <v>5264.865145</v>
      </c>
      <c r="BD24" s="26">
        <f>'ОПиУ'!AK43</f>
        <v>5264.865145</v>
      </c>
      <c r="BE24" s="26">
        <f>'ОПиУ'!AL43</f>
        <v>5264.865145</v>
      </c>
      <c r="BF24" s="26">
        <f>'ОПиУ'!AM43</f>
        <v>5264.865145</v>
      </c>
      <c r="BG24" s="26">
        <f>'ОПиУ'!AN43</f>
        <v>63178.38174</v>
      </c>
      <c r="BH24" s="26">
        <f>'ОПиУ'!AO43</f>
        <v>62794.95086</v>
      </c>
      <c r="BI24" s="26">
        <f>'ОПиУ'!AP43</f>
        <v>61283.35395</v>
      </c>
      <c r="BJ24" s="26">
        <f>'ОПиУ'!AQ43</f>
        <v>81982.87093</v>
      </c>
      <c r="BK24" s="26">
        <f>'ОПиУ'!AR43</f>
        <v>110267.8125</v>
      </c>
      <c r="BL24" s="26">
        <f>'ОПиУ'!AS43</f>
        <v>150908.5311</v>
      </c>
      <c r="BM24" s="26">
        <f>'ОПиУ'!AT43</f>
        <v>169433.613</v>
      </c>
      <c r="BN24" s="26">
        <f>'ОПиУ'!AU43</f>
        <v>189729.1453</v>
      </c>
      <c r="BO24" s="26">
        <f>'ОПиУ'!AV43</f>
        <v>211964.9785</v>
      </c>
      <c r="BP24" s="26">
        <f>'ОПиУ'!AW43</f>
        <v>236327.1436</v>
      </c>
      <c r="BQ24" s="26">
        <f>'ОПиУ'!AX43</f>
        <v>263019.3798</v>
      </c>
      <c r="BR24" s="26">
        <f>'ОПиУ'!AY43</f>
        <v>292264.8047</v>
      </c>
      <c r="BS24" s="26">
        <f>'ОПиУ'!AZ43</f>
        <v>324279.7844</v>
      </c>
      <c r="BT24" s="26">
        <f>'ОПиУ'!BA43</f>
        <v>359233.6949</v>
      </c>
      <c r="BU24" s="26">
        <f>'ОПиУ'!BB43</f>
        <v>397526.1375</v>
      </c>
      <c r="BV24" s="26"/>
      <c r="BW24" s="26"/>
    </row>
    <row r="25" ht="12.75" customHeight="1" outlineLevel="2">
      <c r="A25" s="26" t="s">
        <v>340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</row>
    <row r="26" ht="12.75" customHeight="1" outlineLevel="1">
      <c r="A26" s="26" t="s">
        <v>341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>
        <f t="shared" ref="U26:AF26" si="4">U91</f>
        <v>0</v>
      </c>
      <c r="V26" s="26">
        <f t="shared" si="4"/>
        <v>0</v>
      </c>
      <c r="W26" s="26">
        <f t="shared" si="4"/>
        <v>0</v>
      </c>
      <c r="X26" s="26">
        <f t="shared" si="4"/>
        <v>0</v>
      </c>
      <c r="Y26" s="26">
        <f t="shared" si="4"/>
        <v>0</v>
      </c>
      <c r="Z26" s="26">
        <f t="shared" si="4"/>
        <v>0</v>
      </c>
      <c r="AA26" s="26">
        <f t="shared" si="4"/>
        <v>0</v>
      </c>
      <c r="AB26" s="26">
        <f t="shared" si="4"/>
        <v>0</v>
      </c>
      <c r="AC26" s="26">
        <f t="shared" si="4"/>
        <v>0</v>
      </c>
      <c r="AD26" s="26">
        <f t="shared" si="4"/>
        <v>0</v>
      </c>
      <c r="AE26" s="26">
        <f t="shared" si="4"/>
        <v>0</v>
      </c>
      <c r="AF26" s="26">
        <f t="shared" si="4"/>
        <v>0</v>
      </c>
      <c r="AG26" s="26">
        <f>SUM(U26:AF26)</f>
        <v>0</v>
      </c>
      <c r="AH26" s="26">
        <f t="shared" ref="AH26:AS26" si="5">AH91</f>
        <v>0</v>
      </c>
      <c r="AI26" s="26">
        <f t="shared" si="5"/>
        <v>0</v>
      </c>
      <c r="AJ26" s="26">
        <f t="shared" si="5"/>
        <v>0</v>
      </c>
      <c r="AK26" s="26">
        <f t="shared" si="5"/>
        <v>0</v>
      </c>
      <c r="AL26" s="26">
        <f t="shared" si="5"/>
        <v>0</v>
      </c>
      <c r="AM26" s="26">
        <f t="shared" si="5"/>
        <v>0</v>
      </c>
      <c r="AN26" s="26">
        <f t="shared" si="5"/>
        <v>0</v>
      </c>
      <c r="AO26" s="26">
        <f t="shared" si="5"/>
        <v>0</v>
      </c>
      <c r="AP26" s="26">
        <f t="shared" si="5"/>
        <v>0</v>
      </c>
      <c r="AQ26" s="26">
        <f t="shared" si="5"/>
        <v>0</v>
      </c>
      <c r="AR26" s="26">
        <f t="shared" si="5"/>
        <v>0</v>
      </c>
      <c r="AS26" s="26">
        <f t="shared" si="5"/>
        <v>0</v>
      </c>
      <c r="AT26" s="26">
        <f>SUM(AH26:AS26)</f>
        <v>0</v>
      </c>
      <c r="AU26" s="26">
        <f t="shared" ref="AU26:BF26" si="6">AU91</f>
        <v>0</v>
      </c>
      <c r="AV26" s="26">
        <f t="shared" si="6"/>
        <v>0</v>
      </c>
      <c r="AW26" s="26">
        <f t="shared" si="6"/>
        <v>0</v>
      </c>
      <c r="AX26" s="26">
        <f t="shared" si="6"/>
        <v>0</v>
      </c>
      <c r="AY26" s="26">
        <f t="shared" si="6"/>
        <v>0</v>
      </c>
      <c r="AZ26" s="26">
        <f t="shared" si="6"/>
        <v>0</v>
      </c>
      <c r="BA26" s="26">
        <f t="shared" si="6"/>
        <v>0</v>
      </c>
      <c r="BB26" s="26">
        <f t="shared" si="6"/>
        <v>0</v>
      </c>
      <c r="BC26" s="26">
        <f t="shared" si="6"/>
        <v>0</v>
      </c>
      <c r="BD26" s="26">
        <f t="shared" si="6"/>
        <v>0</v>
      </c>
      <c r="BE26" s="26">
        <f t="shared" si="6"/>
        <v>0</v>
      </c>
      <c r="BF26" s="26">
        <f t="shared" si="6"/>
        <v>0</v>
      </c>
      <c r="BG26" s="26">
        <f>SUM(AU26:BF26)</f>
        <v>0</v>
      </c>
      <c r="BH26" s="26">
        <f t="shared" ref="BH26:BU26" si="7">BH91</f>
        <v>0</v>
      </c>
      <c r="BI26" s="26">
        <f t="shared" si="7"/>
        <v>76963.03078</v>
      </c>
      <c r="BJ26" s="26">
        <f t="shared" si="7"/>
        <v>203140.2039</v>
      </c>
      <c r="BK26" s="26">
        <f t="shared" si="7"/>
        <v>138419.6575</v>
      </c>
      <c r="BL26" s="26">
        <f t="shared" si="7"/>
        <v>151845.0084</v>
      </c>
      <c r="BM26" s="26">
        <f t="shared" si="7"/>
        <v>166566.9201</v>
      </c>
      <c r="BN26" s="26">
        <f t="shared" si="7"/>
        <v>182709.944</v>
      </c>
      <c r="BO26" s="26">
        <f t="shared" si="7"/>
        <v>200410.5164</v>
      </c>
      <c r="BP26" s="26">
        <f t="shared" si="7"/>
        <v>219818.0832</v>
      </c>
      <c r="BQ26" s="26">
        <f t="shared" si="7"/>
        <v>241096.3294</v>
      </c>
      <c r="BR26" s="26">
        <f t="shared" si="7"/>
        <v>264424.524</v>
      </c>
      <c r="BS26" s="26">
        <f t="shared" si="7"/>
        <v>289998.9898</v>
      </c>
      <c r="BT26" s="26">
        <f t="shared" si="7"/>
        <v>318034.7109</v>
      </c>
      <c r="BU26" s="26">
        <f t="shared" si="7"/>
        <v>348767.0895</v>
      </c>
      <c r="BV26" s="26"/>
      <c r="BW26" s="26"/>
    </row>
    <row r="27" ht="12.75" customHeight="1">
      <c r="A27" s="302" t="s">
        <v>342</v>
      </c>
      <c r="B27" s="302">
        <f t="shared" ref="B27:BU27" si="8">SUM(B18:B26)</f>
        <v>0</v>
      </c>
      <c r="C27" s="302">
        <f t="shared" si="8"/>
        <v>0</v>
      </c>
      <c r="D27" s="302">
        <f t="shared" si="8"/>
        <v>0</v>
      </c>
      <c r="E27" s="302">
        <f t="shared" si="8"/>
        <v>0</v>
      </c>
      <c r="F27" s="302">
        <f t="shared" si="8"/>
        <v>0</v>
      </c>
      <c r="G27" s="302">
        <f t="shared" si="8"/>
        <v>0</v>
      </c>
      <c r="H27" s="302">
        <f t="shared" si="8"/>
        <v>0</v>
      </c>
      <c r="I27" s="302">
        <f t="shared" si="8"/>
        <v>0</v>
      </c>
      <c r="J27" s="302">
        <f t="shared" si="8"/>
        <v>0</v>
      </c>
      <c r="K27" s="302">
        <f t="shared" si="8"/>
        <v>4718.296926</v>
      </c>
      <c r="L27" s="302">
        <f t="shared" si="8"/>
        <v>5846.106442</v>
      </c>
      <c r="M27" s="302">
        <f t="shared" si="8"/>
        <v>6973.915957</v>
      </c>
      <c r="N27" s="302">
        <f t="shared" si="8"/>
        <v>8101.725473</v>
      </c>
      <c r="O27" s="302">
        <f t="shared" si="8"/>
        <v>9229.534988</v>
      </c>
      <c r="P27" s="302">
        <f t="shared" si="8"/>
        <v>10357.3445</v>
      </c>
      <c r="Q27" s="302">
        <f t="shared" si="8"/>
        <v>11485.15402</v>
      </c>
      <c r="R27" s="302">
        <f t="shared" si="8"/>
        <v>12612.96353</v>
      </c>
      <c r="S27" s="302">
        <f t="shared" si="8"/>
        <v>13740.77305</v>
      </c>
      <c r="T27" s="302">
        <f t="shared" si="8"/>
        <v>83065.8149</v>
      </c>
      <c r="U27" s="302">
        <f t="shared" si="8"/>
        <v>9833.751573</v>
      </c>
      <c r="V27" s="302">
        <f t="shared" si="8"/>
        <v>9768.69722</v>
      </c>
      <c r="W27" s="302">
        <f t="shared" si="8"/>
        <v>10153.08739</v>
      </c>
      <c r="X27" s="302">
        <f t="shared" si="8"/>
        <v>9719.33086</v>
      </c>
      <c r="Y27" s="302">
        <f t="shared" si="8"/>
        <v>10512.97093</v>
      </c>
      <c r="Z27" s="302">
        <f t="shared" si="8"/>
        <v>10690.27776</v>
      </c>
      <c r="AA27" s="302">
        <f t="shared" si="8"/>
        <v>29752.84589</v>
      </c>
      <c r="AB27" s="302">
        <f t="shared" si="8"/>
        <v>29752.84589</v>
      </c>
      <c r="AC27" s="302">
        <f t="shared" si="8"/>
        <v>29407.51939</v>
      </c>
      <c r="AD27" s="302">
        <f t="shared" si="8"/>
        <v>29111.11916</v>
      </c>
      <c r="AE27" s="302">
        <f t="shared" si="8"/>
        <v>28821.25257</v>
      </c>
      <c r="AF27" s="302">
        <f t="shared" si="8"/>
        <v>28582.64515</v>
      </c>
      <c r="AG27" s="302">
        <f t="shared" si="8"/>
        <v>236106.3438</v>
      </c>
      <c r="AH27" s="302">
        <f t="shared" si="8"/>
        <v>11350.66171</v>
      </c>
      <c r="AI27" s="302">
        <f t="shared" si="8"/>
        <v>11280.24606</v>
      </c>
      <c r="AJ27" s="302">
        <f t="shared" si="8"/>
        <v>11702.39385</v>
      </c>
      <c r="AK27" s="302">
        <f t="shared" si="8"/>
        <v>11226.03058</v>
      </c>
      <c r="AL27" s="302">
        <f t="shared" si="8"/>
        <v>12097.62778</v>
      </c>
      <c r="AM27" s="302">
        <f t="shared" si="8"/>
        <v>12292.35098</v>
      </c>
      <c r="AN27" s="302">
        <f t="shared" si="8"/>
        <v>29140.67337</v>
      </c>
      <c r="AO27" s="302">
        <f t="shared" si="8"/>
        <v>29140.67337</v>
      </c>
      <c r="AP27" s="302">
        <f t="shared" si="8"/>
        <v>28761.42637</v>
      </c>
      <c r="AQ27" s="302">
        <f t="shared" si="8"/>
        <v>28435.91156</v>
      </c>
      <c r="AR27" s="302">
        <f t="shared" si="8"/>
        <v>28117.57215</v>
      </c>
      <c r="AS27" s="302">
        <f t="shared" si="8"/>
        <v>27855.52696</v>
      </c>
      <c r="AT27" s="302">
        <f t="shared" si="8"/>
        <v>241401.0948</v>
      </c>
      <c r="AU27" s="302">
        <f t="shared" si="8"/>
        <v>13044.02179</v>
      </c>
      <c r="AV27" s="302">
        <f t="shared" si="8"/>
        <v>12967.6629</v>
      </c>
      <c r="AW27" s="302">
        <f t="shared" si="8"/>
        <v>13431.84057</v>
      </c>
      <c r="AX27" s="302">
        <f t="shared" si="8"/>
        <v>12908.04962</v>
      </c>
      <c r="AY27" s="302">
        <f t="shared" si="8"/>
        <v>13866.42478</v>
      </c>
      <c r="AZ27" s="302">
        <f t="shared" si="8"/>
        <v>14080.53501</v>
      </c>
      <c r="BA27" s="302">
        <f t="shared" si="8"/>
        <v>28457.10881</v>
      </c>
      <c r="BB27" s="302">
        <f t="shared" si="8"/>
        <v>28457.10881</v>
      </c>
      <c r="BC27" s="302">
        <f t="shared" si="8"/>
        <v>28040.10322</v>
      </c>
      <c r="BD27" s="302">
        <f t="shared" si="8"/>
        <v>27682.17949</v>
      </c>
      <c r="BE27" s="302">
        <f t="shared" si="8"/>
        <v>27332.14558</v>
      </c>
      <c r="BF27" s="302">
        <f t="shared" si="8"/>
        <v>27044.01065</v>
      </c>
      <c r="BG27" s="302">
        <f t="shared" si="8"/>
        <v>247311.1912</v>
      </c>
      <c r="BH27" s="306">
        <f t="shared" si="8"/>
        <v>315653.7552</v>
      </c>
      <c r="BI27" s="306">
        <f t="shared" si="8"/>
        <v>472106.9977</v>
      </c>
      <c r="BJ27" s="306">
        <f t="shared" si="8"/>
        <v>596224.2204</v>
      </c>
      <c r="BK27" s="306">
        <f t="shared" si="8"/>
        <v>507121.1861</v>
      </c>
      <c r="BL27" s="306">
        <f t="shared" si="8"/>
        <v>455557.0513</v>
      </c>
      <c r="BM27" s="306">
        <f t="shared" si="8"/>
        <v>503444.3382</v>
      </c>
      <c r="BN27" s="306">
        <f t="shared" si="8"/>
        <v>556326.5973</v>
      </c>
      <c r="BO27" s="306">
        <f t="shared" si="8"/>
        <v>614720.0273</v>
      </c>
      <c r="BP27" s="306">
        <f t="shared" si="8"/>
        <v>679194.4693</v>
      </c>
      <c r="BQ27" s="306">
        <f t="shared" si="8"/>
        <v>750379.014</v>
      </c>
      <c r="BR27" s="306">
        <f t="shared" si="8"/>
        <v>828968.1993</v>
      </c>
      <c r="BS27" s="306">
        <f t="shared" si="8"/>
        <v>915840.6832</v>
      </c>
      <c r="BT27" s="306">
        <f t="shared" si="8"/>
        <v>1012235.752</v>
      </c>
      <c r="BU27" s="306">
        <f t="shared" si="8"/>
        <v>1118661.552</v>
      </c>
      <c r="BV27" s="2"/>
      <c r="BW27" s="26"/>
    </row>
    <row r="28" ht="12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305"/>
      <c r="AH28" s="305"/>
      <c r="AI28" s="305"/>
      <c r="AJ28" s="305"/>
      <c r="AK28" s="305"/>
      <c r="AL28" s="305"/>
      <c r="AM28" s="305"/>
      <c r="AN28" s="305"/>
      <c r="AO28" s="305"/>
      <c r="AP28" s="305"/>
      <c r="AQ28" s="305"/>
      <c r="AR28" s="305"/>
      <c r="AS28" s="305"/>
      <c r="AT28" s="305"/>
      <c r="AU28" s="305"/>
      <c r="AV28" s="305"/>
      <c r="AW28" s="305"/>
      <c r="AX28" s="305"/>
      <c r="AY28" s="305"/>
      <c r="AZ28" s="305"/>
      <c r="BA28" s="305"/>
      <c r="BB28" s="305"/>
      <c r="BC28" s="305"/>
      <c r="BD28" s="305"/>
      <c r="BE28" s="305"/>
      <c r="BF28" s="305"/>
      <c r="BG28" s="305"/>
      <c r="BH28" s="305"/>
      <c r="BI28" s="305"/>
      <c r="BJ28" s="305"/>
      <c r="BK28" s="305"/>
      <c r="BL28" s="305"/>
      <c r="BM28" s="305"/>
      <c r="BN28" s="305"/>
      <c r="BO28" s="305"/>
      <c r="BP28" s="305"/>
      <c r="BQ28" s="305"/>
      <c r="BR28" s="305"/>
      <c r="BS28" s="305"/>
      <c r="BT28" s="305"/>
      <c r="BU28" s="305"/>
      <c r="BV28" s="2"/>
      <c r="BW28" s="26"/>
    </row>
    <row r="29" ht="12.75" customHeight="1">
      <c r="A29" s="222" t="s">
        <v>343</v>
      </c>
      <c r="B29" s="307">
        <f t="shared" ref="B29:BU29" si="9">B15-B27</f>
        <v>0</v>
      </c>
      <c r="C29" s="307">
        <f t="shared" si="9"/>
        <v>0</v>
      </c>
      <c r="D29" s="307">
        <f t="shared" si="9"/>
        <v>0</v>
      </c>
      <c r="E29" s="307">
        <f t="shared" si="9"/>
        <v>0</v>
      </c>
      <c r="F29" s="307">
        <f t="shared" si="9"/>
        <v>0</v>
      </c>
      <c r="G29" s="307">
        <f t="shared" si="9"/>
        <v>0</v>
      </c>
      <c r="H29" s="307">
        <f t="shared" si="9"/>
        <v>0</v>
      </c>
      <c r="I29" s="307">
        <f t="shared" si="9"/>
        <v>0</v>
      </c>
      <c r="J29" s="307">
        <f t="shared" si="9"/>
        <v>0</v>
      </c>
      <c r="K29" s="307">
        <f t="shared" si="9"/>
        <v>-4718.296926</v>
      </c>
      <c r="L29" s="307">
        <f t="shared" si="9"/>
        <v>-5846.106442</v>
      </c>
      <c r="M29" s="307">
        <f t="shared" si="9"/>
        <v>-6973.915957</v>
      </c>
      <c r="N29" s="307">
        <f t="shared" si="9"/>
        <v>-8101.725473</v>
      </c>
      <c r="O29" s="307">
        <f t="shared" si="9"/>
        <v>-9229.534988</v>
      </c>
      <c r="P29" s="307">
        <f t="shared" si="9"/>
        <v>-10357.3445</v>
      </c>
      <c r="Q29" s="307">
        <f t="shared" si="9"/>
        <v>-11485.15402</v>
      </c>
      <c r="R29" s="307">
        <f t="shared" si="9"/>
        <v>-12612.96353</v>
      </c>
      <c r="S29" s="307">
        <f t="shared" si="9"/>
        <v>-13740.77305</v>
      </c>
      <c r="T29" s="307">
        <f t="shared" si="9"/>
        <v>-83065.8149</v>
      </c>
      <c r="U29" s="307">
        <f t="shared" si="9"/>
        <v>23817.03573</v>
      </c>
      <c r="V29" s="307">
        <f t="shared" si="9"/>
        <v>18794.55454</v>
      </c>
      <c r="W29" s="307">
        <f t="shared" si="9"/>
        <v>34726.06584</v>
      </c>
      <c r="X29" s="307">
        <f t="shared" si="9"/>
        <v>16748.50661</v>
      </c>
      <c r="Y29" s="307">
        <f t="shared" si="9"/>
        <v>49641.87027</v>
      </c>
      <c r="Z29" s="307">
        <f t="shared" si="9"/>
        <v>56990.56429</v>
      </c>
      <c r="AA29" s="307">
        <f t="shared" si="9"/>
        <v>54591.1644</v>
      </c>
      <c r="AB29" s="307">
        <f t="shared" si="9"/>
        <v>54591.1644</v>
      </c>
      <c r="AC29" s="307">
        <f t="shared" si="9"/>
        <v>40278.69367</v>
      </c>
      <c r="AD29" s="307">
        <f t="shared" si="9"/>
        <v>27994.03135</v>
      </c>
      <c r="AE29" s="307">
        <f t="shared" si="9"/>
        <v>15980.1631</v>
      </c>
      <c r="AF29" s="307">
        <f t="shared" si="9"/>
        <v>6090.792732</v>
      </c>
      <c r="AG29" s="307">
        <f t="shared" si="9"/>
        <v>400244.6069</v>
      </c>
      <c r="AH29" s="307">
        <f t="shared" si="9"/>
        <v>25631.55354</v>
      </c>
      <c r="AI29" s="307">
        <f t="shared" si="9"/>
        <v>20110.76762</v>
      </c>
      <c r="AJ29" s="307">
        <f t="shared" si="9"/>
        <v>37619.79556</v>
      </c>
      <c r="AK29" s="307">
        <f t="shared" si="9"/>
        <v>17862.1228</v>
      </c>
      <c r="AL29" s="307">
        <f t="shared" si="9"/>
        <v>54012.5427</v>
      </c>
      <c r="AM29" s="307">
        <f t="shared" si="9"/>
        <v>62088.89444</v>
      </c>
      <c r="AN29" s="307">
        <f t="shared" si="9"/>
        <v>63553.39394</v>
      </c>
      <c r="AO29" s="307">
        <f t="shared" si="9"/>
        <v>63553.39394</v>
      </c>
      <c r="AP29" s="307">
        <f t="shared" si="9"/>
        <v>47823.72177</v>
      </c>
      <c r="AQ29" s="307">
        <f t="shared" si="9"/>
        <v>34322.64885</v>
      </c>
      <c r="AR29" s="307">
        <f t="shared" si="9"/>
        <v>21119.18368</v>
      </c>
      <c r="AS29" s="307">
        <f t="shared" si="9"/>
        <v>10250.58127</v>
      </c>
      <c r="AT29" s="307">
        <f t="shared" si="9"/>
        <v>457948.6001</v>
      </c>
      <c r="AU29" s="307">
        <f t="shared" si="9"/>
        <v>27599.43277</v>
      </c>
      <c r="AV29" s="307">
        <f t="shared" si="9"/>
        <v>21531.06113</v>
      </c>
      <c r="AW29" s="307">
        <f t="shared" si="9"/>
        <v>40773.24559</v>
      </c>
      <c r="AX29" s="307">
        <f t="shared" si="9"/>
        <v>19059.83095</v>
      </c>
      <c r="AY29" s="307">
        <f t="shared" si="9"/>
        <v>58788.65258</v>
      </c>
      <c r="AZ29" s="307">
        <f t="shared" si="9"/>
        <v>67664.45371</v>
      </c>
      <c r="BA29" s="307">
        <f t="shared" si="9"/>
        <v>73413.67117</v>
      </c>
      <c r="BB29" s="307">
        <f t="shared" si="9"/>
        <v>73413.67117</v>
      </c>
      <c r="BC29" s="307">
        <f t="shared" si="9"/>
        <v>56126.97459</v>
      </c>
      <c r="BD29" s="307">
        <f t="shared" si="9"/>
        <v>41289.4784</v>
      </c>
      <c r="BE29" s="307">
        <f t="shared" si="9"/>
        <v>26779.04907</v>
      </c>
      <c r="BF29" s="307">
        <f t="shared" si="9"/>
        <v>14834.6023</v>
      </c>
      <c r="BG29" s="307">
        <f t="shared" si="9"/>
        <v>521274.1234</v>
      </c>
      <c r="BH29" s="307">
        <f t="shared" si="9"/>
        <v>529021.5056</v>
      </c>
      <c r="BI29" s="307">
        <f t="shared" si="9"/>
        <v>456191.1139</v>
      </c>
      <c r="BJ29" s="307">
        <f t="shared" si="9"/>
        <v>423975.4042</v>
      </c>
      <c r="BK29" s="307">
        <f t="shared" si="9"/>
        <v>614078.2014</v>
      </c>
      <c r="BL29" s="307">
        <f t="shared" si="9"/>
        <v>776641.0756</v>
      </c>
      <c r="BM29" s="307">
        <f t="shared" si="9"/>
        <v>850741.4032</v>
      </c>
      <c r="BN29" s="307">
        <f t="shared" si="9"/>
        <v>931923.5325</v>
      </c>
      <c r="BO29" s="307">
        <f t="shared" si="9"/>
        <v>1020866.865</v>
      </c>
      <c r="BP29" s="307">
        <f t="shared" si="9"/>
        <v>1118315.526</v>
      </c>
      <c r="BQ29" s="307">
        <f t="shared" si="9"/>
        <v>1225084.471</v>
      </c>
      <c r="BR29" s="307">
        <f t="shared" si="9"/>
        <v>1342066.17</v>
      </c>
      <c r="BS29" s="307">
        <f t="shared" si="9"/>
        <v>1470126.089</v>
      </c>
      <c r="BT29" s="307">
        <f t="shared" si="9"/>
        <v>1609941.731</v>
      </c>
      <c r="BU29" s="307">
        <f t="shared" si="9"/>
        <v>1763111.501</v>
      </c>
      <c r="BV29" s="2"/>
      <c r="BW29" s="26"/>
    </row>
    <row r="30" ht="12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305"/>
      <c r="AH30" s="305"/>
      <c r="AI30" s="305"/>
      <c r="AJ30" s="305"/>
      <c r="AK30" s="305"/>
      <c r="AL30" s="305"/>
      <c r="AM30" s="305"/>
      <c r="AN30" s="305"/>
      <c r="AO30" s="305"/>
      <c r="AP30" s="305"/>
      <c r="AQ30" s="305"/>
      <c r="AR30" s="305"/>
      <c r="AS30" s="305"/>
      <c r="AT30" s="305"/>
      <c r="AU30" s="305"/>
      <c r="AV30" s="305"/>
      <c r="AW30" s="305"/>
      <c r="AX30" s="305"/>
      <c r="AY30" s="305"/>
      <c r="AZ30" s="305"/>
      <c r="BA30" s="305"/>
      <c r="BB30" s="305"/>
      <c r="BC30" s="305"/>
      <c r="BD30" s="305"/>
      <c r="BE30" s="305"/>
      <c r="BF30" s="305"/>
      <c r="BG30" s="305"/>
      <c r="BH30" s="305"/>
      <c r="BI30" s="305"/>
      <c r="BJ30" s="305"/>
      <c r="BK30" s="305"/>
      <c r="BL30" s="305"/>
      <c r="BM30" s="305"/>
      <c r="BN30" s="305"/>
      <c r="BO30" s="305"/>
      <c r="BP30" s="305"/>
      <c r="BQ30" s="305"/>
      <c r="BR30" s="305"/>
      <c r="BS30" s="305"/>
      <c r="BT30" s="305"/>
      <c r="BU30" s="305"/>
      <c r="BV30" s="2"/>
      <c r="BW30" s="26"/>
    </row>
    <row r="31" ht="12.75" customHeight="1">
      <c r="A31" s="263" t="s">
        <v>344</v>
      </c>
      <c r="B31" s="308"/>
      <c r="C31" s="308"/>
      <c r="D31" s="308"/>
      <c r="E31" s="308"/>
      <c r="F31" s="308"/>
      <c r="G31" s="308"/>
      <c r="H31" s="308"/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Y31" s="308"/>
      <c r="Z31" s="308"/>
      <c r="AA31" s="308"/>
      <c r="AB31" s="308"/>
      <c r="AC31" s="308"/>
      <c r="AD31" s="308"/>
      <c r="AE31" s="308"/>
      <c r="AF31" s="308"/>
      <c r="AG31" s="309"/>
      <c r="AH31" s="309"/>
      <c r="AI31" s="309"/>
      <c r="AJ31" s="309"/>
      <c r="AK31" s="309"/>
      <c r="AL31" s="309"/>
      <c r="AM31" s="309"/>
      <c r="AN31" s="309"/>
      <c r="AO31" s="309"/>
      <c r="AP31" s="309"/>
      <c r="AQ31" s="309"/>
      <c r="AR31" s="309"/>
      <c r="AS31" s="309"/>
      <c r="AT31" s="309"/>
      <c r="AU31" s="309"/>
      <c r="AV31" s="309"/>
      <c r="AW31" s="309"/>
      <c r="AX31" s="309"/>
      <c r="AY31" s="309"/>
      <c r="AZ31" s="309"/>
      <c r="BA31" s="309"/>
      <c r="BB31" s="309"/>
      <c r="BC31" s="309"/>
      <c r="BD31" s="309"/>
      <c r="BE31" s="309"/>
      <c r="BF31" s="309"/>
      <c r="BG31" s="309"/>
      <c r="BH31" s="309"/>
      <c r="BI31" s="309"/>
      <c r="BJ31" s="309"/>
      <c r="BK31" s="309"/>
      <c r="BL31" s="309"/>
      <c r="BM31" s="309"/>
      <c r="BN31" s="309"/>
      <c r="BO31" s="309"/>
      <c r="BP31" s="309"/>
      <c r="BQ31" s="309"/>
      <c r="BR31" s="309"/>
      <c r="BS31" s="309"/>
      <c r="BT31" s="309"/>
      <c r="BU31" s="309"/>
      <c r="BV31" s="2"/>
      <c r="BW31" s="26"/>
    </row>
    <row r="32" ht="12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305"/>
      <c r="AH32" s="305"/>
      <c r="AI32" s="305"/>
      <c r="AJ32" s="305"/>
      <c r="AK32" s="305"/>
      <c r="AL32" s="305"/>
      <c r="AM32" s="305"/>
      <c r="AN32" s="305"/>
      <c r="AO32" s="305"/>
      <c r="AP32" s="305"/>
      <c r="AQ32" s="305"/>
      <c r="AR32" s="305"/>
      <c r="AS32" s="305"/>
      <c r="AT32" s="305"/>
      <c r="AU32" s="305"/>
      <c r="AV32" s="305"/>
      <c r="AW32" s="305"/>
      <c r="AX32" s="305"/>
      <c r="AY32" s="305"/>
      <c r="AZ32" s="305"/>
      <c r="BA32" s="305"/>
      <c r="BB32" s="305"/>
      <c r="BC32" s="305"/>
      <c r="BD32" s="305"/>
      <c r="BE32" s="305"/>
      <c r="BF32" s="305"/>
      <c r="BG32" s="305"/>
      <c r="BH32" s="305"/>
      <c r="BI32" s="305"/>
      <c r="BJ32" s="305"/>
      <c r="BK32" s="305"/>
      <c r="BL32" s="305"/>
      <c r="BM32" s="305"/>
      <c r="BN32" s="305"/>
      <c r="BO32" s="305"/>
      <c r="BP32" s="305"/>
      <c r="BQ32" s="305"/>
      <c r="BR32" s="305"/>
      <c r="BS32" s="305"/>
      <c r="BT32" s="305"/>
      <c r="BU32" s="305"/>
      <c r="BV32" s="2"/>
      <c r="BW32" s="26"/>
    </row>
    <row r="33" ht="12.75" customHeight="1">
      <c r="A33" s="233" t="s">
        <v>326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305"/>
      <c r="AH33" s="305"/>
      <c r="AI33" s="305"/>
      <c r="AJ33" s="305"/>
      <c r="AK33" s="305"/>
      <c r="AL33" s="305"/>
      <c r="AM33" s="305"/>
      <c r="AN33" s="305"/>
      <c r="AO33" s="305"/>
      <c r="AP33" s="305"/>
      <c r="AQ33" s="305"/>
      <c r="AR33" s="305"/>
      <c r="AS33" s="305"/>
      <c r="AT33" s="305"/>
      <c r="AU33" s="305"/>
      <c r="AV33" s="305"/>
      <c r="AW33" s="305"/>
      <c r="AX33" s="305"/>
      <c r="AY33" s="305"/>
      <c r="AZ33" s="305"/>
      <c r="BA33" s="305"/>
      <c r="BB33" s="305"/>
      <c r="BC33" s="305"/>
      <c r="BD33" s="305"/>
      <c r="BE33" s="305"/>
      <c r="BF33" s="305"/>
      <c r="BG33" s="305"/>
      <c r="BH33" s="305"/>
      <c r="BI33" s="305"/>
      <c r="BJ33" s="305"/>
      <c r="BK33" s="305"/>
      <c r="BL33" s="305"/>
      <c r="BM33" s="305"/>
      <c r="BN33" s="305"/>
      <c r="BO33" s="305"/>
      <c r="BP33" s="305"/>
      <c r="BQ33" s="305"/>
      <c r="BR33" s="305"/>
      <c r="BS33" s="305"/>
      <c r="BT33" s="305"/>
      <c r="BU33" s="305"/>
      <c r="BV33" s="2"/>
      <c r="BW33" s="26"/>
    </row>
    <row r="34" ht="12.75" customHeight="1" outlineLevel="1">
      <c r="A34" s="26" t="s">
        <v>345</v>
      </c>
      <c r="B34" s="26"/>
      <c r="C34" s="26"/>
      <c r="D34" s="26"/>
      <c r="E34" s="26"/>
      <c r="F34" s="26"/>
      <c r="G34" s="26">
        <v>0.0</v>
      </c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>
        <v>0.0</v>
      </c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>
        <v>0.0</v>
      </c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>
        <v>0.0</v>
      </c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>
        <v>0.0</v>
      </c>
      <c r="BH34" s="26">
        <v>0.0</v>
      </c>
      <c r="BI34" s="26">
        <v>0.0</v>
      </c>
      <c r="BJ34" s="26">
        <v>0.0</v>
      </c>
      <c r="BK34" s="26">
        <v>0.0</v>
      </c>
      <c r="BL34" s="26">
        <v>0.0</v>
      </c>
      <c r="BM34" s="26">
        <v>0.0</v>
      </c>
      <c r="BN34" s="26">
        <v>0.0</v>
      </c>
      <c r="BO34" s="26">
        <v>0.0</v>
      </c>
      <c r="BP34" s="26">
        <v>0.0</v>
      </c>
      <c r="BQ34" s="26">
        <v>0.0</v>
      </c>
      <c r="BR34" s="26">
        <v>0.0</v>
      </c>
      <c r="BS34" s="26">
        <v>0.0</v>
      </c>
      <c r="BT34" s="26">
        <v>0.0</v>
      </c>
      <c r="BU34" s="26">
        <v>0.0</v>
      </c>
      <c r="BV34" s="2"/>
      <c r="BW34" s="26"/>
    </row>
    <row r="35" ht="12.75" customHeight="1" outlineLevel="1">
      <c r="A35" s="26" t="s">
        <v>346</v>
      </c>
      <c r="B35" s="26"/>
      <c r="C35" s="26"/>
      <c r="D35" s="26"/>
      <c r="E35" s="26"/>
      <c r="F35" s="26"/>
      <c r="G35" s="26">
        <v>0.0</v>
      </c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>
        <v>0.0</v>
      </c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>
        <v>0.0</v>
      </c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>
        <v>0.0</v>
      </c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>
        <v>0.0</v>
      </c>
      <c r="BH35" s="26">
        <v>0.0</v>
      </c>
      <c r="BI35" s="26">
        <v>0.0</v>
      </c>
      <c r="BJ35" s="26">
        <v>0.0</v>
      </c>
      <c r="BK35" s="26">
        <v>0.0</v>
      </c>
      <c r="BL35" s="26">
        <v>0.0</v>
      </c>
      <c r="BM35" s="26">
        <v>0.0</v>
      </c>
      <c r="BN35" s="26">
        <v>0.0</v>
      </c>
      <c r="BO35" s="26">
        <v>0.0</v>
      </c>
      <c r="BP35" s="26">
        <v>0.0</v>
      </c>
      <c r="BQ35" s="26">
        <v>0.0</v>
      </c>
      <c r="BR35" s="26">
        <v>0.0</v>
      </c>
      <c r="BS35" s="26">
        <v>0.0</v>
      </c>
      <c r="BT35" s="26">
        <v>0.0</v>
      </c>
      <c r="BU35" s="26">
        <v>0.0</v>
      </c>
      <c r="BV35" s="2"/>
      <c r="BW35" s="26"/>
    </row>
    <row r="36" ht="12.75" customHeight="1" outlineLevel="1">
      <c r="A36" s="26" t="s">
        <v>347</v>
      </c>
      <c r="B36" s="26"/>
      <c r="C36" s="26"/>
      <c r="D36" s="26"/>
      <c r="E36" s="26"/>
      <c r="F36" s="26"/>
      <c r="G36" s="26">
        <v>0.0</v>
      </c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>
        <v>0.0</v>
      </c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>
        <v>0.0</v>
      </c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>
        <v>0.0</v>
      </c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>
        <v>0.0</v>
      </c>
      <c r="BH36" s="26">
        <v>0.0</v>
      </c>
      <c r="BI36" s="26">
        <v>0.0</v>
      </c>
      <c r="BJ36" s="26">
        <v>0.0</v>
      </c>
      <c r="BK36" s="26">
        <v>0.0</v>
      </c>
      <c r="BL36" s="26">
        <v>0.0</v>
      </c>
      <c r="BM36" s="26">
        <v>0.0</v>
      </c>
      <c r="BN36" s="26">
        <v>0.0</v>
      </c>
      <c r="BO36" s="26">
        <v>0.0</v>
      </c>
      <c r="BP36" s="26">
        <v>0.0</v>
      </c>
      <c r="BQ36" s="26">
        <v>0.0</v>
      </c>
      <c r="BR36" s="26">
        <v>0.0</v>
      </c>
      <c r="BS36" s="26">
        <v>0.0</v>
      </c>
      <c r="BT36" s="26">
        <v>0.0</v>
      </c>
      <c r="BU36" s="26">
        <v>0.0</v>
      </c>
      <c r="BV36" s="2"/>
      <c r="BW36" s="26"/>
    </row>
    <row r="37" ht="12.75" customHeight="1" outlineLevel="1">
      <c r="A37" s="26" t="s">
        <v>331</v>
      </c>
      <c r="B37" s="26"/>
      <c r="C37" s="26"/>
      <c r="D37" s="26"/>
      <c r="E37" s="26"/>
      <c r="F37" s="26"/>
      <c r="G37" s="26">
        <v>0.0</v>
      </c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>
        <v>0.0</v>
      </c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>
        <v>0.0</v>
      </c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>
        <v>0.0</v>
      </c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>
        <v>0.0</v>
      </c>
      <c r="BH37" s="26">
        <v>0.0</v>
      </c>
      <c r="BI37" s="26">
        <v>0.0</v>
      </c>
      <c r="BJ37" s="26">
        <v>0.0</v>
      </c>
      <c r="BK37" s="26">
        <v>0.0</v>
      </c>
      <c r="BL37" s="26">
        <v>0.0</v>
      </c>
      <c r="BM37" s="26">
        <v>0.0</v>
      </c>
      <c r="BN37" s="26">
        <v>0.0</v>
      </c>
      <c r="BO37" s="26">
        <v>0.0</v>
      </c>
      <c r="BP37" s="26">
        <v>0.0</v>
      </c>
      <c r="BQ37" s="26">
        <v>0.0</v>
      </c>
      <c r="BR37" s="26">
        <v>0.0</v>
      </c>
      <c r="BS37" s="26">
        <v>0.0</v>
      </c>
      <c r="BT37" s="26">
        <v>0.0</v>
      </c>
      <c r="BU37" s="26">
        <v>0.0</v>
      </c>
      <c r="BV37" s="2"/>
      <c r="BW37" s="26"/>
    </row>
    <row r="38" ht="12.75" customHeight="1">
      <c r="A38" s="302" t="s">
        <v>332</v>
      </c>
      <c r="B38" s="302">
        <f t="shared" ref="B38:T38" si="10">SUM(B34:B37)</f>
        <v>0</v>
      </c>
      <c r="C38" s="302">
        <f t="shared" si="10"/>
        <v>0</v>
      </c>
      <c r="D38" s="302">
        <f t="shared" si="10"/>
        <v>0</v>
      </c>
      <c r="E38" s="302">
        <f t="shared" si="10"/>
        <v>0</v>
      </c>
      <c r="F38" s="302">
        <f t="shared" si="10"/>
        <v>0</v>
      </c>
      <c r="G38" s="302">
        <f t="shared" si="10"/>
        <v>0</v>
      </c>
      <c r="H38" s="302">
        <f t="shared" si="10"/>
        <v>0</v>
      </c>
      <c r="I38" s="302">
        <f t="shared" si="10"/>
        <v>0</v>
      </c>
      <c r="J38" s="302">
        <f t="shared" si="10"/>
        <v>0</v>
      </c>
      <c r="K38" s="302">
        <f t="shared" si="10"/>
        <v>0</v>
      </c>
      <c r="L38" s="302">
        <f t="shared" si="10"/>
        <v>0</v>
      </c>
      <c r="M38" s="302">
        <f t="shared" si="10"/>
        <v>0</v>
      </c>
      <c r="N38" s="302">
        <f t="shared" si="10"/>
        <v>0</v>
      </c>
      <c r="O38" s="302">
        <f t="shared" si="10"/>
        <v>0</v>
      </c>
      <c r="P38" s="302">
        <f t="shared" si="10"/>
        <v>0</v>
      </c>
      <c r="Q38" s="302">
        <f t="shared" si="10"/>
        <v>0</v>
      </c>
      <c r="R38" s="302">
        <f t="shared" si="10"/>
        <v>0</v>
      </c>
      <c r="S38" s="302">
        <f t="shared" si="10"/>
        <v>0</v>
      </c>
      <c r="T38" s="302">
        <f t="shared" si="10"/>
        <v>0</v>
      </c>
      <c r="U38" s="310"/>
      <c r="V38" s="310"/>
      <c r="W38" s="310"/>
      <c r="X38" s="310"/>
      <c r="Y38" s="310"/>
      <c r="Z38" s="310"/>
      <c r="AA38" s="310"/>
      <c r="AB38" s="310"/>
      <c r="AC38" s="310"/>
      <c r="AD38" s="310"/>
      <c r="AE38" s="310"/>
      <c r="AF38" s="310"/>
      <c r="AG38" s="302">
        <f>SUM(AG34:AG37)</f>
        <v>0</v>
      </c>
      <c r="AH38" s="302"/>
      <c r="AI38" s="302"/>
      <c r="AJ38" s="302"/>
      <c r="AK38" s="302"/>
      <c r="AL38" s="302"/>
      <c r="AM38" s="302"/>
      <c r="AN38" s="302"/>
      <c r="AO38" s="302"/>
      <c r="AP38" s="302"/>
      <c r="AQ38" s="302"/>
      <c r="AR38" s="302"/>
      <c r="AS38" s="302"/>
      <c r="AT38" s="302">
        <f>SUM(AT34:AT37)</f>
        <v>0</v>
      </c>
      <c r="AU38" s="302"/>
      <c r="AV38" s="302"/>
      <c r="AW38" s="302"/>
      <c r="AX38" s="302"/>
      <c r="AY38" s="302"/>
      <c r="AZ38" s="302"/>
      <c r="BA38" s="302"/>
      <c r="BB38" s="302"/>
      <c r="BC38" s="302"/>
      <c r="BD38" s="302"/>
      <c r="BE38" s="302"/>
      <c r="BF38" s="302"/>
      <c r="BG38" s="302">
        <f t="shared" ref="BG38:BU38" si="11">SUM(BG34:BG37)</f>
        <v>0</v>
      </c>
      <c r="BH38" s="302">
        <f t="shared" si="11"/>
        <v>0</v>
      </c>
      <c r="BI38" s="302">
        <f t="shared" si="11"/>
        <v>0</v>
      </c>
      <c r="BJ38" s="302">
        <f t="shared" si="11"/>
        <v>0</v>
      </c>
      <c r="BK38" s="302">
        <f t="shared" si="11"/>
        <v>0</v>
      </c>
      <c r="BL38" s="302">
        <f t="shared" si="11"/>
        <v>0</v>
      </c>
      <c r="BM38" s="302">
        <f t="shared" si="11"/>
        <v>0</v>
      </c>
      <c r="BN38" s="302">
        <f t="shared" si="11"/>
        <v>0</v>
      </c>
      <c r="BO38" s="302">
        <f t="shared" si="11"/>
        <v>0</v>
      </c>
      <c r="BP38" s="302">
        <f t="shared" si="11"/>
        <v>0</v>
      </c>
      <c r="BQ38" s="302">
        <f t="shared" si="11"/>
        <v>0</v>
      </c>
      <c r="BR38" s="302">
        <f t="shared" si="11"/>
        <v>0</v>
      </c>
      <c r="BS38" s="302">
        <f t="shared" si="11"/>
        <v>0</v>
      </c>
      <c r="BT38" s="302">
        <f t="shared" si="11"/>
        <v>0</v>
      </c>
      <c r="BU38" s="302">
        <f t="shared" si="11"/>
        <v>0</v>
      </c>
      <c r="BV38" s="2"/>
      <c r="BW38" s="26"/>
    </row>
    <row r="39" ht="12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305"/>
      <c r="AH39" s="305"/>
      <c r="AI39" s="305"/>
      <c r="AJ39" s="305"/>
      <c r="AK39" s="305"/>
      <c r="AL39" s="305"/>
      <c r="AM39" s="305"/>
      <c r="AN39" s="305"/>
      <c r="AO39" s="305"/>
      <c r="AP39" s="305"/>
      <c r="AQ39" s="305"/>
      <c r="AR39" s="305"/>
      <c r="AS39" s="305"/>
      <c r="AT39" s="305"/>
      <c r="AU39" s="305"/>
      <c r="AV39" s="305"/>
      <c r="AW39" s="305"/>
      <c r="AX39" s="305"/>
      <c r="AY39" s="305"/>
      <c r="AZ39" s="305"/>
      <c r="BA39" s="305"/>
      <c r="BB39" s="305"/>
      <c r="BC39" s="305"/>
      <c r="BD39" s="305"/>
      <c r="BE39" s="305"/>
      <c r="BF39" s="305"/>
      <c r="BG39" s="305"/>
      <c r="BH39" s="305"/>
      <c r="BI39" s="305"/>
      <c r="BJ39" s="305"/>
      <c r="BK39" s="305"/>
      <c r="BL39" s="305"/>
      <c r="BM39" s="305"/>
      <c r="BN39" s="305"/>
      <c r="BO39" s="305"/>
      <c r="BP39" s="305"/>
      <c r="BQ39" s="305"/>
      <c r="BR39" s="305"/>
      <c r="BS39" s="305"/>
      <c r="BT39" s="305"/>
      <c r="BU39" s="305"/>
      <c r="BV39" s="2"/>
      <c r="BW39" s="26"/>
    </row>
    <row r="40" ht="12.75" customHeight="1">
      <c r="A40" s="233" t="s">
        <v>348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305"/>
      <c r="AH40" s="305"/>
      <c r="AI40" s="305"/>
      <c r="AJ40" s="305"/>
      <c r="AK40" s="305"/>
      <c r="AL40" s="305"/>
      <c r="AM40" s="305"/>
      <c r="AN40" s="305"/>
      <c r="AO40" s="305"/>
      <c r="AP40" s="305"/>
      <c r="AQ40" s="305"/>
      <c r="AR40" s="305"/>
      <c r="AS40" s="305"/>
      <c r="AT40" s="305"/>
      <c r="AU40" s="305"/>
      <c r="AV40" s="305"/>
      <c r="AW40" s="305"/>
      <c r="AX40" s="305"/>
      <c r="AY40" s="305"/>
      <c r="AZ40" s="305"/>
      <c r="BA40" s="305"/>
      <c r="BB40" s="305"/>
      <c r="BC40" s="305"/>
      <c r="BD40" s="305"/>
      <c r="BE40" s="305"/>
      <c r="BF40" s="305"/>
      <c r="BG40" s="305"/>
      <c r="BH40" s="305"/>
      <c r="BI40" s="305"/>
      <c r="BJ40" s="305"/>
      <c r="BK40" s="305"/>
      <c r="BL40" s="305"/>
      <c r="BM40" s="305"/>
      <c r="BN40" s="305"/>
      <c r="BO40" s="305"/>
      <c r="BP40" s="305"/>
      <c r="BQ40" s="305"/>
      <c r="BR40" s="305"/>
      <c r="BS40" s="305"/>
      <c r="BT40" s="305"/>
      <c r="BU40" s="305"/>
      <c r="BV40" s="2"/>
      <c r="BW40" s="26"/>
    </row>
    <row r="41" ht="12.75" customHeight="1" outlineLevel="1">
      <c r="A41" s="26" t="s">
        <v>349</v>
      </c>
      <c r="B41" s="26"/>
      <c r="C41" s="26"/>
      <c r="D41" s="26"/>
      <c r="E41" s="26"/>
      <c r="F41" s="26"/>
      <c r="G41" s="26">
        <f t="shared" ref="G41:G45" si="12">SUM(B41:F41)</f>
        <v>0</v>
      </c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>
        <f t="shared" ref="T41:T45" si="13">SUM(H41:S41)</f>
        <v>0</v>
      </c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>
        <f>SUM(U41:AF41)</f>
        <v>0</v>
      </c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>
        <v>0.0</v>
      </c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>
        <v>0.0</v>
      </c>
      <c r="BH41" s="26">
        <v>0.0</v>
      </c>
      <c r="BI41" s="26">
        <v>0.0</v>
      </c>
      <c r="BJ41" s="26">
        <v>0.0</v>
      </c>
      <c r="BK41" s="26">
        <v>0.0</v>
      </c>
      <c r="BL41" s="26">
        <v>0.0</v>
      </c>
      <c r="BM41" s="26">
        <v>0.0</v>
      </c>
      <c r="BN41" s="26">
        <v>0.0</v>
      </c>
      <c r="BO41" s="26">
        <v>0.0</v>
      </c>
      <c r="BP41" s="26">
        <v>0.0</v>
      </c>
      <c r="BQ41" s="26">
        <v>0.0</v>
      </c>
      <c r="BR41" s="26">
        <v>0.0</v>
      </c>
      <c r="BS41" s="26">
        <v>0.0</v>
      </c>
      <c r="BT41" s="26">
        <v>0.0</v>
      </c>
      <c r="BU41" s="26">
        <v>0.0</v>
      </c>
      <c r="BV41" s="2"/>
      <c r="BW41" s="26"/>
    </row>
    <row r="42" ht="12.75" customHeight="1" outlineLevel="1">
      <c r="A42" s="26" t="s">
        <v>350</v>
      </c>
      <c r="B42" s="26">
        <f>'A-0'!J14</f>
        <v>0</v>
      </c>
      <c r="C42" s="26">
        <f>'A-0'!K14</f>
        <v>0</v>
      </c>
      <c r="D42" s="26">
        <f>'A-0'!L14</f>
        <v>0</v>
      </c>
      <c r="E42" s="26">
        <f>'A-0'!M14</f>
        <v>0</v>
      </c>
      <c r="F42" s="26">
        <f>'A-0'!N14</f>
        <v>0</v>
      </c>
      <c r="G42" s="26">
        <f t="shared" si="12"/>
        <v>0</v>
      </c>
      <c r="H42" s="26">
        <f>'A-0'!O14</f>
        <v>241673.4676</v>
      </c>
      <c r="I42" s="26">
        <f>'A-0'!P14</f>
        <v>241673.4676</v>
      </c>
      <c r="J42" s="26">
        <f>'A-0'!Q14</f>
        <v>241673.4676</v>
      </c>
      <c r="K42" s="26">
        <f>'A-0'!R14</f>
        <v>241673.4676</v>
      </c>
      <c r="L42" s="26">
        <f>'A-0'!S14</f>
        <v>241673.4676</v>
      </c>
      <c r="M42" s="26">
        <f>'A-0'!T14</f>
        <v>241673.4676</v>
      </c>
      <c r="N42" s="26">
        <f>'A-0'!U14</f>
        <v>241673.4676</v>
      </c>
      <c r="O42" s="26">
        <f>'A-0'!V14</f>
        <v>241673.4676</v>
      </c>
      <c r="P42" s="26">
        <f>'A-0'!W14</f>
        <v>241673.4676</v>
      </c>
      <c r="Q42" s="26">
        <f>'A-0'!X14</f>
        <v>241673.4676</v>
      </c>
      <c r="R42" s="26">
        <f>'A-0'!Y14</f>
        <v>241673.4676</v>
      </c>
      <c r="S42" s="26">
        <f>'A-0'!Z14</f>
        <v>241673.4676</v>
      </c>
      <c r="T42" s="26">
        <f t="shared" si="13"/>
        <v>2900081.611</v>
      </c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"/>
      <c r="BW42" s="26"/>
    </row>
    <row r="43" ht="12.75" customHeight="1" outlineLevel="1">
      <c r="A43" s="26" t="s">
        <v>351</v>
      </c>
      <c r="B43" s="26"/>
      <c r="C43" s="26"/>
      <c r="D43" s="26"/>
      <c r="E43" s="26"/>
      <c r="F43" s="26"/>
      <c r="G43" s="26">
        <f t="shared" si="12"/>
        <v>0</v>
      </c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>
        <f t="shared" si="13"/>
        <v>0</v>
      </c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>
        <f t="shared" ref="AG43:AG45" si="14">SUM(U43:AF43)</f>
        <v>0</v>
      </c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>
        <v>0.0</v>
      </c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>
        <v>0.0</v>
      </c>
      <c r="BH43" s="26">
        <v>0.0</v>
      </c>
      <c r="BI43" s="26">
        <v>0.0</v>
      </c>
      <c r="BJ43" s="26">
        <v>0.0</v>
      </c>
      <c r="BK43" s="26">
        <v>0.0</v>
      </c>
      <c r="BL43" s="26">
        <v>0.0</v>
      </c>
      <c r="BM43" s="26">
        <v>0.0</v>
      </c>
      <c r="BN43" s="26">
        <v>0.0</v>
      </c>
      <c r="BO43" s="26">
        <v>0.0</v>
      </c>
      <c r="BP43" s="26">
        <v>0.0</v>
      </c>
      <c r="BQ43" s="26">
        <v>0.0</v>
      </c>
      <c r="BR43" s="26">
        <v>0.0</v>
      </c>
      <c r="BS43" s="26">
        <v>0.0</v>
      </c>
      <c r="BT43" s="26">
        <v>0.0</v>
      </c>
      <c r="BU43" s="26">
        <v>0.0</v>
      </c>
      <c r="BV43" s="2"/>
      <c r="BW43" s="26"/>
    </row>
    <row r="44" ht="12.75" customHeight="1" outlineLevel="1">
      <c r="A44" s="26" t="s">
        <v>352</v>
      </c>
      <c r="B44" s="26"/>
      <c r="C44" s="26"/>
      <c r="D44" s="26"/>
      <c r="E44" s="26"/>
      <c r="F44" s="26"/>
      <c r="G44" s="26">
        <f t="shared" si="12"/>
        <v>0</v>
      </c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>
        <f t="shared" si="13"/>
        <v>0</v>
      </c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>
        <f t="shared" si="14"/>
        <v>0</v>
      </c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>
        <v>0.0</v>
      </c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>
        <v>0.0</v>
      </c>
      <c r="BH44" s="26">
        <v>0.0</v>
      </c>
      <c r="BI44" s="26">
        <v>0.0</v>
      </c>
      <c r="BJ44" s="26">
        <v>0.0</v>
      </c>
      <c r="BK44" s="26">
        <v>0.0</v>
      </c>
      <c r="BL44" s="26">
        <v>0.0</v>
      </c>
      <c r="BM44" s="26">
        <v>0.0</v>
      </c>
      <c r="BN44" s="26">
        <v>0.0</v>
      </c>
      <c r="BO44" s="26">
        <v>0.0</v>
      </c>
      <c r="BP44" s="26">
        <v>0.0</v>
      </c>
      <c r="BQ44" s="26">
        <v>0.0</v>
      </c>
      <c r="BR44" s="26">
        <v>0.0</v>
      </c>
      <c r="BS44" s="26">
        <v>0.0</v>
      </c>
      <c r="BT44" s="26">
        <v>0.0</v>
      </c>
      <c r="BU44" s="26">
        <v>0.0</v>
      </c>
      <c r="BV44" s="2"/>
      <c r="BW44" s="26"/>
    </row>
    <row r="45" ht="12.75" customHeight="1" outlineLevel="1">
      <c r="A45" s="26" t="s">
        <v>340</v>
      </c>
      <c r="B45" s="26"/>
      <c r="C45" s="26"/>
      <c r="D45" s="26"/>
      <c r="E45" s="26"/>
      <c r="F45" s="26"/>
      <c r="G45" s="26">
        <f t="shared" si="12"/>
        <v>0</v>
      </c>
      <c r="H45" s="26">
        <f>'A-0'!O9</f>
        <v>35495.80534</v>
      </c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>
        <f t="shared" si="13"/>
        <v>35495.80534</v>
      </c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>
        <f t="shared" si="14"/>
        <v>0</v>
      </c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>
        <v>0.0</v>
      </c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>
        <v>0.0</v>
      </c>
      <c r="BH45" s="26">
        <v>0.0</v>
      </c>
      <c r="BI45" s="26">
        <v>0.0</v>
      </c>
      <c r="BJ45" s="26">
        <v>0.0</v>
      </c>
      <c r="BK45" s="26">
        <v>0.0</v>
      </c>
      <c r="BL45" s="26">
        <v>0.0</v>
      </c>
      <c r="BM45" s="26">
        <v>0.0</v>
      </c>
      <c r="BN45" s="26">
        <v>0.0</v>
      </c>
      <c r="BO45" s="26">
        <v>0.0</v>
      </c>
      <c r="BP45" s="26">
        <v>0.0</v>
      </c>
      <c r="BQ45" s="26">
        <v>0.0</v>
      </c>
      <c r="BR45" s="26">
        <v>0.0</v>
      </c>
      <c r="BS45" s="26">
        <v>0.0</v>
      </c>
      <c r="BT45" s="26">
        <v>0.0</v>
      </c>
      <c r="BU45" s="26">
        <v>0.0</v>
      </c>
      <c r="BV45" s="2"/>
      <c r="BW45" s="26"/>
    </row>
    <row r="46" ht="12.75" customHeight="1">
      <c r="A46" s="302" t="s">
        <v>342</v>
      </c>
      <c r="B46" s="302">
        <f t="shared" ref="B46:BU46" si="15">SUM(B41:B45)</f>
        <v>0</v>
      </c>
      <c r="C46" s="302">
        <f t="shared" si="15"/>
        <v>0</v>
      </c>
      <c r="D46" s="302">
        <f t="shared" si="15"/>
        <v>0</v>
      </c>
      <c r="E46" s="302">
        <f t="shared" si="15"/>
        <v>0</v>
      </c>
      <c r="F46" s="302">
        <f t="shared" si="15"/>
        <v>0</v>
      </c>
      <c r="G46" s="302">
        <f t="shared" si="15"/>
        <v>0</v>
      </c>
      <c r="H46" s="302">
        <f t="shared" si="15"/>
        <v>277169.2729</v>
      </c>
      <c r="I46" s="302">
        <f t="shared" si="15"/>
        <v>241673.4676</v>
      </c>
      <c r="J46" s="302">
        <f t="shared" si="15"/>
        <v>241673.4676</v>
      </c>
      <c r="K46" s="302">
        <f t="shared" si="15"/>
        <v>241673.4676</v>
      </c>
      <c r="L46" s="302">
        <f t="shared" si="15"/>
        <v>241673.4676</v>
      </c>
      <c r="M46" s="302">
        <f t="shared" si="15"/>
        <v>241673.4676</v>
      </c>
      <c r="N46" s="302">
        <f t="shared" si="15"/>
        <v>241673.4676</v>
      </c>
      <c r="O46" s="302">
        <f t="shared" si="15"/>
        <v>241673.4676</v>
      </c>
      <c r="P46" s="302">
        <f t="shared" si="15"/>
        <v>241673.4676</v>
      </c>
      <c r="Q46" s="302">
        <f t="shared" si="15"/>
        <v>241673.4676</v>
      </c>
      <c r="R46" s="302">
        <f t="shared" si="15"/>
        <v>241673.4676</v>
      </c>
      <c r="S46" s="302">
        <f t="shared" si="15"/>
        <v>241673.4676</v>
      </c>
      <c r="T46" s="302">
        <f t="shared" si="15"/>
        <v>2935577.417</v>
      </c>
      <c r="U46" s="302">
        <f t="shared" si="15"/>
        <v>0</v>
      </c>
      <c r="V46" s="302">
        <f t="shared" si="15"/>
        <v>0</v>
      </c>
      <c r="W46" s="302">
        <f t="shared" si="15"/>
        <v>0</v>
      </c>
      <c r="X46" s="302">
        <f t="shared" si="15"/>
        <v>0</v>
      </c>
      <c r="Y46" s="302">
        <f t="shared" si="15"/>
        <v>0</v>
      </c>
      <c r="Z46" s="302">
        <f t="shared" si="15"/>
        <v>0</v>
      </c>
      <c r="AA46" s="302">
        <f t="shared" si="15"/>
        <v>0</v>
      </c>
      <c r="AB46" s="302">
        <f t="shared" si="15"/>
        <v>0</v>
      </c>
      <c r="AC46" s="302">
        <f t="shared" si="15"/>
        <v>0</v>
      </c>
      <c r="AD46" s="302">
        <f t="shared" si="15"/>
        <v>0</v>
      </c>
      <c r="AE46" s="302">
        <f t="shared" si="15"/>
        <v>0</v>
      </c>
      <c r="AF46" s="302">
        <f t="shared" si="15"/>
        <v>0</v>
      </c>
      <c r="AG46" s="302">
        <f t="shared" si="15"/>
        <v>0</v>
      </c>
      <c r="AH46" s="302">
        <f t="shared" si="15"/>
        <v>0</v>
      </c>
      <c r="AI46" s="302">
        <f t="shared" si="15"/>
        <v>0</v>
      </c>
      <c r="AJ46" s="302">
        <f t="shared" si="15"/>
        <v>0</v>
      </c>
      <c r="AK46" s="302">
        <f t="shared" si="15"/>
        <v>0</v>
      </c>
      <c r="AL46" s="302">
        <f t="shared" si="15"/>
        <v>0</v>
      </c>
      <c r="AM46" s="302">
        <f t="shared" si="15"/>
        <v>0</v>
      </c>
      <c r="AN46" s="302">
        <f t="shared" si="15"/>
        <v>0</v>
      </c>
      <c r="AO46" s="302">
        <f t="shared" si="15"/>
        <v>0</v>
      </c>
      <c r="AP46" s="302">
        <f t="shared" si="15"/>
        <v>0</v>
      </c>
      <c r="AQ46" s="302">
        <f t="shared" si="15"/>
        <v>0</v>
      </c>
      <c r="AR46" s="302">
        <f t="shared" si="15"/>
        <v>0</v>
      </c>
      <c r="AS46" s="302">
        <f t="shared" si="15"/>
        <v>0</v>
      </c>
      <c r="AT46" s="302">
        <f t="shared" si="15"/>
        <v>0</v>
      </c>
      <c r="AU46" s="302">
        <f t="shared" si="15"/>
        <v>0</v>
      </c>
      <c r="AV46" s="302">
        <f t="shared" si="15"/>
        <v>0</v>
      </c>
      <c r="AW46" s="302">
        <f t="shared" si="15"/>
        <v>0</v>
      </c>
      <c r="AX46" s="302">
        <f t="shared" si="15"/>
        <v>0</v>
      </c>
      <c r="AY46" s="302">
        <f t="shared" si="15"/>
        <v>0</v>
      </c>
      <c r="AZ46" s="302">
        <f t="shared" si="15"/>
        <v>0</v>
      </c>
      <c r="BA46" s="302">
        <f t="shared" si="15"/>
        <v>0</v>
      </c>
      <c r="BB46" s="302">
        <f t="shared" si="15"/>
        <v>0</v>
      </c>
      <c r="BC46" s="302">
        <f t="shared" si="15"/>
        <v>0</v>
      </c>
      <c r="BD46" s="302">
        <f t="shared" si="15"/>
        <v>0</v>
      </c>
      <c r="BE46" s="302">
        <f t="shared" si="15"/>
        <v>0</v>
      </c>
      <c r="BF46" s="302">
        <f t="shared" si="15"/>
        <v>0</v>
      </c>
      <c r="BG46" s="302">
        <f t="shared" si="15"/>
        <v>0</v>
      </c>
      <c r="BH46" s="302">
        <f t="shared" si="15"/>
        <v>0</v>
      </c>
      <c r="BI46" s="302">
        <f t="shared" si="15"/>
        <v>0</v>
      </c>
      <c r="BJ46" s="302">
        <f t="shared" si="15"/>
        <v>0</v>
      </c>
      <c r="BK46" s="302">
        <f t="shared" si="15"/>
        <v>0</v>
      </c>
      <c r="BL46" s="302">
        <f t="shared" si="15"/>
        <v>0</v>
      </c>
      <c r="BM46" s="302">
        <f t="shared" si="15"/>
        <v>0</v>
      </c>
      <c r="BN46" s="302">
        <f t="shared" si="15"/>
        <v>0</v>
      </c>
      <c r="BO46" s="302">
        <f t="shared" si="15"/>
        <v>0</v>
      </c>
      <c r="BP46" s="302">
        <f t="shared" si="15"/>
        <v>0</v>
      </c>
      <c r="BQ46" s="302">
        <f t="shared" si="15"/>
        <v>0</v>
      </c>
      <c r="BR46" s="302">
        <f t="shared" si="15"/>
        <v>0</v>
      </c>
      <c r="BS46" s="302">
        <f t="shared" si="15"/>
        <v>0</v>
      </c>
      <c r="BT46" s="302">
        <f t="shared" si="15"/>
        <v>0</v>
      </c>
      <c r="BU46" s="302">
        <f t="shared" si="15"/>
        <v>0</v>
      </c>
      <c r="BV46" s="2"/>
      <c r="BW46" s="26"/>
    </row>
    <row r="47" ht="12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"/>
      <c r="BW47" s="26"/>
    </row>
    <row r="48" ht="12.75" customHeight="1">
      <c r="A48" s="222" t="s">
        <v>353</v>
      </c>
      <c r="B48" s="307">
        <f t="shared" ref="B48:BU48" si="16">B38-B46</f>
        <v>0</v>
      </c>
      <c r="C48" s="307">
        <f t="shared" si="16"/>
        <v>0</v>
      </c>
      <c r="D48" s="307">
        <f t="shared" si="16"/>
        <v>0</v>
      </c>
      <c r="E48" s="307">
        <f t="shared" si="16"/>
        <v>0</v>
      </c>
      <c r="F48" s="307">
        <f t="shared" si="16"/>
        <v>0</v>
      </c>
      <c r="G48" s="307">
        <f t="shared" si="16"/>
        <v>0</v>
      </c>
      <c r="H48" s="307">
        <f t="shared" si="16"/>
        <v>-277169.2729</v>
      </c>
      <c r="I48" s="307">
        <f t="shared" si="16"/>
        <v>-241673.4676</v>
      </c>
      <c r="J48" s="307">
        <f t="shared" si="16"/>
        <v>-241673.4676</v>
      </c>
      <c r="K48" s="307">
        <f t="shared" si="16"/>
        <v>-241673.4676</v>
      </c>
      <c r="L48" s="307">
        <f t="shared" si="16"/>
        <v>-241673.4676</v>
      </c>
      <c r="M48" s="307">
        <f t="shared" si="16"/>
        <v>-241673.4676</v>
      </c>
      <c r="N48" s="307">
        <f t="shared" si="16"/>
        <v>-241673.4676</v>
      </c>
      <c r="O48" s="307">
        <f t="shared" si="16"/>
        <v>-241673.4676</v>
      </c>
      <c r="P48" s="307">
        <f t="shared" si="16"/>
        <v>-241673.4676</v>
      </c>
      <c r="Q48" s="307">
        <f t="shared" si="16"/>
        <v>-241673.4676</v>
      </c>
      <c r="R48" s="307">
        <f t="shared" si="16"/>
        <v>-241673.4676</v>
      </c>
      <c r="S48" s="307">
        <f t="shared" si="16"/>
        <v>-241673.4676</v>
      </c>
      <c r="T48" s="307">
        <f t="shared" si="16"/>
        <v>-2935577.417</v>
      </c>
      <c r="U48" s="307">
        <f t="shared" si="16"/>
        <v>0</v>
      </c>
      <c r="V48" s="307">
        <f t="shared" si="16"/>
        <v>0</v>
      </c>
      <c r="W48" s="307">
        <f t="shared" si="16"/>
        <v>0</v>
      </c>
      <c r="X48" s="307">
        <f t="shared" si="16"/>
        <v>0</v>
      </c>
      <c r="Y48" s="307">
        <f t="shared" si="16"/>
        <v>0</v>
      </c>
      <c r="Z48" s="307">
        <f t="shared" si="16"/>
        <v>0</v>
      </c>
      <c r="AA48" s="307">
        <f t="shared" si="16"/>
        <v>0</v>
      </c>
      <c r="AB48" s="307">
        <f t="shared" si="16"/>
        <v>0</v>
      </c>
      <c r="AC48" s="307">
        <f t="shared" si="16"/>
        <v>0</v>
      </c>
      <c r="AD48" s="307">
        <f t="shared" si="16"/>
        <v>0</v>
      </c>
      <c r="AE48" s="307">
        <f t="shared" si="16"/>
        <v>0</v>
      </c>
      <c r="AF48" s="307">
        <f t="shared" si="16"/>
        <v>0</v>
      </c>
      <c r="AG48" s="307">
        <f t="shared" si="16"/>
        <v>0</v>
      </c>
      <c r="AH48" s="307">
        <f t="shared" si="16"/>
        <v>0</v>
      </c>
      <c r="AI48" s="307">
        <f t="shared" si="16"/>
        <v>0</v>
      </c>
      <c r="AJ48" s="307">
        <f t="shared" si="16"/>
        <v>0</v>
      </c>
      <c r="AK48" s="307">
        <f t="shared" si="16"/>
        <v>0</v>
      </c>
      <c r="AL48" s="307">
        <f t="shared" si="16"/>
        <v>0</v>
      </c>
      <c r="AM48" s="307">
        <f t="shared" si="16"/>
        <v>0</v>
      </c>
      <c r="AN48" s="307">
        <f t="shared" si="16"/>
        <v>0</v>
      </c>
      <c r="AO48" s="307">
        <f t="shared" si="16"/>
        <v>0</v>
      </c>
      <c r="AP48" s="307">
        <f t="shared" si="16"/>
        <v>0</v>
      </c>
      <c r="AQ48" s="307">
        <f t="shared" si="16"/>
        <v>0</v>
      </c>
      <c r="AR48" s="307">
        <f t="shared" si="16"/>
        <v>0</v>
      </c>
      <c r="AS48" s="307">
        <f t="shared" si="16"/>
        <v>0</v>
      </c>
      <c r="AT48" s="307">
        <f t="shared" si="16"/>
        <v>0</v>
      </c>
      <c r="AU48" s="307">
        <f t="shared" si="16"/>
        <v>0</v>
      </c>
      <c r="AV48" s="307">
        <f t="shared" si="16"/>
        <v>0</v>
      </c>
      <c r="AW48" s="307">
        <f t="shared" si="16"/>
        <v>0</v>
      </c>
      <c r="AX48" s="307">
        <f t="shared" si="16"/>
        <v>0</v>
      </c>
      <c r="AY48" s="307">
        <f t="shared" si="16"/>
        <v>0</v>
      </c>
      <c r="AZ48" s="307">
        <f t="shared" si="16"/>
        <v>0</v>
      </c>
      <c r="BA48" s="307">
        <f t="shared" si="16"/>
        <v>0</v>
      </c>
      <c r="BB48" s="307">
        <f t="shared" si="16"/>
        <v>0</v>
      </c>
      <c r="BC48" s="307">
        <f t="shared" si="16"/>
        <v>0</v>
      </c>
      <c r="BD48" s="307">
        <f t="shared" si="16"/>
        <v>0</v>
      </c>
      <c r="BE48" s="307">
        <f t="shared" si="16"/>
        <v>0</v>
      </c>
      <c r="BF48" s="307">
        <f t="shared" si="16"/>
        <v>0</v>
      </c>
      <c r="BG48" s="307">
        <f t="shared" si="16"/>
        <v>0</v>
      </c>
      <c r="BH48" s="307">
        <f t="shared" si="16"/>
        <v>0</v>
      </c>
      <c r="BI48" s="307">
        <f t="shared" si="16"/>
        <v>0</v>
      </c>
      <c r="BJ48" s="307">
        <f t="shared" si="16"/>
        <v>0</v>
      </c>
      <c r="BK48" s="307">
        <f t="shared" si="16"/>
        <v>0</v>
      </c>
      <c r="BL48" s="307">
        <f t="shared" si="16"/>
        <v>0</v>
      </c>
      <c r="BM48" s="307">
        <f t="shared" si="16"/>
        <v>0</v>
      </c>
      <c r="BN48" s="307">
        <f t="shared" si="16"/>
        <v>0</v>
      </c>
      <c r="BO48" s="307">
        <f t="shared" si="16"/>
        <v>0</v>
      </c>
      <c r="BP48" s="307">
        <f t="shared" si="16"/>
        <v>0</v>
      </c>
      <c r="BQ48" s="307">
        <f t="shared" si="16"/>
        <v>0</v>
      </c>
      <c r="BR48" s="307">
        <f t="shared" si="16"/>
        <v>0</v>
      </c>
      <c r="BS48" s="307">
        <f t="shared" si="16"/>
        <v>0</v>
      </c>
      <c r="BT48" s="307">
        <f t="shared" si="16"/>
        <v>0</v>
      </c>
      <c r="BU48" s="307">
        <f t="shared" si="16"/>
        <v>0</v>
      </c>
      <c r="BV48" s="2"/>
      <c r="BW48" s="26"/>
    </row>
    <row r="49" ht="12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"/>
      <c r="BW49" s="26"/>
    </row>
    <row r="50" ht="12.75" customHeight="1">
      <c r="A50" s="263" t="s">
        <v>354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8"/>
      <c r="V50" s="308"/>
      <c r="W50" s="308"/>
      <c r="X50" s="308"/>
      <c r="Y50" s="308"/>
      <c r="Z50" s="308"/>
      <c r="AA50" s="308"/>
      <c r="AB50" s="308"/>
      <c r="AC50" s="308"/>
      <c r="AD50" s="308"/>
      <c r="AE50" s="308"/>
      <c r="AF50" s="308"/>
      <c r="AG50" s="309"/>
      <c r="AH50" s="309"/>
      <c r="AI50" s="309"/>
      <c r="AJ50" s="309"/>
      <c r="AK50" s="309"/>
      <c r="AL50" s="309"/>
      <c r="AM50" s="309"/>
      <c r="AN50" s="309"/>
      <c r="AO50" s="309"/>
      <c r="AP50" s="309"/>
      <c r="AQ50" s="309"/>
      <c r="AR50" s="309"/>
      <c r="AS50" s="309"/>
      <c r="AT50" s="309"/>
      <c r="AU50" s="309"/>
      <c r="AV50" s="309"/>
      <c r="AW50" s="309"/>
      <c r="AX50" s="309"/>
      <c r="AY50" s="309"/>
      <c r="AZ50" s="309"/>
      <c r="BA50" s="309"/>
      <c r="BB50" s="309"/>
      <c r="BC50" s="309"/>
      <c r="BD50" s="309"/>
      <c r="BE50" s="309"/>
      <c r="BF50" s="309"/>
      <c r="BG50" s="309"/>
      <c r="BH50" s="309"/>
      <c r="BI50" s="309"/>
      <c r="BJ50" s="309"/>
      <c r="BK50" s="309"/>
      <c r="BL50" s="309"/>
      <c r="BM50" s="309"/>
      <c r="BN50" s="309"/>
      <c r="BO50" s="309"/>
      <c r="BP50" s="309"/>
      <c r="BQ50" s="309"/>
      <c r="BR50" s="309"/>
      <c r="BS50" s="309"/>
      <c r="BT50" s="309"/>
      <c r="BU50" s="309"/>
      <c r="BV50" s="2"/>
      <c r="BW50" s="26"/>
    </row>
    <row r="51" ht="12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305"/>
      <c r="AH51" s="305"/>
      <c r="AI51" s="305"/>
      <c r="AJ51" s="305"/>
      <c r="AK51" s="305"/>
      <c r="AL51" s="305"/>
      <c r="AM51" s="305"/>
      <c r="AN51" s="305"/>
      <c r="AO51" s="305"/>
      <c r="AP51" s="305"/>
      <c r="AQ51" s="305"/>
      <c r="AR51" s="305"/>
      <c r="AS51" s="305"/>
      <c r="AT51" s="305"/>
      <c r="AU51" s="305"/>
      <c r="AV51" s="305"/>
      <c r="AW51" s="305"/>
      <c r="AX51" s="305"/>
      <c r="AY51" s="305"/>
      <c r="AZ51" s="305"/>
      <c r="BA51" s="305"/>
      <c r="BB51" s="305"/>
      <c r="BC51" s="305"/>
      <c r="BD51" s="305"/>
      <c r="BE51" s="305"/>
      <c r="BF51" s="305"/>
      <c r="BG51" s="305"/>
      <c r="BH51" s="305"/>
      <c r="BI51" s="305"/>
      <c r="BJ51" s="305"/>
      <c r="BK51" s="305"/>
      <c r="BL51" s="305"/>
      <c r="BM51" s="305"/>
      <c r="BN51" s="305"/>
      <c r="BO51" s="305"/>
      <c r="BP51" s="305"/>
      <c r="BQ51" s="305"/>
      <c r="BR51" s="305"/>
      <c r="BS51" s="305"/>
      <c r="BT51" s="305"/>
      <c r="BU51" s="305"/>
      <c r="BV51" s="2"/>
      <c r="BW51" s="26"/>
    </row>
    <row r="52" ht="12.75" customHeight="1">
      <c r="A52" s="233" t="s">
        <v>326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305"/>
      <c r="AH52" s="305"/>
      <c r="AI52" s="305"/>
      <c r="AJ52" s="305"/>
      <c r="AK52" s="305"/>
      <c r="AL52" s="305"/>
      <c r="AM52" s="305"/>
      <c r="AN52" s="305"/>
      <c r="AO52" s="305"/>
      <c r="AP52" s="305"/>
      <c r="AQ52" s="305"/>
      <c r="AR52" s="305"/>
      <c r="AS52" s="305"/>
      <c r="AT52" s="305"/>
      <c r="AU52" s="305"/>
      <c r="AV52" s="305"/>
      <c r="AW52" s="305"/>
      <c r="AX52" s="305"/>
      <c r="AY52" s="305"/>
      <c r="AZ52" s="305"/>
      <c r="BA52" s="305"/>
      <c r="BB52" s="305"/>
      <c r="BC52" s="305"/>
      <c r="BD52" s="305"/>
      <c r="BE52" s="305"/>
      <c r="BF52" s="305"/>
      <c r="BG52" s="305"/>
      <c r="BH52" s="305"/>
      <c r="BI52" s="305"/>
      <c r="BJ52" s="305"/>
      <c r="BK52" s="305"/>
      <c r="BL52" s="305"/>
      <c r="BM52" s="305"/>
      <c r="BN52" s="305"/>
      <c r="BO52" s="305"/>
      <c r="BP52" s="305"/>
      <c r="BQ52" s="305"/>
      <c r="BR52" s="305"/>
      <c r="BS52" s="305"/>
      <c r="BT52" s="305"/>
      <c r="BU52" s="305"/>
      <c r="BV52" s="2"/>
      <c r="BW52" s="26"/>
    </row>
    <row r="53" ht="12.75" customHeight="1" outlineLevel="1">
      <c r="A53" s="26" t="s">
        <v>355</v>
      </c>
      <c r="B53" s="26"/>
      <c r="C53" s="26">
        <f>'A-0'!K16</f>
        <v>0</v>
      </c>
      <c r="D53" s="26">
        <f>'A-0'!L16</f>
        <v>0</v>
      </c>
      <c r="E53" s="26">
        <f>'A-0'!M16</f>
        <v>0</v>
      </c>
      <c r="F53" s="26">
        <f>'A-0'!N16</f>
        <v>0</v>
      </c>
      <c r="G53" s="26">
        <f t="shared" ref="G53:G57" si="18">SUM(B53:F53)</f>
        <v>0</v>
      </c>
      <c r="H53" s="26">
        <f>'A-0'!O16</f>
        <v>48334.69352</v>
      </c>
      <c r="I53" s="26">
        <f>'A-0'!P16</f>
        <v>48334.69352</v>
      </c>
      <c r="J53" s="26">
        <f>'A-0'!Q16</f>
        <v>48334.69352</v>
      </c>
      <c r="K53" s="26">
        <f>'A-0'!R16</f>
        <v>48334.69352</v>
      </c>
      <c r="L53" s="26">
        <f>'A-0'!S16</f>
        <v>48334.69352</v>
      </c>
      <c r="M53" s="26">
        <f>'A-0'!T16</f>
        <v>48334.69352</v>
      </c>
      <c r="N53" s="26">
        <f>'A-0'!U16</f>
        <v>48334.69352</v>
      </c>
      <c r="O53" s="26">
        <f>'A-0'!V16</f>
        <v>48334.69352</v>
      </c>
      <c r="P53" s="26">
        <f>'A-0'!W16</f>
        <v>48334.69352</v>
      </c>
      <c r="Q53" s="26">
        <f>'A-0'!X16</f>
        <v>48334.69352</v>
      </c>
      <c r="R53" s="26">
        <f>'A-0'!Y16</f>
        <v>48334.69352</v>
      </c>
      <c r="S53" s="26">
        <f>'A-0'!Z16</f>
        <v>48334.69352</v>
      </c>
      <c r="T53" s="26">
        <f t="shared" ref="T53:T57" si="19">SUM(H53:S53)</f>
        <v>580016.3223</v>
      </c>
      <c r="U53" s="26" t="str">
        <f t="shared" ref="U53:BU53" si="17">U42</f>
        <v/>
      </c>
      <c r="V53" s="26" t="str">
        <f t="shared" si="17"/>
        <v/>
      </c>
      <c r="W53" s="26" t="str">
        <f t="shared" si="17"/>
        <v/>
      </c>
      <c r="X53" s="26" t="str">
        <f t="shared" si="17"/>
        <v/>
      </c>
      <c r="Y53" s="26" t="str">
        <f t="shared" si="17"/>
        <v/>
      </c>
      <c r="Z53" s="26" t="str">
        <f t="shared" si="17"/>
        <v/>
      </c>
      <c r="AA53" s="26" t="str">
        <f t="shared" si="17"/>
        <v/>
      </c>
      <c r="AB53" s="26" t="str">
        <f t="shared" si="17"/>
        <v/>
      </c>
      <c r="AC53" s="26" t="str">
        <f t="shared" si="17"/>
        <v/>
      </c>
      <c r="AD53" s="26" t="str">
        <f t="shared" si="17"/>
        <v/>
      </c>
      <c r="AE53" s="26" t="str">
        <f t="shared" si="17"/>
        <v/>
      </c>
      <c r="AF53" s="26" t="str">
        <f t="shared" si="17"/>
        <v/>
      </c>
      <c r="AG53" s="26" t="str">
        <f t="shared" si="17"/>
        <v/>
      </c>
      <c r="AH53" s="26" t="str">
        <f t="shared" si="17"/>
        <v/>
      </c>
      <c r="AI53" s="26" t="str">
        <f t="shared" si="17"/>
        <v/>
      </c>
      <c r="AJ53" s="26" t="str">
        <f t="shared" si="17"/>
        <v/>
      </c>
      <c r="AK53" s="26" t="str">
        <f t="shared" si="17"/>
        <v/>
      </c>
      <c r="AL53" s="26" t="str">
        <f t="shared" si="17"/>
        <v/>
      </c>
      <c r="AM53" s="26" t="str">
        <f t="shared" si="17"/>
        <v/>
      </c>
      <c r="AN53" s="26" t="str">
        <f t="shared" si="17"/>
        <v/>
      </c>
      <c r="AO53" s="26" t="str">
        <f t="shared" si="17"/>
        <v/>
      </c>
      <c r="AP53" s="26" t="str">
        <f t="shared" si="17"/>
        <v/>
      </c>
      <c r="AQ53" s="26" t="str">
        <f t="shared" si="17"/>
        <v/>
      </c>
      <c r="AR53" s="26" t="str">
        <f t="shared" si="17"/>
        <v/>
      </c>
      <c r="AS53" s="26" t="str">
        <f t="shared" si="17"/>
        <v/>
      </c>
      <c r="AT53" s="26" t="str">
        <f t="shared" si="17"/>
        <v/>
      </c>
      <c r="AU53" s="26" t="str">
        <f t="shared" si="17"/>
        <v/>
      </c>
      <c r="AV53" s="26" t="str">
        <f t="shared" si="17"/>
        <v/>
      </c>
      <c r="AW53" s="26" t="str">
        <f t="shared" si="17"/>
        <v/>
      </c>
      <c r="AX53" s="26" t="str">
        <f t="shared" si="17"/>
        <v/>
      </c>
      <c r="AY53" s="26" t="str">
        <f t="shared" si="17"/>
        <v/>
      </c>
      <c r="AZ53" s="26" t="str">
        <f t="shared" si="17"/>
        <v/>
      </c>
      <c r="BA53" s="26" t="str">
        <f t="shared" si="17"/>
        <v/>
      </c>
      <c r="BB53" s="26" t="str">
        <f t="shared" si="17"/>
        <v/>
      </c>
      <c r="BC53" s="26" t="str">
        <f t="shared" si="17"/>
        <v/>
      </c>
      <c r="BD53" s="26" t="str">
        <f t="shared" si="17"/>
        <v/>
      </c>
      <c r="BE53" s="26" t="str">
        <f t="shared" si="17"/>
        <v/>
      </c>
      <c r="BF53" s="26" t="str">
        <f t="shared" si="17"/>
        <v/>
      </c>
      <c r="BG53" s="26" t="str">
        <f t="shared" si="17"/>
        <v/>
      </c>
      <c r="BH53" s="26" t="str">
        <f t="shared" si="17"/>
        <v/>
      </c>
      <c r="BI53" s="26" t="str">
        <f t="shared" si="17"/>
        <v/>
      </c>
      <c r="BJ53" s="26" t="str">
        <f t="shared" si="17"/>
        <v/>
      </c>
      <c r="BK53" s="26" t="str">
        <f t="shared" si="17"/>
        <v/>
      </c>
      <c r="BL53" s="26" t="str">
        <f t="shared" si="17"/>
        <v/>
      </c>
      <c r="BM53" s="26" t="str">
        <f t="shared" si="17"/>
        <v/>
      </c>
      <c r="BN53" s="26" t="str">
        <f t="shared" si="17"/>
        <v/>
      </c>
      <c r="BO53" s="26" t="str">
        <f t="shared" si="17"/>
        <v/>
      </c>
      <c r="BP53" s="26" t="str">
        <f t="shared" si="17"/>
        <v/>
      </c>
      <c r="BQ53" s="26" t="str">
        <f t="shared" si="17"/>
        <v/>
      </c>
      <c r="BR53" s="26" t="str">
        <f t="shared" si="17"/>
        <v/>
      </c>
      <c r="BS53" s="26" t="str">
        <f t="shared" si="17"/>
        <v/>
      </c>
      <c r="BT53" s="26" t="str">
        <f t="shared" si="17"/>
        <v/>
      </c>
      <c r="BU53" s="26" t="str">
        <f t="shared" si="17"/>
        <v/>
      </c>
      <c r="BV53" s="2"/>
      <c r="BW53" s="26"/>
    </row>
    <row r="54" ht="12.75" customHeight="1" outlineLevel="1">
      <c r="A54" s="26" t="s">
        <v>356</v>
      </c>
      <c r="B54" s="26"/>
      <c r="C54" s="26">
        <f>'A-0'!K22</f>
        <v>0</v>
      </c>
      <c r="D54" s="26">
        <f>'A-0'!L22</f>
        <v>0</v>
      </c>
      <c r="E54" s="26">
        <f>'A-0'!M22</f>
        <v>0</v>
      </c>
      <c r="F54" s="26">
        <f>'A-0'!N22</f>
        <v>0</v>
      </c>
      <c r="G54" s="26">
        <f t="shared" si="18"/>
        <v>0</v>
      </c>
      <c r="H54" s="26">
        <f>'A-0'!O22</f>
        <v>228834.5794</v>
      </c>
      <c r="I54" s="26">
        <f>'A-0'!P22</f>
        <v>193338.7741</v>
      </c>
      <c r="J54" s="26">
        <f>'A-0'!Q22</f>
        <v>193338.7741</v>
      </c>
      <c r="K54" s="26">
        <f>'A-0'!R22</f>
        <v>193338.7741</v>
      </c>
      <c r="L54" s="26">
        <f>'A-0'!S22</f>
        <v>193338.7741</v>
      </c>
      <c r="M54" s="26">
        <f>'A-0'!T22</f>
        <v>193338.7741</v>
      </c>
      <c r="N54" s="26">
        <f>'A-0'!U22</f>
        <v>193338.7741</v>
      </c>
      <c r="O54" s="26">
        <f>'A-0'!V22</f>
        <v>193338.7741</v>
      </c>
      <c r="P54" s="26">
        <f>'A-0'!W22</f>
        <v>193338.7741</v>
      </c>
      <c r="Q54" s="26">
        <f>'A-0'!X22</f>
        <v>193338.7741</v>
      </c>
      <c r="R54" s="26">
        <f>'A-0'!Y22</f>
        <v>193338.7741</v>
      </c>
      <c r="S54" s="26">
        <f>'A-0'!Z22</f>
        <v>193338.7741</v>
      </c>
      <c r="T54" s="26">
        <f t="shared" si="19"/>
        <v>2355561.094</v>
      </c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>
        <f t="shared" ref="AG54:AG57" si="20">SUM(U54:AF54)</f>
        <v>0</v>
      </c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"/>
      <c r="BW54" s="26"/>
    </row>
    <row r="55" ht="12.75" customHeight="1" outlineLevel="1">
      <c r="A55" s="26" t="s">
        <v>357</v>
      </c>
      <c r="B55" s="26"/>
      <c r="C55" s="26"/>
      <c r="D55" s="26"/>
      <c r="E55" s="26"/>
      <c r="F55" s="26"/>
      <c r="G55" s="26">
        <f t="shared" si="18"/>
        <v>0</v>
      </c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>
        <f t="shared" si="19"/>
        <v>0</v>
      </c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>
        <f t="shared" si="20"/>
        <v>0</v>
      </c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"/>
      <c r="BW55" s="26"/>
    </row>
    <row r="56" ht="12.75" customHeight="1" outlineLevel="1">
      <c r="A56" s="26" t="s">
        <v>358</v>
      </c>
      <c r="B56" s="26"/>
      <c r="C56" s="26"/>
      <c r="D56" s="26"/>
      <c r="E56" s="26"/>
      <c r="F56" s="26"/>
      <c r="G56" s="26">
        <f t="shared" si="18"/>
        <v>0</v>
      </c>
      <c r="H56" s="26"/>
      <c r="I56" s="26"/>
      <c r="J56" s="26"/>
      <c r="K56" s="26">
        <f t="shared" ref="K56:S56" si="21">K23</f>
        <v>4718.296926</v>
      </c>
      <c r="L56" s="26">
        <f t="shared" si="21"/>
        <v>5846.106442</v>
      </c>
      <c r="M56" s="26">
        <f t="shared" si="21"/>
        <v>6973.915957</v>
      </c>
      <c r="N56" s="26">
        <f t="shared" si="21"/>
        <v>8101.725473</v>
      </c>
      <c r="O56" s="26">
        <f t="shared" si="21"/>
        <v>9229.534988</v>
      </c>
      <c r="P56" s="26">
        <f t="shared" si="21"/>
        <v>10357.3445</v>
      </c>
      <c r="Q56" s="26">
        <f t="shared" si="21"/>
        <v>11485.15402</v>
      </c>
      <c r="R56" s="26">
        <f t="shared" si="21"/>
        <v>12612.96353</v>
      </c>
      <c r="S56" s="26">
        <f t="shared" si="21"/>
        <v>13740.77305</v>
      </c>
      <c r="T56" s="26">
        <f t="shared" si="19"/>
        <v>83065.8149</v>
      </c>
      <c r="U56" s="26"/>
      <c r="V56" s="26"/>
      <c r="W56" s="26"/>
      <c r="X56" s="26">
        <v>1400.0</v>
      </c>
      <c r="Y56" s="26"/>
      <c r="Z56" s="26"/>
      <c r="AA56" s="26"/>
      <c r="AB56" s="26"/>
      <c r="AC56" s="26"/>
      <c r="AD56" s="26"/>
      <c r="AE56" s="26"/>
      <c r="AF56" s="26"/>
      <c r="AG56" s="26">
        <f t="shared" si="20"/>
        <v>1400</v>
      </c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>
        <v>0.0</v>
      </c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>
        <v>0.0</v>
      </c>
      <c r="BH56" s="26">
        <v>0.0</v>
      </c>
      <c r="BI56" s="26">
        <v>0.0</v>
      </c>
      <c r="BJ56" s="26">
        <v>0.0</v>
      </c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"/>
      <c r="BW56" s="26"/>
    </row>
    <row r="57" ht="12.75" customHeight="1" outlineLevel="1">
      <c r="A57" s="26" t="s">
        <v>331</v>
      </c>
      <c r="B57" s="26"/>
      <c r="C57" s="26"/>
      <c r="D57" s="26"/>
      <c r="E57" s="26"/>
      <c r="F57" s="26"/>
      <c r="G57" s="26">
        <f t="shared" si="18"/>
        <v>0</v>
      </c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>
        <f t="shared" si="19"/>
        <v>0</v>
      </c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>
        <f t="shared" si="20"/>
        <v>0</v>
      </c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"/>
      <c r="BW57" s="26"/>
    </row>
    <row r="58" ht="12.75" customHeight="1">
      <c r="A58" s="302" t="s">
        <v>332</v>
      </c>
      <c r="B58" s="302">
        <f t="shared" ref="B58:BU58" si="22">SUM(B53:B57)</f>
        <v>0</v>
      </c>
      <c r="C58" s="302">
        <f t="shared" si="22"/>
        <v>0</v>
      </c>
      <c r="D58" s="302">
        <f t="shared" si="22"/>
        <v>0</v>
      </c>
      <c r="E58" s="302">
        <f t="shared" si="22"/>
        <v>0</v>
      </c>
      <c r="F58" s="302">
        <f t="shared" si="22"/>
        <v>0</v>
      </c>
      <c r="G58" s="302">
        <f t="shared" si="22"/>
        <v>0</v>
      </c>
      <c r="H58" s="302">
        <f t="shared" si="22"/>
        <v>277169.2729</v>
      </c>
      <c r="I58" s="302">
        <f t="shared" si="22"/>
        <v>241673.4676</v>
      </c>
      <c r="J58" s="302">
        <f t="shared" si="22"/>
        <v>241673.4676</v>
      </c>
      <c r="K58" s="302">
        <f t="shared" si="22"/>
        <v>246391.7645</v>
      </c>
      <c r="L58" s="302">
        <f t="shared" si="22"/>
        <v>247519.574</v>
      </c>
      <c r="M58" s="302">
        <f t="shared" si="22"/>
        <v>248647.3836</v>
      </c>
      <c r="N58" s="302">
        <f t="shared" si="22"/>
        <v>249775.1931</v>
      </c>
      <c r="O58" s="302">
        <f t="shared" si="22"/>
        <v>250903.0026</v>
      </c>
      <c r="P58" s="302">
        <f t="shared" si="22"/>
        <v>252030.8121</v>
      </c>
      <c r="Q58" s="302">
        <f t="shared" si="22"/>
        <v>253158.6216</v>
      </c>
      <c r="R58" s="302">
        <f t="shared" si="22"/>
        <v>254286.4311</v>
      </c>
      <c r="S58" s="302">
        <f t="shared" si="22"/>
        <v>255414.2407</v>
      </c>
      <c r="T58" s="302">
        <f t="shared" si="22"/>
        <v>3018643.231</v>
      </c>
      <c r="U58" s="302">
        <f t="shared" si="22"/>
        <v>0</v>
      </c>
      <c r="V58" s="302">
        <f t="shared" si="22"/>
        <v>0</v>
      </c>
      <c r="W58" s="302">
        <f t="shared" si="22"/>
        <v>0</v>
      </c>
      <c r="X58" s="302">
        <f t="shared" si="22"/>
        <v>1400</v>
      </c>
      <c r="Y58" s="302">
        <f t="shared" si="22"/>
        <v>0</v>
      </c>
      <c r="Z58" s="302">
        <f t="shared" si="22"/>
        <v>0</v>
      </c>
      <c r="AA58" s="302">
        <f t="shared" si="22"/>
        <v>0</v>
      </c>
      <c r="AB58" s="302">
        <f t="shared" si="22"/>
        <v>0</v>
      </c>
      <c r="AC58" s="302">
        <f t="shared" si="22"/>
        <v>0</v>
      </c>
      <c r="AD58" s="302">
        <f t="shared" si="22"/>
        <v>0</v>
      </c>
      <c r="AE58" s="302">
        <f t="shared" si="22"/>
        <v>0</v>
      </c>
      <c r="AF58" s="302">
        <f t="shared" si="22"/>
        <v>0</v>
      </c>
      <c r="AG58" s="302">
        <f t="shared" si="22"/>
        <v>1400</v>
      </c>
      <c r="AH58" s="302">
        <f t="shared" si="22"/>
        <v>0</v>
      </c>
      <c r="AI58" s="302">
        <f t="shared" si="22"/>
        <v>0</v>
      </c>
      <c r="AJ58" s="302">
        <f t="shared" si="22"/>
        <v>0</v>
      </c>
      <c r="AK58" s="302">
        <f t="shared" si="22"/>
        <v>0</v>
      </c>
      <c r="AL58" s="302">
        <f t="shared" si="22"/>
        <v>0</v>
      </c>
      <c r="AM58" s="302">
        <f t="shared" si="22"/>
        <v>0</v>
      </c>
      <c r="AN58" s="302">
        <f t="shared" si="22"/>
        <v>0</v>
      </c>
      <c r="AO58" s="302">
        <f t="shared" si="22"/>
        <v>0</v>
      </c>
      <c r="AP58" s="302">
        <f t="shared" si="22"/>
        <v>0</v>
      </c>
      <c r="AQ58" s="302">
        <f t="shared" si="22"/>
        <v>0</v>
      </c>
      <c r="AR58" s="302">
        <f t="shared" si="22"/>
        <v>0</v>
      </c>
      <c r="AS58" s="302">
        <f t="shared" si="22"/>
        <v>0</v>
      </c>
      <c r="AT58" s="302">
        <f t="shared" si="22"/>
        <v>0</v>
      </c>
      <c r="AU58" s="302">
        <f t="shared" si="22"/>
        <v>0</v>
      </c>
      <c r="AV58" s="302">
        <f t="shared" si="22"/>
        <v>0</v>
      </c>
      <c r="AW58" s="302">
        <f t="shared" si="22"/>
        <v>0</v>
      </c>
      <c r="AX58" s="302">
        <f t="shared" si="22"/>
        <v>0</v>
      </c>
      <c r="AY58" s="302">
        <f t="shared" si="22"/>
        <v>0</v>
      </c>
      <c r="AZ58" s="302">
        <f t="shared" si="22"/>
        <v>0</v>
      </c>
      <c r="BA58" s="302">
        <f t="shared" si="22"/>
        <v>0</v>
      </c>
      <c r="BB58" s="302">
        <f t="shared" si="22"/>
        <v>0</v>
      </c>
      <c r="BC58" s="302">
        <f t="shared" si="22"/>
        <v>0</v>
      </c>
      <c r="BD58" s="302">
        <f t="shared" si="22"/>
        <v>0</v>
      </c>
      <c r="BE58" s="302">
        <f t="shared" si="22"/>
        <v>0</v>
      </c>
      <c r="BF58" s="302">
        <f t="shared" si="22"/>
        <v>0</v>
      </c>
      <c r="BG58" s="302">
        <f t="shared" si="22"/>
        <v>0</v>
      </c>
      <c r="BH58" s="302">
        <f t="shared" si="22"/>
        <v>0</v>
      </c>
      <c r="BI58" s="302">
        <f t="shared" si="22"/>
        <v>0</v>
      </c>
      <c r="BJ58" s="302">
        <f t="shared" si="22"/>
        <v>0</v>
      </c>
      <c r="BK58" s="302">
        <f t="shared" si="22"/>
        <v>0</v>
      </c>
      <c r="BL58" s="302">
        <f t="shared" si="22"/>
        <v>0</v>
      </c>
      <c r="BM58" s="302">
        <f t="shared" si="22"/>
        <v>0</v>
      </c>
      <c r="BN58" s="302">
        <f t="shared" si="22"/>
        <v>0</v>
      </c>
      <c r="BO58" s="302">
        <f t="shared" si="22"/>
        <v>0</v>
      </c>
      <c r="BP58" s="302">
        <f t="shared" si="22"/>
        <v>0</v>
      </c>
      <c r="BQ58" s="302">
        <f t="shared" si="22"/>
        <v>0</v>
      </c>
      <c r="BR58" s="302">
        <f t="shared" si="22"/>
        <v>0</v>
      </c>
      <c r="BS58" s="302">
        <f t="shared" si="22"/>
        <v>0</v>
      </c>
      <c r="BT58" s="302">
        <f t="shared" si="22"/>
        <v>0</v>
      </c>
      <c r="BU58" s="302">
        <f t="shared" si="22"/>
        <v>0</v>
      </c>
      <c r="BV58" s="2"/>
      <c r="BW58" s="26"/>
    </row>
    <row r="59" ht="12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"/>
      <c r="BW59" s="26"/>
    </row>
    <row r="60" ht="12.75" customHeight="1">
      <c r="A60" s="233" t="s">
        <v>348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33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"/>
      <c r="BW60" s="26"/>
    </row>
    <row r="61" ht="12.75" customHeight="1" outlineLevel="1">
      <c r="A61" s="26" t="s">
        <v>359</v>
      </c>
      <c r="B61" s="26"/>
      <c r="C61" s="26"/>
      <c r="D61" s="26"/>
      <c r="E61" s="26"/>
      <c r="F61" s="26"/>
      <c r="G61" s="26">
        <f>SUM(B61:F61)</f>
        <v>0</v>
      </c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>
        <f>SUM(H61:S61)</f>
        <v>0</v>
      </c>
      <c r="U61" s="26">
        <f>'Займ'!$E$26</f>
        <v>0</v>
      </c>
      <c r="V61" s="26">
        <f>'Займ'!$E$27</f>
        <v>0</v>
      </c>
      <c r="W61" s="26">
        <f>'Займ'!$E$28</f>
        <v>0</v>
      </c>
      <c r="X61" s="26">
        <f>'Займ'!$F$29</f>
        <v>0</v>
      </c>
      <c r="Y61" s="26">
        <f>'Займ'!$F$30</f>
        <v>0</v>
      </c>
      <c r="Z61" s="26">
        <f>'Займ'!$F$31</f>
        <v>0</v>
      </c>
      <c r="AA61" s="26">
        <f>'Займ'!$F$32</f>
        <v>24541.56535</v>
      </c>
      <c r="AB61" s="26">
        <f>'Займ'!$F$33</f>
        <v>24541.56535</v>
      </c>
      <c r="AC61" s="26">
        <f>'Займ'!$F$34</f>
        <v>24541.56535</v>
      </c>
      <c r="AD61" s="26">
        <f>'Займ'!$F$35</f>
        <v>24541.56535</v>
      </c>
      <c r="AE61" s="26">
        <f>'Займ'!$F$36</f>
        <v>24541.56535</v>
      </c>
      <c r="AF61" s="26">
        <f>'Займ'!$F$37</f>
        <v>24541.56535</v>
      </c>
      <c r="AG61" s="26">
        <f>SUM(U61:AF61)</f>
        <v>147249.3921</v>
      </c>
      <c r="AH61" s="26">
        <f>'Займ'!$F$38</f>
        <v>0</v>
      </c>
      <c r="AI61" s="26">
        <f>'Займ'!$F$39</f>
        <v>0</v>
      </c>
      <c r="AJ61" s="26">
        <f>'Займ'!$F$40</f>
        <v>0</v>
      </c>
      <c r="AK61" s="26">
        <f>'Займ'!$F$41</f>
        <v>0</v>
      </c>
      <c r="AL61" s="26">
        <f>'Займ'!$F$42</f>
        <v>0</v>
      </c>
      <c r="AM61" s="26">
        <f>'Займ'!$F$43</f>
        <v>0</v>
      </c>
      <c r="AN61" s="26">
        <f>'Займ'!$F$44</f>
        <v>34785.86557</v>
      </c>
      <c r="AO61" s="26">
        <f>'Займ'!$F$45</f>
        <v>34785.86557</v>
      </c>
      <c r="AP61" s="26">
        <f>'Займ'!$F$46</f>
        <v>34785.86557</v>
      </c>
      <c r="AQ61" s="26">
        <f>'Займ'!$F$47</f>
        <v>34785.86557</v>
      </c>
      <c r="AR61" s="26">
        <f>'Займ'!$F$48</f>
        <v>34785.86557</v>
      </c>
      <c r="AS61" s="26">
        <f>'Займ'!$F$49</f>
        <v>34785.86557</v>
      </c>
      <c r="AT61" s="26">
        <f>SUM(AH61:AS61)</f>
        <v>208715.1934</v>
      </c>
      <c r="AU61" s="26">
        <f>'Займ'!$F$50</f>
        <v>0</v>
      </c>
      <c r="AV61" s="26">
        <f>'Займ'!$F$51</f>
        <v>0</v>
      </c>
      <c r="AW61" s="26">
        <f>'Займ'!$F$52</f>
        <v>0</v>
      </c>
      <c r="AX61" s="26">
        <f>'Займ'!$F$53</f>
        <v>0</v>
      </c>
      <c r="AY61" s="26">
        <f>'Займ'!$F$54</f>
        <v>0</v>
      </c>
      <c r="AZ61" s="26">
        <f>'Займ'!$F$55</f>
        <v>0</v>
      </c>
      <c r="BA61" s="26">
        <f>'Займ'!$F$56</f>
        <v>37300.5386</v>
      </c>
      <c r="BB61" s="26">
        <f>'Займ'!$F$57</f>
        <v>37300.5386</v>
      </c>
      <c r="BC61" s="26">
        <f>'Займ'!$F$58</f>
        <v>37300.5386</v>
      </c>
      <c r="BD61" s="26">
        <f>'Займ'!$F$59</f>
        <v>37300.5386</v>
      </c>
      <c r="BE61" s="26">
        <f>'Займ'!$F$60</f>
        <v>37300.5386</v>
      </c>
      <c r="BF61" s="26">
        <f>'Займ'!$F$61</f>
        <v>37300.5386</v>
      </c>
      <c r="BG61" s="26">
        <f>SUM(AU61:BF61)</f>
        <v>223803.2316</v>
      </c>
      <c r="BH61" s="26">
        <f>SUM('Займ'!$F$62:$F$73)</f>
        <v>405938.29</v>
      </c>
      <c r="BI61" s="26">
        <f>SUM('Займ'!$F$74:$F$85)</f>
        <v>457064.0864</v>
      </c>
      <c r="BJ61" s="26">
        <f>SUM('Займ'!$F$86:$F$97)</f>
        <v>490105.2862</v>
      </c>
      <c r="BK61" s="26">
        <f>SUM('Займ'!$F$98:$F$109)</f>
        <v>422685.6146</v>
      </c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"/>
      <c r="BW61" s="26"/>
    </row>
    <row r="62" ht="12.75" customHeight="1" outlineLevel="1">
      <c r="A62" s="26" t="s">
        <v>360</v>
      </c>
      <c r="B62" s="26"/>
      <c r="C62" s="26"/>
      <c r="D62" s="26"/>
      <c r="E62" s="26"/>
      <c r="F62" s="26"/>
      <c r="G62" s="26">
        <v>0.0</v>
      </c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>
        <v>0.0</v>
      </c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>
        <v>0.0</v>
      </c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>
        <v>0.0</v>
      </c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>
        <v>0.0</v>
      </c>
      <c r="BH62" s="26">
        <v>0.0</v>
      </c>
      <c r="BI62" s="26">
        <v>0.0</v>
      </c>
      <c r="BJ62" s="26">
        <v>0.0</v>
      </c>
      <c r="BK62" s="26">
        <v>0.0</v>
      </c>
      <c r="BL62" s="26">
        <v>0.0</v>
      </c>
      <c r="BM62" s="26">
        <v>0.0</v>
      </c>
      <c r="BN62" s="26">
        <v>0.0</v>
      </c>
      <c r="BO62" s="26">
        <v>0.0</v>
      </c>
      <c r="BP62" s="26">
        <v>0.0</v>
      </c>
      <c r="BQ62" s="26">
        <v>0.0</v>
      </c>
      <c r="BR62" s="26">
        <v>0.0</v>
      </c>
      <c r="BS62" s="26">
        <v>0.0</v>
      </c>
      <c r="BT62" s="26">
        <v>0.0</v>
      </c>
      <c r="BU62" s="26">
        <v>0.0</v>
      </c>
      <c r="BV62" s="2"/>
      <c r="BW62" s="26"/>
    </row>
    <row r="63" ht="12.75" customHeight="1" outlineLevel="1">
      <c r="A63" s="26" t="s">
        <v>361</v>
      </c>
      <c r="B63" s="26"/>
      <c r="C63" s="26"/>
      <c r="D63" s="26"/>
      <c r="E63" s="26"/>
      <c r="F63" s="26"/>
      <c r="G63" s="26">
        <v>0.0</v>
      </c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>
        <v>0.0</v>
      </c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>
        <v>0.0</v>
      </c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>
        <v>0.0</v>
      </c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>
        <v>0.0</v>
      </c>
      <c r="BH63" s="26">
        <v>0.0</v>
      </c>
      <c r="BI63" s="26">
        <v>0.0</v>
      </c>
      <c r="BJ63" s="26">
        <v>0.0</v>
      </c>
      <c r="BK63" s="26">
        <v>0.0</v>
      </c>
      <c r="BL63" s="26">
        <v>0.0</v>
      </c>
      <c r="BM63" s="26">
        <v>0.0</v>
      </c>
      <c r="BN63" s="26">
        <v>0.0</v>
      </c>
      <c r="BO63" s="26">
        <v>0.0</v>
      </c>
      <c r="BP63" s="26">
        <v>0.0</v>
      </c>
      <c r="BQ63" s="26">
        <v>0.0</v>
      </c>
      <c r="BR63" s="26">
        <v>0.0</v>
      </c>
      <c r="BS63" s="26">
        <v>0.0</v>
      </c>
      <c r="BT63" s="26">
        <v>0.0</v>
      </c>
      <c r="BU63" s="26">
        <v>0.0</v>
      </c>
      <c r="BV63" s="2"/>
      <c r="BW63" s="26"/>
    </row>
    <row r="64" ht="12.75" customHeight="1" outlineLevel="1">
      <c r="A64" s="26" t="s">
        <v>362</v>
      </c>
      <c r="B64" s="26"/>
      <c r="C64" s="26"/>
      <c r="D64" s="26"/>
      <c r="E64" s="26"/>
      <c r="F64" s="26"/>
      <c r="G64" s="26">
        <v>0.0</v>
      </c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>
        <v>0.0</v>
      </c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>
        <v>0.0</v>
      </c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>
        <v>0.0</v>
      </c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>
        <v>0.0</v>
      </c>
      <c r="BH64" s="26">
        <v>0.0</v>
      </c>
      <c r="BI64" s="26">
        <v>0.0</v>
      </c>
      <c r="BJ64" s="26">
        <v>0.0</v>
      </c>
      <c r="BK64" s="26">
        <v>0.0</v>
      </c>
      <c r="BL64" s="26">
        <v>0.0</v>
      </c>
      <c r="BM64" s="26">
        <v>0.0</v>
      </c>
      <c r="BN64" s="26">
        <v>0.0</v>
      </c>
      <c r="BO64" s="26">
        <v>0.0</v>
      </c>
      <c r="BP64" s="26">
        <v>0.0</v>
      </c>
      <c r="BQ64" s="26">
        <v>0.0</v>
      </c>
      <c r="BR64" s="26">
        <v>0.0</v>
      </c>
      <c r="BS64" s="26">
        <v>0.0</v>
      </c>
      <c r="BT64" s="26">
        <v>0.0</v>
      </c>
      <c r="BU64" s="26">
        <v>0.0</v>
      </c>
      <c r="BV64" s="2"/>
      <c r="BW64" s="26"/>
    </row>
    <row r="65" ht="12.75" customHeight="1" outlineLevel="1">
      <c r="A65" s="26" t="s">
        <v>340</v>
      </c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>
        <v>0.0</v>
      </c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>
        <v>0.0</v>
      </c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>
        <v>0.0</v>
      </c>
      <c r="BH65" s="26">
        <v>0.0</v>
      </c>
      <c r="BI65" s="26">
        <v>0.0</v>
      </c>
      <c r="BJ65" s="26">
        <v>0.0</v>
      </c>
      <c r="BK65" s="26">
        <v>0.0</v>
      </c>
      <c r="BL65" s="26">
        <v>0.0</v>
      </c>
      <c r="BM65" s="26">
        <v>0.0</v>
      </c>
      <c r="BN65" s="26">
        <v>0.0</v>
      </c>
      <c r="BO65" s="26">
        <v>0.0</v>
      </c>
      <c r="BP65" s="26">
        <v>0.0</v>
      </c>
      <c r="BQ65" s="26">
        <v>0.0</v>
      </c>
      <c r="BR65" s="26">
        <v>0.0</v>
      </c>
      <c r="BS65" s="26">
        <v>0.0</v>
      </c>
      <c r="BT65" s="26">
        <v>0.0</v>
      </c>
      <c r="BU65" s="26">
        <v>0.0</v>
      </c>
      <c r="BV65" s="2"/>
      <c r="BW65" s="26"/>
    </row>
    <row r="66" ht="12.75" customHeight="1">
      <c r="A66" s="302" t="s">
        <v>342</v>
      </c>
      <c r="B66" s="302">
        <f t="shared" ref="B66:BU66" si="23">SUM(B61:B65)</f>
        <v>0</v>
      </c>
      <c r="C66" s="302">
        <f t="shared" si="23"/>
        <v>0</v>
      </c>
      <c r="D66" s="302">
        <f t="shared" si="23"/>
        <v>0</v>
      </c>
      <c r="E66" s="302">
        <f t="shared" si="23"/>
        <v>0</v>
      </c>
      <c r="F66" s="302">
        <f t="shared" si="23"/>
        <v>0</v>
      </c>
      <c r="G66" s="302">
        <f t="shared" si="23"/>
        <v>0</v>
      </c>
      <c r="H66" s="302">
        <f t="shared" si="23"/>
        <v>0</v>
      </c>
      <c r="I66" s="302">
        <f t="shared" si="23"/>
        <v>0</v>
      </c>
      <c r="J66" s="302">
        <f t="shared" si="23"/>
        <v>0</v>
      </c>
      <c r="K66" s="302">
        <f t="shared" si="23"/>
        <v>0</v>
      </c>
      <c r="L66" s="302">
        <f t="shared" si="23"/>
        <v>0</v>
      </c>
      <c r="M66" s="302">
        <f t="shared" si="23"/>
        <v>0</v>
      </c>
      <c r="N66" s="302">
        <f t="shared" si="23"/>
        <v>0</v>
      </c>
      <c r="O66" s="302">
        <f t="shared" si="23"/>
        <v>0</v>
      </c>
      <c r="P66" s="302">
        <f t="shared" si="23"/>
        <v>0</v>
      </c>
      <c r="Q66" s="302">
        <f t="shared" si="23"/>
        <v>0</v>
      </c>
      <c r="R66" s="302">
        <f t="shared" si="23"/>
        <v>0</v>
      </c>
      <c r="S66" s="302">
        <f t="shared" si="23"/>
        <v>0</v>
      </c>
      <c r="T66" s="302">
        <f t="shared" si="23"/>
        <v>0</v>
      </c>
      <c r="U66" s="302">
        <f t="shared" si="23"/>
        <v>0</v>
      </c>
      <c r="V66" s="302">
        <f t="shared" si="23"/>
        <v>0</v>
      </c>
      <c r="W66" s="302">
        <f t="shared" si="23"/>
        <v>0</v>
      </c>
      <c r="X66" s="302">
        <f t="shared" si="23"/>
        <v>0</v>
      </c>
      <c r="Y66" s="302">
        <f t="shared" si="23"/>
        <v>0</v>
      </c>
      <c r="Z66" s="302">
        <f t="shared" si="23"/>
        <v>0</v>
      </c>
      <c r="AA66" s="302">
        <f t="shared" si="23"/>
        <v>24541.56535</v>
      </c>
      <c r="AB66" s="302">
        <f t="shared" si="23"/>
        <v>24541.56535</v>
      </c>
      <c r="AC66" s="302">
        <f t="shared" si="23"/>
        <v>24541.56535</v>
      </c>
      <c r="AD66" s="302">
        <f t="shared" si="23"/>
        <v>24541.56535</v>
      </c>
      <c r="AE66" s="302">
        <f t="shared" si="23"/>
        <v>24541.56535</v>
      </c>
      <c r="AF66" s="302">
        <f t="shared" si="23"/>
        <v>24541.56535</v>
      </c>
      <c r="AG66" s="302">
        <f t="shared" si="23"/>
        <v>147249.3921</v>
      </c>
      <c r="AH66" s="302">
        <f t="shared" si="23"/>
        <v>0</v>
      </c>
      <c r="AI66" s="302">
        <f t="shared" si="23"/>
        <v>0</v>
      </c>
      <c r="AJ66" s="302">
        <f t="shared" si="23"/>
        <v>0</v>
      </c>
      <c r="AK66" s="302">
        <f t="shared" si="23"/>
        <v>0</v>
      </c>
      <c r="AL66" s="302">
        <f t="shared" si="23"/>
        <v>0</v>
      </c>
      <c r="AM66" s="302">
        <f t="shared" si="23"/>
        <v>0</v>
      </c>
      <c r="AN66" s="302">
        <f t="shared" si="23"/>
        <v>34785.86557</v>
      </c>
      <c r="AO66" s="302">
        <f t="shared" si="23"/>
        <v>34785.86557</v>
      </c>
      <c r="AP66" s="302">
        <f t="shared" si="23"/>
        <v>34785.86557</v>
      </c>
      <c r="AQ66" s="302">
        <f t="shared" si="23"/>
        <v>34785.86557</v>
      </c>
      <c r="AR66" s="302">
        <f t="shared" si="23"/>
        <v>34785.86557</v>
      </c>
      <c r="AS66" s="302">
        <f t="shared" si="23"/>
        <v>34785.86557</v>
      </c>
      <c r="AT66" s="302">
        <f t="shared" si="23"/>
        <v>208715.1934</v>
      </c>
      <c r="AU66" s="302">
        <f t="shared" si="23"/>
        <v>0</v>
      </c>
      <c r="AV66" s="302">
        <f t="shared" si="23"/>
        <v>0</v>
      </c>
      <c r="AW66" s="302">
        <f t="shared" si="23"/>
        <v>0</v>
      </c>
      <c r="AX66" s="302">
        <f t="shared" si="23"/>
        <v>0</v>
      </c>
      <c r="AY66" s="302">
        <f t="shared" si="23"/>
        <v>0</v>
      </c>
      <c r="AZ66" s="302">
        <f t="shared" si="23"/>
        <v>0</v>
      </c>
      <c r="BA66" s="302">
        <f t="shared" si="23"/>
        <v>37300.5386</v>
      </c>
      <c r="BB66" s="302">
        <f t="shared" si="23"/>
        <v>37300.5386</v>
      </c>
      <c r="BC66" s="302">
        <f t="shared" si="23"/>
        <v>37300.5386</v>
      </c>
      <c r="BD66" s="302">
        <f t="shared" si="23"/>
        <v>37300.5386</v>
      </c>
      <c r="BE66" s="302">
        <f t="shared" si="23"/>
        <v>37300.5386</v>
      </c>
      <c r="BF66" s="302">
        <f t="shared" si="23"/>
        <v>37300.5386</v>
      </c>
      <c r="BG66" s="302">
        <f t="shared" si="23"/>
        <v>223803.2316</v>
      </c>
      <c r="BH66" s="302">
        <f t="shared" si="23"/>
        <v>405938.29</v>
      </c>
      <c r="BI66" s="302">
        <f t="shared" si="23"/>
        <v>457064.0864</v>
      </c>
      <c r="BJ66" s="302">
        <f t="shared" si="23"/>
        <v>490105.2862</v>
      </c>
      <c r="BK66" s="302">
        <f t="shared" si="23"/>
        <v>422685.6146</v>
      </c>
      <c r="BL66" s="302">
        <f t="shared" si="23"/>
        <v>0</v>
      </c>
      <c r="BM66" s="302">
        <f t="shared" si="23"/>
        <v>0</v>
      </c>
      <c r="BN66" s="302">
        <f t="shared" si="23"/>
        <v>0</v>
      </c>
      <c r="BO66" s="302">
        <f t="shared" si="23"/>
        <v>0</v>
      </c>
      <c r="BP66" s="302">
        <f t="shared" si="23"/>
        <v>0</v>
      </c>
      <c r="BQ66" s="302">
        <f t="shared" si="23"/>
        <v>0</v>
      </c>
      <c r="BR66" s="302">
        <f t="shared" si="23"/>
        <v>0</v>
      </c>
      <c r="BS66" s="302">
        <f t="shared" si="23"/>
        <v>0</v>
      </c>
      <c r="BT66" s="302">
        <f t="shared" si="23"/>
        <v>0</v>
      </c>
      <c r="BU66" s="302">
        <f t="shared" si="23"/>
        <v>0</v>
      </c>
      <c r="BV66" s="2"/>
      <c r="BW66" s="26"/>
    </row>
    <row r="67" ht="12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"/>
      <c r="BW67" s="26"/>
    </row>
    <row r="68" ht="12.75" customHeight="1">
      <c r="A68" s="302" t="s">
        <v>363</v>
      </c>
      <c r="B68" s="307">
        <f t="shared" ref="B68:BU68" si="24">B58-B66</f>
        <v>0</v>
      </c>
      <c r="C68" s="307">
        <f t="shared" si="24"/>
        <v>0</v>
      </c>
      <c r="D68" s="307">
        <f t="shared" si="24"/>
        <v>0</v>
      </c>
      <c r="E68" s="307">
        <f t="shared" si="24"/>
        <v>0</v>
      </c>
      <c r="F68" s="307">
        <f t="shared" si="24"/>
        <v>0</v>
      </c>
      <c r="G68" s="307">
        <f t="shared" si="24"/>
        <v>0</v>
      </c>
      <c r="H68" s="307">
        <f t="shared" si="24"/>
        <v>277169.2729</v>
      </c>
      <c r="I68" s="307">
        <f t="shared" si="24"/>
        <v>241673.4676</v>
      </c>
      <c r="J68" s="307">
        <f t="shared" si="24"/>
        <v>241673.4676</v>
      </c>
      <c r="K68" s="307">
        <f t="shared" si="24"/>
        <v>246391.7645</v>
      </c>
      <c r="L68" s="307">
        <f t="shared" si="24"/>
        <v>247519.574</v>
      </c>
      <c r="M68" s="307">
        <f t="shared" si="24"/>
        <v>248647.3836</v>
      </c>
      <c r="N68" s="307">
        <f t="shared" si="24"/>
        <v>249775.1931</v>
      </c>
      <c r="O68" s="307">
        <f t="shared" si="24"/>
        <v>250903.0026</v>
      </c>
      <c r="P68" s="307">
        <f t="shared" si="24"/>
        <v>252030.8121</v>
      </c>
      <c r="Q68" s="307">
        <f t="shared" si="24"/>
        <v>253158.6216</v>
      </c>
      <c r="R68" s="307">
        <f t="shared" si="24"/>
        <v>254286.4311</v>
      </c>
      <c r="S68" s="307">
        <f t="shared" si="24"/>
        <v>255414.2407</v>
      </c>
      <c r="T68" s="307">
        <f t="shared" si="24"/>
        <v>3018643.231</v>
      </c>
      <c r="U68" s="307">
        <f t="shared" si="24"/>
        <v>0</v>
      </c>
      <c r="V68" s="307">
        <f t="shared" si="24"/>
        <v>0</v>
      </c>
      <c r="W68" s="307">
        <f t="shared" si="24"/>
        <v>0</v>
      </c>
      <c r="X68" s="307">
        <f t="shared" si="24"/>
        <v>1400</v>
      </c>
      <c r="Y68" s="307">
        <f t="shared" si="24"/>
        <v>0</v>
      </c>
      <c r="Z68" s="307">
        <f t="shared" si="24"/>
        <v>0</v>
      </c>
      <c r="AA68" s="307">
        <f t="shared" si="24"/>
        <v>-24541.56535</v>
      </c>
      <c r="AB68" s="307">
        <f t="shared" si="24"/>
        <v>-24541.56535</v>
      </c>
      <c r="AC68" s="307">
        <f t="shared" si="24"/>
        <v>-24541.56535</v>
      </c>
      <c r="AD68" s="307">
        <f t="shared" si="24"/>
        <v>-24541.56535</v>
      </c>
      <c r="AE68" s="307">
        <f t="shared" si="24"/>
        <v>-24541.56535</v>
      </c>
      <c r="AF68" s="307">
        <f t="shared" si="24"/>
        <v>-24541.56535</v>
      </c>
      <c r="AG68" s="307">
        <f t="shared" si="24"/>
        <v>-145849.3921</v>
      </c>
      <c r="AH68" s="307">
        <f t="shared" si="24"/>
        <v>0</v>
      </c>
      <c r="AI68" s="307">
        <f t="shared" si="24"/>
        <v>0</v>
      </c>
      <c r="AJ68" s="307">
        <f t="shared" si="24"/>
        <v>0</v>
      </c>
      <c r="AK68" s="307">
        <f t="shared" si="24"/>
        <v>0</v>
      </c>
      <c r="AL68" s="307">
        <f t="shared" si="24"/>
        <v>0</v>
      </c>
      <c r="AM68" s="307">
        <f t="shared" si="24"/>
        <v>0</v>
      </c>
      <c r="AN68" s="307">
        <f t="shared" si="24"/>
        <v>-34785.86557</v>
      </c>
      <c r="AO68" s="307">
        <f t="shared" si="24"/>
        <v>-34785.86557</v>
      </c>
      <c r="AP68" s="307">
        <f t="shared" si="24"/>
        <v>-34785.86557</v>
      </c>
      <c r="AQ68" s="307">
        <f t="shared" si="24"/>
        <v>-34785.86557</v>
      </c>
      <c r="AR68" s="307">
        <f t="shared" si="24"/>
        <v>-34785.86557</v>
      </c>
      <c r="AS68" s="307">
        <f t="shared" si="24"/>
        <v>-34785.86557</v>
      </c>
      <c r="AT68" s="307">
        <f t="shared" si="24"/>
        <v>-208715.1934</v>
      </c>
      <c r="AU68" s="307">
        <f t="shared" si="24"/>
        <v>0</v>
      </c>
      <c r="AV68" s="307">
        <f t="shared" si="24"/>
        <v>0</v>
      </c>
      <c r="AW68" s="307">
        <f t="shared" si="24"/>
        <v>0</v>
      </c>
      <c r="AX68" s="307">
        <f t="shared" si="24"/>
        <v>0</v>
      </c>
      <c r="AY68" s="307">
        <f t="shared" si="24"/>
        <v>0</v>
      </c>
      <c r="AZ68" s="307">
        <f t="shared" si="24"/>
        <v>0</v>
      </c>
      <c r="BA68" s="307">
        <f t="shared" si="24"/>
        <v>-37300.5386</v>
      </c>
      <c r="BB68" s="307">
        <f t="shared" si="24"/>
        <v>-37300.5386</v>
      </c>
      <c r="BC68" s="307">
        <f t="shared" si="24"/>
        <v>-37300.5386</v>
      </c>
      <c r="BD68" s="307">
        <f t="shared" si="24"/>
        <v>-37300.5386</v>
      </c>
      <c r="BE68" s="307">
        <f t="shared" si="24"/>
        <v>-37300.5386</v>
      </c>
      <c r="BF68" s="307">
        <f t="shared" si="24"/>
        <v>-37300.5386</v>
      </c>
      <c r="BG68" s="307">
        <f t="shared" si="24"/>
        <v>-223803.2316</v>
      </c>
      <c r="BH68" s="307">
        <f t="shared" si="24"/>
        <v>-405938.29</v>
      </c>
      <c r="BI68" s="307">
        <f t="shared" si="24"/>
        <v>-457064.0864</v>
      </c>
      <c r="BJ68" s="307">
        <f t="shared" si="24"/>
        <v>-490105.2862</v>
      </c>
      <c r="BK68" s="307">
        <f t="shared" si="24"/>
        <v>-422685.6146</v>
      </c>
      <c r="BL68" s="307">
        <f t="shared" si="24"/>
        <v>0</v>
      </c>
      <c r="BM68" s="307">
        <f t="shared" si="24"/>
        <v>0</v>
      </c>
      <c r="BN68" s="307">
        <f t="shared" si="24"/>
        <v>0</v>
      </c>
      <c r="BO68" s="307">
        <f t="shared" si="24"/>
        <v>0</v>
      </c>
      <c r="BP68" s="307">
        <f t="shared" si="24"/>
        <v>0</v>
      </c>
      <c r="BQ68" s="307">
        <f t="shared" si="24"/>
        <v>0</v>
      </c>
      <c r="BR68" s="306">
        <f t="shared" si="24"/>
        <v>0</v>
      </c>
      <c r="BS68" s="306">
        <f t="shared" si="24"/>
        <v>0</v>
      </c>
      <c r="BT68" s="306">
        <f t="shared" si="24"/>
        <v>0</v>
      </c>
      <c r="BU68" s="306">
        <f t="shared" si="24"/>
        <v>0</v>
      </c>
      <c r="BV68" s="2"/>
      <c r="BW68" s="26"/>
    </row>
    <row r="69" ht="12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305"/>
      <c r="AH69" s="305"/>
      <c r="AI69" s="305"/>
      <c r="AJ69" s="305"/>
      <c r="AK69" s="305"/>
      <c r="AL69" s="305"/>
      <c r="AM69" s="305"/>
      <c r="AN69" s="305"/>
      <c r="AO69" s="305"/>
      <c r="AP69" s="305"/>
      <c r="AQ69" s="305"/>
      <c r="AR69" s="305"/>
      <c r="AS69" s="305"/>
      <c r="AT69" s="305"/>
      <c r="AU69" s="305"/>
      <c r="AV69" s="305"/>
      <c r="AW69" s="305"/>
      <c r="AX69" s="305"/>
      <c r="AY69" s="305"/>
      <c r="AZ69" s="305"/>
      <c r="BA69" s="305"/>
      <c r="BB69" s="305"/>
      <c r="BC69" s="305"/>
      <c r="BD69" s="305"/>
      <c r="BE69" s="305"/>
      <c r="BF69" s="305"/>
      <c r="BG69" s="305"/>
      <c r="BH69" s="305"/>
      <c r="BI69" s="305"/>
      <c r="BJ69" s="305"/>
      <c r="BK69" s="305"/>
      <c r="BL69" s="305"/>
      <c r="BM69" s="305"/>
      <c r="BN69" s="305"/>
      <c r="BO69" s="305"/>
      <c r="BP69" s="305"/>
      <c r="BQ69" s="305"/>
      <c r="BR69" s="305"/>
      <c r="BS69" s="305"/>
      <c r="BT69" s="305"/>
      <c r="BU69" s="305"/>
      <c r="BV69" s="2"/>
      <c r="BW69" s="26"/>
    </row>
    <row r="70" ht="12.75" customHeight="1">
      <c r="A70" s="255" t="s">
        <v>364</v>
      </c>
      <c r="B70" s="311">
        <f t="shared" ref="B70:BU70" si="25">B29+B48+B68</f>
        <v>0</v>
      </c>
      <c r="C70" s="311">
        <f t="shared" si="25"/>
        <v>0</v>
      </c>
      <c r="D70" s="311">
        <f t="shared" si="25"/>
        <v>0</v>
      </c>
      <c r="E70" s="311">
        <f t="shared" si="25"/>
        <v>0</v>
      </c>
      <c r="F70" s="311">
        <f t="shared" si="25"/>
        <v>0</v>
      </c>
      <c r="G70" s="311">
        <f t="shared" si="25"/>
        <v>0</v>
      </c>
      <c r="H70" s="311">
        <f t="shared" si="25"/>
        <v>0</v>
      </c>
      <c r="I70" s="311">
        <f t="shared" si="25"/>
        <v>0</v>
      </c>
      <c r="J70" s="311">
        <f t="shared" si="25"/>
        <v>0</v>
      </c>
      <c r="K70" s="311">
        <f t="shared" si="25"/>
        <v>0</v>
      </c>
      <c r="L70" s="311">
        <f t="shared" si="25"/>
        <v>0</v>
      </c>
      <c r="M70" s="311">
        <f t="shared" si="25"/>
        <v>0</v>
      </c>
      <c r="N70" s="311">
        <f t="shared" si="25"/>
        <v>0</v>
      </c>
      <c r="O70" s="311">
        <f t="shared" si="25"/>
        <v>0</v>
      </c>
      <c r="P70" s="311">
        <f t="shared" si="25"/>
        <v>0</v>
      </c>
      <c r="Q70" s="311">
        <f t="shared" si="25"/>
        <v>0</v>
      </c>
      <c r="R70" s="311">
        <f t="shared" si="25"/>
        <v>0</v>
      </c>
      <c r="S70" s="311">
        <f t="shared" si="25"/>
        <v>0</v>
      </c>
      <c r="T70" s="311">
        <f t="shared" si="25"/>
        <v>0</v>
      </c>
      <c r="U70" s="311">
        <f t="shared" si="25"/>
        <v>23817.03573</v>
      </c>
      <c r="V70" s="311">
        <f t="shared" si="25"/>
        <v>18794.55454</v>
      </c>
      <c r="W70" s="311">
        <f t="shared" si="25"/>
        <v>34726.06584</v>
      </c>
      <c r="X70" s="311">
        <f t="shared" si="25"/>
        <v>18148.50661</v>
      </c>
      <c r="Y70" s="311">
        <f t="shared" si="25"/>
        <v>49641.87027</v>
      </c>
      <c r="Z70" s="311">
        <f t="shared" si="25"/>
        <v>56990.56429</v>
      </c>
      <c r="AA70" s="311">
        <f t="shared" si="25"/>
        <v>30049.59904</v>
      </c>
      <c r="AB70" s="311">
        <f t="shared" si="25"/>
        <v>30049.59904</v>
      </c>
      <c r="AC70" s="311">
        <f t="shared" si="25"/>
        <v>15737.12831</v>
      </c>
      <c r="AD70" s="311">
        <f t="shared" si="25"/>
        <v>3452.465991</v>
      </c>
      <c r="AE70" s="311">
        <f t="shared" si="25"/>
        <v>-8561.402253</v>
      </c>
      <c r="AF70" s="311">
        <f t="shared" si="25"/>
        <v>-18450.77262</v>
      </c>
      <c r="AG70" s="311">
        <f t="shared" si="25"/>
        <v>254395.2148</v>
      </c>
      <c r="AH70" s="311">
        <f t="shared" si="25"/>
        <v>25631.55354</v>
      </c>
      <c r="AI70" s="311">
        <f t="shared" si="25"/>
        <v>20110.76762</v>
      </c>
      <c r="AJ70" s="311">
        <f t="shared" si="25"/>
        <v>37619.79556</v>
      </c>
      <c r="AK70" s="311">
        <f t="shared" si="25"/>
        <v>17862.1228</v>
      </c>
      <c r="AL70" s="311">
        <f t="shared" si="25"/>
        <v>54012.5427</v>
      </c>
      <c r="AM70" s="311">
        <f t="shared" si="25"/>
        <v>62088.89444</v>
      </c>
      <c r="AN70" s="311">
        <f t="shared" si="25"/>
        <v>28767.52837</v>
      </c>
      <c r="AO70" s="311">
        <f t="shared" si="25"/>
        <v>28767.52837</v>
      </c>
      <c r="AP70" s="311">
        <f t="shared" si="25"/>
        <v>13037.8562</v>
      </c>
      <c r="AQ70" s="311">
        <f t="shared" si="25"/>
        <v>-463.2167154</v>
      </c>
      <c r="AR70" s="311">
        <f t="shared" si="25"/>
        <v>-13666.68189</v>
      </c>
      <c r="AS70" s="311">
        <f t="shared" si="25"/>
        <v>-24535.2843</v>
      </c>
      <c r="AT70" s="311">
        <f t="shared" si="25"/>
        <v>249233.4067</v>
      </c>
      <c r="AU70" s="311">
        <f t="shared" si="25"/>
        <v>27599.43277</v>
      </c>
      <c r="AV70" s="311">
        <f t="shared" si="25"/>
        <v>21531.06113</v>
      </c>
      <c r="AW70" s="311">
        <f t="shared" si="25"/>
        <v>40773.24559</v>
      </c>
      <c r="AX70" s="311">
        <f t="shared" si="25"/>
        <v>19059.83095</v>
      </c>
      <c r="AY70" s="311">
        <f t="shared" si="25"/>
        <v>58788.65258</v>
      </c>
      <c r="AZ70" s="311">
        <f t="shared" si="25"/>
        <v>67664.45371</v>
      </c>
      <c r="BA70" s="311">
        <f t="shared" si="25"/>
        <v>36113.13256</v>
      </c>
      <c r="BB70" s="311">
        <f t="shared" si="25"/>
        <v>36113.13256</v>
      </c>
      <c r="BC70" s="311">
        <f t="shared" si="25"/>
        <v>18826.43599</v>
      </c>
      <c r="BD70" s="311">
        <f t="shared" si="25"/>
        <v>3988.939792</v>
      </c>
      <c r="BE70" s="311">
        <f t="shared" si="25"/>
        <v>-10521.48953</v>
      </c>
      <c r="BF70" s="311">
        <f t="shared" si="25"/>
        <v>-22465.93631</v>
      </c>
      <c r="BG70" s="311">
        <f t="shared" si="25"/>
        <v>297470.8918</v>
      </c>
      <c r="BH70" s="311">
        <f t="shared" si="25"/>
        <v>123083.2156</v>
      </c>
      <c r="BI70" s="311">
        <f t="shared" si="25"/>
        <v>-872.9725412</v>
      </c>
      <c r="BJ70" s="311">
        <f t="shared" si="25"/>
        <v>-66129.88196</v>
      </c>
      <c r="BK70" s="311">
        <f t="shared" si="25"/>
        <v>191392.5867</v>
      </c>
      <c r="BL70" s="311">
        <f t="shared" si="25"/>
        <v>776641.0756</v>
      </c>
      <c r="BM70" s="311">
        <f t="shared" si="25"/>
        <v>850741.4032</v>
      </c>
      <c r="BN70" s="311">
        <f t="shared" si="25"/>
        <v>931923.5325</v>
      </c>
      <c r="BO70" s="311">
        <f t="shared" si="25"/>
        <v>1020866.865</v>
      </c>
      <c r="BP70" s="311">
        <f t="shared" si="25"/>
        <v>1118315.526</v>
      </c>
      <c r="BQ70" s="311">
        <f t="shared" si="25"/>
        <v>1225084.471</v>
      </c>
      <c r="BR70" s="311">
        <f t="shared" si="25"/>
        <v>1342066.17</v>
      </c>
      <c r="BS70" s="311">
        <f t="shared" si="25"/>
        <v>1470126.089</v>
      </c>
      <c r="BT70" s="311">
        <f t="shared" si="25"/>
        <v>1609941.731</v>
      </c>
      <c r="BU70" s="311">
        <f t="shared" si="25"/>
        <v>1763111.501</v>
      </c>
      <c r="BV70" s="2"/>
      <c r="BW70" s="26"/>
    </row>
    <row r="71" ht="12.75" customHeight="1" outlineLevel="1">
      <c r="A71" s="233" t="s">
        <v>365</v>
      </c>
      <c r="B71" s="312"/>
      <c r="C71" s="312"/>
      <c r="D71" s="312"/>
      <c r="E71" s="312"/>
      <c r="F71" s="312"/>
      <c r="G71" s="312"/>
      <c r="H71" s="312"/>
      <c r="I71" s="312"/>
      <c r="J71" s="312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2"/>
      <c r="X71" s="312"/>
      <c r="Y71" s="312"/>
      <c r="Z71" s="312"/>
      <c r="AA71" s="312"/>
      <c r="AB71" s="312"/>
      <c r="AC71" s="312"/>
      <c r="AD71" s="312"/>
      <c r="AE71" s="312"/>
      <c r="AF71" s="312"/>
      <c r="AG71" s="312"/>
      <c r="AH71" s="312"/>
      <c r="AI71" s="312"/>
      <c r="AJ71" s="312"/>
      <c r="AK71" s="312"/>
      <c r="AL71" s="312"/>
      <c r="AM71" s="312"/>
      <c r="AN71" s="312"/>
      <c r="AO71" s="312"/>
      <c r="AP71" s="312"/>
      <c r="AQ71" s="312"/>
      <c r="AR71" s="312"/>
      <c r="AS71" s="312"/>
      <c r="AT71" s="312"/>
      <c r="AU71" s="312"/>
      <c r="AV71" s="312"/>
      <c r="AW71" s="312"/>
      <c r="AX71" s="312"/>
      <c r="AY71" s="312"/>
      <c r="AZ71" s="312"/>
      <c r="BA71" s="312"/>
      <c r="BB71" s="312"/>
      <c r="BC71" s="312"/>
      <c r="BD71" s="312"/>
      <c r="BE71" s="312"/>
      <c r="BF71" s="312"/>
      <c r="BG71" s="312"/>
      <c r="BH71" s="312"/>
      <c r="BI71" s="312"/>
      <c r="BJ71" s="312"/>
      <c r="BK71" s="312"/>
      <c r="BL71" s="312"/>
      <c r="BM71" s="312"/>
      <c r="BN71" s="312"/>
      <c r="BO71" s="312"/>
      <c r="BP71" s="312"/>
      <c r="BQ71" s="312"/>
      <c r="BR71" s="312"/>
      <c r="BS71" s="312"/>
      <c r="BT71" s="312"/>
      <c r="BU71" s="312"/>
      <c r="BV71" s="2"/>
      <c r="BW71" s="2"/>
    </row>
    <row r="72" ht="12.75" customHeight="1">
      <c r="A72" s="233" t="s">
        <v>366</v>
      </c>
      <c r="B72" s="312">
        <v>0.0</v>
      </c>
      <c r="C72" s="312">
        <f t="shared" ref="C72:F72" si="26">B73</f>
        <v>0</v>
      </c>
      <c r="D72" s="312">
        <f t="shared" si="26"/>
        <v>0</v>
      </c>
      <c r="E72" s="312">
        <f t="shared" si="26"/>
        <v>0</v>
      </c>
      <c r="F72" s="312">
        <f t="shared" si="26"/>
        <v>0</v>
      </c>
      <c r="G72" s="312">
        <v>0.0</v>
      </c>
      <c r="H72" s="312">
        <f t="shared" ref="H72:S72" si="27">G73</f>
        <v>0</v>
      </c>
      <c r="I72" s="312">
        <f t="shared" si="27"/>
        <v>0</v>
      </c>
      <c r="J72" s="312">
        <f t="shared" si="27"/>
        <v>0</v>
      </c>
      <c r="K72" s="312">
        <f t="shared" si="27"/>
        <v>0</v>
      </c>
      <c r="L72" s="312">
        <f t="shared" si="27"/>
        <v>0</v>
      </c>
      <c r="M72" s="312">
        <f t="shared" si="27"/>
        <v>0</v>
      </c>
      <c r="N72" s="312">
        <f t="shared" si="27"/>
        <v>0</v>
      </c>
      <c r="O72" s="312">
        <f t="shared" si="27"/>
        <v>0</v>
      </c>
      <c r="P72" s="312">
        <f t="shared" si="27"/>
        <v>0</v>
      </c>
      <c r="Q72" s="312">
        <f t="shared" si="27"/>
        <v>0</v>
      </c>
      <c r="R72" s="312">
        <f t="shared" si="27"/>
        <v>0</v>
      </c>
      <c r="S72" s="312">
        <f t="shared" si="27"/>
        <v>0</v>
      </c>
      <c r="T72" s="312">
        <f>G73</f>
        <v>0</v>
      </c>
      <c r="U72" s="312">
        <f t="shared" ref="U72:AF72" si="28">T73</f>
        <v>0</v>
      </c>
      <c r="V72" s="312">
        <f t="shared" si="28"/>
        <v>23817.03573</v>
      </c>
      <c r="W72" s="312">
        <f t="shared" si="28"/>
        <v>42611.59027</v>
      </c>
      <c r="X72" s="312">
        <f t="shared" si="28"/>
        <v>77337.65611</v>
      </c>
      <c r="Y72" s="312">
        <f t="shared" si="28"/>
        <v>95486.16272</v>
      </c>
      <c r="Z72" s="312">
        <f t="shared" si="28"/>
        <v>145128.033</v>
      </c>
      <c r="AA72" s="312">
        <f t="shared" si="28"/>
        <v>202118.5973</v>
      </c>
      <c r="AB72" s="312">
        <f t="shared" si="28"/>
        <v>232168.1963</v>
      </c>
      <c r="AC72" s="312">
        <f t="shared" si="28"/>
        <v>262217.7954</v>
      </c>
      <c r="AD72" s="312">
        <f t="shared" si="28"/>
        <v>277954.9237</v>
      </c>
      <c r="AE72" s="312">
        <f t="shared" si="28"/>
        <v>281407.3897</v>
      </c>
      <c r="AF72" s="312">
        <f t="shared" si="28"/>
        <v>272845.9874</v>
      </c>
      <c r="AG72" s="312">
        <f>U72</f>
        <v>0</v>
      </c>
      <c r="AH72" s="312">
        <f t="shared" ref="AH72:AS72" si="29">AG73</f>
        <v>254395.2148</v>
      </c>
      <c r="AI72" s="312">
        <f t="shared" si="29"/>
        <v>280026.7683</v>
      </c>
      <c r="AJ72" s="312">
        <f t="shared" si="29"/>
        <v>300137.536</v>
      </c>
      <c r="AK72" s="312">
        <f t="shared" si="29"/>
        <v>337757.3315</v>
      </c>
      <c r="AL72" s="312">
        <f t="shared" si="29"/>
        <v>355619.4543</v>
      </c>
      <c r="AM72" s="312">
        <f t="shared" si="29"/>
        <v>409631.997</v>
      </c>
      <c r="AN72" s="312">
        <f t="shared" si="29"/>
        <v>471720.8914</v>
      </c>
      <c r="AO72" s="312">
        <f t="shared" si="29"/>
        <v>500488.4198</v>
      </c>
      <c r="AP72" s="312">
        <f t="shared" si="29"/>
        <v>529255.9482</v>
      </c>
      <c r="AQ72" s="312">
        <f t="shared" si="29"/>
        <v>542293.8044</v>
      </c>
      <c r="AR72" s="312">
        <f t="shared" si="29"/>
        <v>541830.5877</v>
      </c>
      <c r="AS72" s="312">
        <f t="shared" si="29"/>
        <v>528163.9058</v>
      </c>
      <c r="AT72" s="312">
        <f>AG73</f>
        <v>254395.2148</v>
      </c>
      <c r="AU72" s="312">
        <f t="shared" ref="AU72:BF72" si="30">AT73</f>
        <v>503628.6215</v>
      </c>
      <c r="AV72" s="312">
        <f t="shared" si="30"/>
        <v>531228.0542</v>
      </c>
      <c r="AW72" s="312">
        <f t="shared" si="30"/>
        <v>552759.1154</v>
      </c>
      <c r="AX72" s="312">
        <f t="shared" si="30"/>
        <v>593532.361</v>
      </c>
      <c r="AY72" s="312">
        <f t="shared" si="30"/>
        <v>612592.1919</v>
      </c>
      <c r="AZ72" s="312">
        <f t="shared" si="30"/>
        <v>671380.8445</v>
      </c>
      <c r="BA72" s="312">
        <f t="shared" si="30"/>
        <v>739045.2982</v>
      </c>
      <c r="BB72" s="312">
        <f t="shared" si="30"/>
        <v>775158.4308</v>
      </c>
      <c r="BC72" s="312">
        <f t="shared" si="30"/>
        <v>811271.5633</v>
      </c>
      <c r="BD72" s="312">
        <f t="shared" si="30"/>
        <v>830097.9993</v>
      </c>
      <c r="BE72" s="312">
        <f t="shared" si="30"/>
        <v>834086.9391</v>
      </c>
      <c r="BF72" s="312">
        <f t="shared" si="30"/>
        <v>823565.4496</v>
      </c>
      <c r="BG72" s="312">
        <f>AT73</f>
        <v>503628.6215</v>
      </c>
      <c r="BH72" s="312">
        <f t="shared" ref="BH72:BU72" si="31">BG73</f>
        <v>801099.5133</v>
      </c>
      <c r="BI72" s="312">
        <f t="shared" si="31"/>
        <v>924182.7289</v>
      </c>
      <c r="BJ72" s="312">
        <f t="shared" si="31"/>
        <v>923309.7564</v>
      </c>
      <c r="BK72" s="312">
        <f t="shared" si="31"/>
        <v>857179.8744</v>
      </c>
      <c r="BL72" s="312">
        <f t="shared" si="31"/>
        <v>1048572.461</v>
      </c>
      <c r="BM72" s="312">
        <f t="shared" si="31"/>
        <v>1825213.537</v>
      </c>
      <c r="BN72" s="312">
        <f t="shared" si="31"/>
        <v>2675954.94</v>
      </c>
      <c r="BO72" s="312">
        <f t="shared" si="31"/>
        <v>3607878.472</v>
      </c>
      <c r="BP72" s="312">
        <f t="shared" si="31"/>
        <v>4628745.338</v>
      </c>
      <c r="BQ72" s="312">
        <f t="shared" si="31"/>
        <v>5747060.863</v>
      </c>
      <c r="BR72" s="312">
        <f t="shared" si="31"/>
        <v>6972145.334</v>
      </c>
      <c r="BS72" s="312">
        <f t="shared" si="31"/>
        <v>8314211.504</v>
      </c>
      <c r="BT72" s="312">
        <f t="shared" si="31"/>
        <v>9784337.593</v>
      </c>
      <c r="BU72" s="312">
        <f t="shared" si="31"/>
        <v>11394279.32</v>
      </c>
      <c r="BV72" s="2"/>
      <c r="BW72" s="2"/>
    </row>
    <row r="73" ht="12.75" customHeight="1">
      <c r="A73" s="295" t="s">
        <v>367</v>
      </c>
      <c r="B73" s="313">
        <f t="shared" ref="B73:BU73" si="32">SUM(B70:B72)</f>
        <v>0</v>
      </c>
      <c r="C73" s="313">
        <f t="shared" si="32"/>
        <v>0</v>
      </c>
      <c r="D73" s="313">
        <f t="shared" si="32"/>
        <v>0</v>
      </c>
      <c r="E73" s="313">
        <f t="shared" si="32"/>
        <v>0</v>
      </c>
      <c r="F73" s="313">
        <f t="shared" si="32"/>
        <v>0</v>
      </c>
      <c r="G73" s="313">
        <f t="shared" si="32"/>
        <v>0</v>
      </c>
      <c r="H73" s="313">
        <f t="shared" si="32"/>
        <v>0</v>
      </c>
      <c r="I73" s="313">
        <f t="shared" si="32"/>
        <v>0</v>
      </c>
      <c r="J73" s="313">
        <f t="shared" si="32"/>
        <v>0</v>
      </c>
      <c r="K73" s="313">
        <f t="shared" si="32"/>
        <v>0</v>
      </c>
      <c r="L73" s="313">
        <f t="shared" si="32"/>
        <v>0</v>
      </c>
      <c r="M73" s="313">
        <f t="shared" si="32"/>
        <v>0</v>
      </c>
      <c r="N73" s="313">
        <f t="shared" si="32"/>
        <v>0</v>
      </c>
      <c r="O73" s="313">
        <f t="shared" si="32"/>
        <v>0</v>
      </c>
      <c r="P73" s="313">
        <f t="shared" si="32"/>
        <v>0</v>
      </c>
      <c r="Q73" s="313">
        <f t="shared" si="32"/>
        <v>0</v>
      </c>
      <c r="R73" s="313">
        <f t="shared" si="32"/>
        <v>0</v>
      </c>
      <c r="S73" s="313">
        <f t="shared" si="32"/>
        <v>0</v>
      </c>
      <c r="T73" s="313">
        <f t="shared" si="32"/>
        <v>0</v>
      </c>
      <c r="U73" s="313">
        <f t="shared" si="32"/>
        <v>23817.03573</v>
      </c>
      <c r="V73" s="313">
        <f t="shared" si="32"/>
        <v>42611.59027</v>
      </c>
      <c r="W73" s="313">
        <f t="shared" si="32"/>
        <v>77337.65611</v>
      </c>
      <c r="X73" s="313">
        <f t="shared" si="32"/>
        <v>95486.16272</v>
      </c>
      <c r="Y73" s="313">
        <f t="shared" si="32"/>
        <v>145128.033</v>
      </c>
      <c r="Z73" s="313">
        <f t="shared" si="32"/>
        <v>202118.5973</v>
      </c>
      <c r="AA73" s="313">
        <f t="shared" si="32"/>
        <v>232168.1963</v>
      </c>
      <c r="AB73" s="313">
        <f t="shared" si="32"/>
        <v>262217.7954</v>
      </c>
      <c r="AC73" s="313">
        <f t="shared" si="32"/>
        <v>277954.9237</v>
      </c>
      <c r="AD73" s="313">
        <f t="shared" si="32"/>
        <v>281407.3897</v>
      </c>
      <c r="AE73" s="313">
        <f t="shared" si="32"/>
        <v>272845.9874</v>
      </c>
      <c r="AF73" s="313">
        <f t="shared" si="32"/>
        <v>254395.2148</v>
      </c>
      <c r="AG73" s="313">
        <f t="shared" si="32"/>
        <v>254395.2148</v>
      </c>
      <c r="AH73" s="313">
        <f t="shared" si="32"/>
        <v>280026.7683</v>
      </c>
      <c r="AI73" s="313">
        <f t="shared" si="32"/>
        <v>300137.536</v>
      </c>
      <c r="AJ73" s="313">
        <f t="shared" si="32"/>
        <v>337757.3315</v>
      </c>
      <c r="AK73" s="313">
        <f t="shared" si="32"/>
        <v>355619.4543</v>
      </c>
      <c r="AL73" s="313">
        <f t="shared" si="32"/>
        <v>409631.997</v>
      </c>
      <c r="AM73" s="313">
        <f t="shared" si="32"/>
        <v>471720.8914</v>
      </c>
      <c r="AN73" s="313">
        <f t="shared" si="32"/>
        <v>500488.4198</v>
      </c>
      <c r="AO73" s="313">
        <f t="shared" si="32"/>
        <v>529255.9482</v>
      </c>
      <c r="AP73" s="313">
        <f t="shared" si="32"/>
        <v>542293.8044</v>
      </c>
      <c r="AQ73" s="313">
        <f t="shared" si="32"/>
        <v>541830.5877</v>
      </c>
      <c r="AR73" s="313">
        <f t="shared" si="32"/>
        <v>528163.9058</v>
      </c>
      <c r="AS73" s="313">
        <f t="shared" si="32"/>
        <v>503628.6215</v>
      </c>
      <c r="AT73" s="313">
        <f t="shared" si="32"/>
        <v>503628.6215</v>
      </c>
      <c r="AU73" s="313">
        <f t="shared" si="32"/>
        <v>531228.0542</v>
      </c>
      <c r="AV73" s="313">
        <f t="shared" si="32"/>
        <v>552759.1154</v>
      </c>
      <c r="AW73" s="313">
        <f t="shared" si="32"/>
        <v>593532.361</v>
      </c>
      <c r="AX73" s="313">
        <f t="shared" si="32"/>
        <v>612592.1919</v>
      </c>
      <c r="AY73" s="313">
        <f t="shared" si="32"/>
        <v>671380.8445</v>
      </c>
      <c r="AZ73" s="313">
        <f t="shared" si="32"/>
        <v>739045.2982</v>
      </c>
      <c r="BA73" s="313">
        <f t="shared" si="32"/>
        <v>775158.4308</v>
      </c>
      <c r="BB73" s="313">
        <f t="shared" si="32"/>
        <v>811271.5633</v>
      </c>
      <c r="BC73" s="313">
        <f t="shared" si="32"/>
        <v>830097.9993</v>
      </c>
      <c r="BD73" s="313">
        <f t="shared" si="32"/>
        <v>834086.9391</v>
      </c>
      <c r="BE73" s="313">
        <f t="shared" si="32"/>
        <v>823565.4496</v>
      </c>
      <c r="BF73" s="313">
        <f t="shared" si="32"/>
        <v>801099.5133</v>
      </c>
      <c r="BG73" s="313">
        <f t="shared" si="32"/>
        <v>801099.5133</v>
      </c>
      <c r="BH73" s="313">
        <f t="shared" si="32"/>
        <v>924182.7289</v>
      </c>
      <c r="BI73" s="313">
        <f t="shared" si="32"/>
        <v>923309.7564</v>
      </c>
      <c r="BJ73" s="313">
        <f t="shared" si="32"/>
        <v>857179.8744</v>
      </c>
      <c r="BK73" s="313">
        <f t="shared" si="32"/>
        <v>1048572.461</v>
      </c>
      <c r="BL73" s="313">
        <f t="shared" si="32"/>
        <v>1825213.537</v>
      </c>
      <c r="BM73" s="313">
        <f t="shared" si="32"/>
        <v>2675954.94</v>
      </c>
      <c r="BN73" s="313">
        <f t="shared" si="32"/>
        <v>3607878.472</v>
      </c>
      <c r="BO73" s="313">
        <f t="shared" si="32"/>
        <v>4628745.338</v>
      </c>
      <c r="BP73" s="313">
        <f t="shared" si="32"/>
        <v>5747060.863</v>
      </c>
      <c r="BQ73" s="313">
        <f t="shared" si="32"/>
        <v>6972145.334</v>
      </c>
      <c r="BR73" s="313">
        <f t="shared" si="32"/>
        <v>8314211.504</v>
      </c>
      <c r="BS73" s="313">
        <f t="shared" si="32"/>
        <v>9784337.593</v>
      </c>
      <c r="BT73" s="313">
        <f t="shared" si="32"/>
        <v>11394279.32</v>
      </c>
      <c r="BU73" s="313">
        <f t="shared" si="32"/>
        <v>13157390.83</v>
      </c>
      <c r="BV73" s="2"/>
      <c r="BW73" s="2"/>
    </row>
    <row r="74" ht="12.75" customHeight="1">
      <c r="A74" s="233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305"/>
      <c r="V74" s="305"/>
      <c r="W74" s="305"/>
      <c r="X74" s="305"/>
      <c r="Y74" s="305"/>
      <c r="Z74" s="305"/>
      <c r="AA74" s="305"/>
      <c r="AB74" s="305"/>
      <c r="AC74" s="305"/>
      <c r="AD74" s="305"/>
      <c r="AE74" s="305"/>
      <c r="AF74" s="305"/>
      <c r="AG74" s="305"/>
      <c r="AH74" s="305"/>
      <c r="AI74" s="305"/>
      <c r="AJ74" s="305"/>
      <c r="AK74" s="305"/>
      <c r="AL74" s="305"/>
      <c r="AM74" s="305"/>
      <c r="AN74" s="305"/>
      <c r="AO74" s="305"/>
      <c r="AP74" s="305"/>
      <c r="AQ74" s="305"/>
      <c r="AR74" s="305"/>
      <c r="AS74" s="305"/>
      <c r="AT74" s="305"/>
      <c r="AU74" s="305"/>
      <c r="AV74" s="305"/>
      <c r="AW74" s="305"/>
      <c r="AX74" s="305"/>
      <c r="AY74" s="305"/>
      <c r="AZ74" s="305"/>
      <c r="BA74" s="305"/>
      <c r="BB74" s="305"/>
      <c r="BC74" s="305"/>
      <c r="BD74" s="305"/>
      <c r="BE74" s="305"/>
      <c r="BF74" s="305"/>
      <c r="BG74" s="305"/>
      <c r="BH74" s="305"/>
      <c r="BI74" s="305"/>
      <c r="BJ74" s="305"/>
      <c r="BK74" s="305"/>
      <c r="BL74" s="305"/>
      <c r="BM74" s="305"/>
      <c r="BN74" s="305"/>
      <c r="BO74" s="305"/>
      <c r="BP74" s="305"/>
      <c r="BQ74" s="305"/>
      <c r="BR74" s="305"/>
      <c r="BS74" s="305"/>
      <c r="BT74" s="305"/>
      <c r="BU74" s="305"/>
      <c r="BV74" s="2"/>
      <c r="BW74" s="2"/>
    </row>
    <row r="75" ht="12.75" customHeight="1">
      <c r="A75" s="263" t="s">
        <v>368</v>
      </c>
      <c r="B75" s="314">
        <f t="shared" ref="B75:BU75" si="33">B73</f>
        <v>0</v>
      </c>
      <c r="C75" s="314">
        <f t="shared" si="33"/>
        <v>0</v>
      </c>
      <c r="D75" s="314">
        <f t="shared" si="33"/>
        <v>0</v>
      </c>
      <c r="E75" s="314">
        <f t="shared" si="33"/>
        <v>0</v>
      </c>
      <c r="F75" s="314">
        <f t="shared" si="33"/>
        <v>0</v>
      </c>
      <c r="G75" s="314">
        <f t="shared" si="33"/>
        <v>0</v>
      </c>
      <c r="H75" s="314">
        <f t="shared" si="33"/>
        <v>0</v>
      </c>
      <c r="I75" s="314">
        <f t="shared" si="33"/>
        <v>0</v>
      </c>
      <c r="J75" s="314">
        <f t="shared" si="33"/>
        <v>0</v>
      </c>
      <c r="K75" s="314">
        <f t="shared" si="33"/>
        <v>0</v>
      </c>
      <c r="L75" s="314">
        <f t="shared" si="33"/>
        <v>0</v>
      </c>
      <c r="M75" s="314">
        <f t="shared" si="33"/>
        <v>0</v>
      </c>
      <c r="N75" s="314">
        <f t="shared" si="33"/>
        <v>0</v>
      </c>
      <c r="O75" s="314">
        <f t="shared" si="33"/>
        <v>0</v>
      </c>
      <c r="P75" s="314">
        <f t="shared" si="33"/>
        <v>0</v>
      </c>
      <c r="Q75" s="314">
        <f t="shared" si="33"/>
        <v>0</v>
      </c>
      <c r="R75" s="314">
        <f t="shared" si="33"/>
        <v>0</v>
      </c>
      <c r="S75" s="314">
        <f t="shared" si="33"/>
        <v>0</v>
      </c>
      <c r="T75" s="314">
        <f t="shared" si="33"/>
        <v>0</v>
      </c>
      <c r="U75" s="314">
        <f t="shared" si="33"/>
        <v>23817.03573</v>
      </c>
      <c r="V75" s="314">
        <f t="shared" si="33"/>
        <v>42611.59027</v>
      </c>
      <c r="W75" s="314">
        <f t="shared" si="33"/>
        <v>77337.65611</v>
      </c>
      <c r="X75" s="314">
        <f t="shared" si="33"/>
        <v>95486.16272</v>
      </c>
      <c r="Y75" s="314">
        <f t="shared" si="33"/>
        <v>145128.033</v>
      </c>
      <c r="Z75" s="314">
        <f t="shared" si="33"/>
        <v>202118.5973</v>
      </c>
      <c r="AA75" s="314">
        <f t="shared" si="33"/>
        <v>232168.1963</v>
      </c>
      <c r="AB75" s="314">
        <f t="shared" si="33"/>
        <v>262217.7954</v>
      </c>
      <c r="AC75" s="314">
        <f t="shared" si="33"/>
        <v>277954.9237</v>
      </c>
      <c r="AD75" s="314">
        <f t="shared" si="33"/>
        <v>281407.3897</v>
      </c>
      <c r="AE75" s="314">
        <f t="shared" si="33"/>
        <v>272845.9874</v>
      </c>
      <c r="AF75" s="314">
        <f t="shared" si="33"/>
        <v>254395.2148</v>
      </c>
      <c r="AG75" s="314">
        <f t="shared" si="33"/>
        <v>254395.2148</v>
      </c>
      <c r="AH75" s="314">
        <f t="shared" si="33"/>
        <v>280026.7683</v>
      </c>
      <c r="AI75" s="314">
        <f t="shared" si="33"/>
        <v>300137.536</v>
      </c>
      <c r="AJ75" s="314">
        <f t="shared" si="33"/>
        <v>337757.3315</v>
      </c>
      <c r="AK75" s="314">
        <f t="shared" si="33"/>
        <v>355619.4543</v>
      </c>
      <c r="AL75" s="314">
        <f t="shared" si="33"/>
        <v>409631.997</v>
      </c>
      <c r="AM75" s="314">
        <f t="shared" si="33"/>
        <v>471720.8914</v>
      </c>
      <c r="AN75" s="314">
        <f t="shared" si="33"/>
        <v>500488.4198</v>
      </c>
      <c r="AO75" s="314">
        <f t="shared" si="33"/>
        <v>529255.9482</v>
      </c>
      <c r="AP75" s="314">
        <f t="shared" si="33"/>
        <v>542293.8044</v>
      </c>
      <c r="AQ75" s="314">
        <f t="shared" si="33"/>
        <v>541830.5877</v>
      </c>
      <c r="AR75" s="314">
        <f t="shared" si="33"/>
        <v>528163.9058</v>
      </c>
      <c r="AS75" s="314">
        <f t="shared" si="33"/>
        <v>503628.6215</v>
      </c>
      <c r="AT75" s="314">
        <f t="shared" si="33"/>
        <v>503628.6215</v>
      </c>
      <c r="AU75" s="314">
        <f t="shared" si="33"/>
        <v>531228.0542</v>
      </c>
      <c r="AV75" s="314">
        <f t="shared" si="33"/>
        <v>552759.1154</v>
      </c>
      <c r="AW75" s="314">
        <f t="shared" si="33"/>
        <v>593532.361</v>
      </c>
      <c r="AX75" s="314">
        <f t="shared" si="33"/>
        <v>612592.1919</v>
      </c>
      <c r="AY75" s="314">
        <f t="shared" si="33"/>
        <v>671380.8445</v>
      </c>
      <c r="AZ75" s="314">
        <f t="shared" si="33"/>
        <v>739045.2982</v>
      </c>
      <c r="BA75" s="314">
        <f t="shared" si="33"/>
        <v>775158.4308</v>
      </c>
      <c r="BB75" s="314">
        <f t="shared" si="33"/>
        <v>811271.5633</v>
      </c>
      <c r="BC75" s="314">
        <f t="shared" si="33"/>
        <v>830097.9993</v>
      </c>
      <c r="BD75" s="314">
        <f t="shared" si="33"/>
        <v>834086.9391</v>
      </c>
      <c r="BE75" s="314">
        <f t="shared" si="33"/>
        <v>823565.4496</v>
      </c>
      <c r="BF75" s="314">
        <f t="shared" si="33"/>
        <v>801099.5133</v>
      </c>
      <c r="BG75" s="314">
        <f t="shared" si="33"/>
        <v>801099.5133</v>
      </c>
      <c r="BH75" s="314">
        <f t="shared" si="33"/>
        <v>924182.7289</v>
      </c>
      <c r="BI75" s="314">
        <f t="shared" si="33"/>
        <v>923309.7564</v>
      </c>
      <c r="BJ75" s="314">
        <f t="shared" si="33"/>
        <v>857179.8744</v>
      </c>
      <c r="BK75" s="314">
        <f t="shared" si="33"/>
        <v>1048572.461</v>
      </c>
      <c r="BL75" s="314">
        <f t="shared" si="33"/>
        <v>1825213.537</v>
      </c>
      <c r="BM75" s="314">
        <f t="shared" si="33"/>
        <v>2675954.94</v>
      </c>
      <c r="BN75" s="314">
        <f t="shared" si="33"/>
        <v>3607878.472</v>
      </c>
      <c r="BO75" s="314">
        <f t="shared" si="33"/>
        <v>4628745.338</v>
      </c>
      <c r="BP75" s="314">
        <f t="shared" si="33"/>
        <v>5747060.863</v>
      </c>
      <c r="BQ75" s="314">
        <f t="shared" si="33"/>
        <v>6972145.334</v>
      </c>
      <c r="BR75" s="314">
        <f t="shared" si="33"/>
        <v>8314211.504</v>
      </c>
      <c r="BS75" s="314">
        <f t="shared" si="33"/>
        <v>9784337.593</v>
      </c>
      <c r="BT75" s="314">
        <f t="shared" si="33"/>
        <v>11394279.32</v>
      </c>
      <c r="BU75" s="314">
        <f t="shared" si="33"/>
        <v>13157390.83</v>
      </c>
      <c r="BV75" s="2"/>
      <c r="BW75" s="2"/>
    </row>
    <row r="76" ht="12.75" customHeight="1">
      <c r="A76" s="233"/>
      <c r="B76" s="312"/>
      <c r="C76" s="312"/>
      <c r="D76" s="312"/>
      <c r="E76" s="312"/>
      <c r="F76" s="312"/>
      <c r="G76" s="312"/>
      <c r="H76" s="312"/>
      <c r="I76" s="312"/>
      <c r="J76" s="312"/>
      <c r="K76" s="312"/>
      <c r="L76" s="312"/>
      <c r="M76" s="312"/>
      <c r="N76" s="312"/>
      <c r="O76" s="312"/>
      <c r="P76" s="312"/>
      <c r="Q76" s="312"/>
      <c r="R76" s="312"/>
      <c r="S76" s="312"/>
      <c r="T76" s="312"/>
      <c r="U76" s="312"/>
      <c r="V76" s="312"/>
      <c r="W76" s="312"/>
      <c r="X76" s="312"/>
      <c r="Y76" s="312"/>
      <c r="Z76" s="312"/>
      <c r="AA76" s="312"/>
      <c r="AB76" s="312"/>
      <c r="AC76" s="312"/>
      <c r="AD76" s="312"/>
      <c r="AE76" s="312"/>
      <c r="AF76" s="312"/>
      <c r="AG76" s="312"/>
      <c r="AH76" s="305"/>
      <c r="AI76" s="305"/>
      <c r="AJ76" s="305"/>
      <c r="AK76" s="305"/>
      <c r="AL76" s="305"/>
      <c r="AM76" s="305"/>
      <c r="AN76" s="305"/>
      <c r="AO76" s="305"/>
      <c r="AP76" s="305"/>
      <c r="AQ76" s="305"/>
      <c r="AR76" s="305"/>
      <c r="AS76" s="305"/>
      <c r="AT76" s="305"/>
      <c r="AU76" s="305"/>
      <c r="AV76" s="305"/>
      <c r="AW76" s="305"/>
      <c r="AX76" s="305"/>
      <c r="AY76" s="305"/>
      <c r="AZ76" s="305"/>
      <c r="BA76" s="305"/>
      <c r="BB76" s="305"/>
      <c r="BC76" s="305"/>
      <c r="BD76" s="305"/>
      <c r="BE76" s="305"/>
      <c r="BF76" s="305"/>
      <c r="BG76" s="305"/>
      <c r="BH76" s="305"/>
      <c r="BI76" s="305"/>
      <c r="BJ76" s="305"/>
      <c r="BK76" s="305"/>
      <c r="BL76" s="305"/>
      <c r="BM76" s="305"/>
      <c r="BN76" s="305"/>
      <c r="BO76" s="305"/>
      <c r="BP76" s="305"/>
      <c r="BQ76" s="305"/>
      <c r="BR76" s="305"/>
      <c r="BS76" s="305"/>
      <c r="BT76" s="305"/>
      <c r="BU76" s="305"/>
      <c r="BV76" s="2"/>
      <c r="BW76" s="2"/>
    </row>
    <row r="77" ht="12.75" customHeight="1">
      <c r="A77" s="26"/>
      <c r="B77" s="305"/>
      <c r="C77" s="305"/>
      <c r="D77" s="305"/>
      <c r="E77" s="305"/>
      <c r="F77" s="305"/>
      <c r="G77" s="305"/>
      <c r="H77" s="305"/>
      <c r="I77" s="305"/>
      <c r="J77" s="305"/>
      <c r="K77" s="305"/>
      <c r="L77" s="305"/>
      <c r="M77" s="305"/>
      <c r="N77" s="305"/>
      <c r="O77" s="305"/>
      <c r="P77" s="305"/>
      <c r="Q77" s="305"/>
      <c r="R77" s="305"/>
      <c r="S77" s="305"/>
      <c r="T77" s="305"/>
      <c r="U77" s="305"/>
      <c r="V77" s="305"/>
      <c r="W77" s="305"/>
      <c r="X77" s="305"/>
      <c r="Y77" s="305"/>
      <c r="Z77" s="305"/>
      <c r="AA77" s="305"/>
      <c r="AB77" s="305"/>
      <c r="AC77" s="305"/>
      <c r="AD77" s="305"/>
      <c r="AE77" s="305"/>
      <c r="AF77" s="305"/>
      <c r="AG77" s="305"/>
      <c r="AH77" s="305"/>
      <c r="AI77" s="305"/>
      <c r="AJ77" s="305"/>
      <c r="AK77" s="305"/>
      <c r="AL77" s="305"/>
      <c r="AM77" s="305"/>
      <c r="AN77" s="305"/>
      <c r="AO77" s="305"/>
      <c r="AP77" s="305"/>
      <c r="AQ77" s="305"/>
      <c r="AR77" s="305"/>
      <c r="AS77" s="305"/>
      <c r="AT77" s="305"/>
      <c r="AU77" s="305"/>
      <c r="AV77" s="305"/>
      <c r="AW77" s="305"/>
      <c r="AX77" s="305"/>
      <c r="AY77" s="305"/>
      <c r="AZ77" s="305"/>
      <c r="BA77" s="305"/>
      <c r="BB77" s="305"/>
      <c r="BC77" s="305"/>
      <c r="BD77" s="305"/>
      <c r="BE77" s="305"/>
      <c r="BF77" s="305"/>
      <c r="BG77" s="305"/>
      <c r="BH77" s="305"/>
      <c r="BI77" s="305"/>
      <c r="BJ77" s="305"/>
      <c r="BK77" s="305"/>
      <c r="BL77" s="305"/>
      <c r="BM77" s="305"/>
      <c r="BN77" s="305"/>
      <c r="BO77" s="305"/>
      <c r="BP77" s="305"/>
      <c r="BQ77" s="305"/>
      <c r="BR77" s="305"/>
      <c r="BS77" s="305"/>
      <c r="BT77" s="305"/>
      <c r="BU77" s="305"/>
      <c r="BV77" s="2"/>
      <c r="BW77" s="2"/>
    </row>
    <row r="78" ht="12.75" customHeight="1">
      <c r="A78" s="302" t="s">
        <v>369</v>
      </c>
      <c r="B78" s="315" t="s">
        <v>66</v>
      </c>
      <c r="C78" s="315" t="s">
        <v>67</v>
      </c>
      <c r="D78" s="315" t="s">
        <v>68</v>
      </c>
      <c r="E78" s="315" t="s">
        <v>69</v>
      </c>
      <c r="F78" s="315" t="s">
        <v>70</v>
      </c>
      <c r="G78" s="316">
        <f t="shared" ref="G78:BU78" si="34">G7</f>
        <v>2030</v>
      </c>
      <c r="H78" s="316" t="str">
        <f t="shared" si="34"/>
        <v>янв</v>
      </c>
      <c r="I78" s="316" t="str">
        <f t="shared" si="34"/>
        <v>фев</v>
      </c>
      <c r="J78" s="316" t="str">
        <f t="shared" si="34"/>
        <v>мар</v>
      </c>
      <c r="K78" s="316" t="str">
        <f t="shared" si="34"/>
        <v>апр</v>
      </c>
      <c r="L78" s="316" t="str">
        <f t="shared" si="34"/>
        <v>май</v>
      </c>
      <c r="M78" s="316" t="str">
        <f t="shared" si="34"/>
        <v>июн</v>
      </c>
      <c r="N78" s="316" t="str">
        <f t="shared" si="34"/>
        <v>июл</v>
      </c>
      <c r="O78" s="316" t="str">
        <f t="shared" si="34"/>
        <v>авг</v>
      </c>
      <c r="P78" s="316" t="str">
        <f t="shared" si="34"/>
        <v>сен</v>
      </c>
      <c r="Q78" s="316" t="str">
        <f t="shared" si="34"/>
        <v>окт</v>
      </c>
      <c r="R78" s="316" t="str">
        <f t="shared" si="34"/>
        <v>ноя</v>
      </c>
      <c r="S78" s="316" t="str">
        <f t="shared" si="34"/>
        <v>дек</v>
      </c>
      <c r="T78" s="316">
        <f t="shared" si="34"/>
        <v>2031</v>
      </c>
      <c r="U78" s="316" t="str">
        <f t="shared" si="34"/>
        <v>янв</v>
      </c>
      <c r="V78" s="316" t="str">
        <f t="shared" si="34"/>
        <v>фев</v>
      </c>
      <c r="W78" s="316" t="str">
        <f t="shared" si="34"/>
        <v>мар</v>
      </c>
      <c r="X78" s="316" t="str">
        <f t="shared" si="34"/>
        <v>апр</v>
      </c>
      <c r="Y78" s="316" t="str">
        <f t="shared" si="34"/>
        <v>май</v>
      </c>
      <c r="Z78" s="316" t="str">
        <f t="shared" si="34"/>
        <v>июн</v>
      </c>
      <c r="AA78" s="316" t="str">
        <f t="shared" si="34"/>
        <v>июл</v>
      </c>
      <c r="AB78" s="316" t="str">
        <f t="shared" si="34"/>
        <v>авг</v>
      </c>
      <c r="AC78" s="316" t="str">
        <f t="shared" si="34"/>
        <v>сен</v>
      </c>
      <c r="AD78" s="316" t="str">
        <f t="shared" si="34"/>
        <v>окт</v>
      </c>
      <c r="AE78" s="316" t="str">
        <f t="shared" si="34"/>
        <v>ноя</v>
      </c>
      <c r="AF78" s="316" t="str">
        <f t="shared" si="34"/>
        <v>дек</v>
      </c>
      <c r="AG78" s="316">
        <f t="shared" si="34"/>
        <v>2026</v>
      </c>
      <c r="AH78" s="316" t="str">
        <f t="shared" si="34"/>
        <v>янв</v>
      </c>
      <c r="AI78" s="316" t="str">
        <f t="shared" si="34"/>
        <v>фев</v>
      </c>
      <c r="AJ78" s="316" t="str">
        <f t="shared" si="34"/>
        <v>мар</v>
      </c>
      <c r="AK78" s="316" t="str">
        <f t="shared" si="34"/>
        <v>апр</v>
      </c>
      <c r="AL78" s="316" t="str">
        <f t="shared" si="34"/>
        <v>май</v>
      </c>
      <c r="AM78" s="316" t="str">
        <f t="shared" si="34"/>
        <v>июн</v>
      </c>
      <c r="AN78" s="316" t="str">
        <f t="shared" si="34"/>
        <v>июл</v>
      </c>
      <c r="AO78" s="316" t="str">
        <f t="shared" si="34"/>
        <v>авг</v>
      </c>
      <c r="AP78" s="316" t="str">
        <f t="shared" si="34"/>
        <v>сен</v>
      </c>
      <c r="AQ78" s="316" t="str">
        <f t="shared" si="34"/>
        <v>окт</v>
      </c>
      <c r="AR78" s="316" t="str">
        <f t="shared" si="34"/>
        <v>ноя</v>
      </c>
      <c r="AS78" s="316" t="str">
        <f t="shared" si="34"/>
        <v>дек</v>
      </c>
      <c r="AT78" s="316">
        <f t="shared" si="34"/>
        <v>2027</v>
      </c>
      <c r="AU78" s="316" t="str">
        <f t="shared" si="34"/>
        <v>янв</v>
      </c>
      <c r="AV78" s="316" t="str">
        <f t="shared" si="34"/>
        <v>фев</v>
      </c>
      <c r="AW78" s="316" t="str">
        <f t="shared" si="34"/>
        <v>мар</v>
      </c>
      <c r="AX78" s="316" t="str">
        <f t="shared" si="34"/>
        <v>апр</v>
      </c>
      <c r="AY78" s="316" t="str">
        <f t="shared" si="34"/>
        <v>май</v>
      </c>
      <c r="AZ78" s="316" t="str">
        <f t="shared" si="34"/>
        <v>июн</v>
      </c>
      <c r="BA78" s="316" t="str">
        <f t="shared" si="34"/>
        <v>июл</v>
      </c>
      <c r="BB78" s="316" t="str">
        <f t="shared" si="34"/>
        <v>авг</v>
      </c>
      <c r="BC78" s="316" t="str">
        <f t="shared" si="34"/>
        <v>сен</v>
      </c>
      <c r="BD78" s="316" t="str">
        <f t="shared" si="34"/>
        <v>окт</v>
      </c>
      <c r="BE78" s="316" t="str">
        <f t="shared" si="34"/>
        <v>ноя</v>
      </c>
      <c r="BF78" s="316" t="str">
        <f t="shared" si="34"/>
        <v>дек</v>
      </c>
      <c r="BG78" s="316">
        <f t="shared" si="34"/>
        <v>2028</v>
      </c>
      <c r="BH78" s="316">
        <f t="shared" si="34"/>
        <v>2029</v>
      </c>
      <c r="BI78" s="316">
        <f t="shared" si="34"/>
        <v>2030</v>
      </c>
      <c r="BJ78" s="316">
        <f t="shared" si="34"/>
        <v>2031</v>
      </c>
      <c r="BK78" s="316">
        <f t="shared" si="34"/>
        <v>2032</v>
      </c>
      <c r="BL78" s="316">
        <f t="shared" si="34"/>
        <v>2033</v>
      </c>
      <c r="BM78" s="316">
        <f t="shared" si="34"/>
        <v>2034</v>
      </c>
      <c r="BN78" s="316">
        <f t="shared" si="34"/>
        <v>2035</v>
      </c>
      <c r="BO78" s="316">
        <f t="shared" si="34"/>
        <v>2036</v>
      </c>
      <c r="BP78" s="316">
        <f t="shared" si="34"/>
        <v>2037</v>
      </c>
      <c r="BQ78" s="316">
        <f t="shared" si="34"/>
        <v>2038</v>
      </c>
      <c r="BR78" s="316">
        <f t="shared" si="34"/>
        <v>2039</v>
      </c>
      <c r="BS78" s="316">
        <f t="shared" si="34"/>
        <v>2040</v>
      </c>
      <c r="BT78" s="316">
        <f t="shared" si="34"/>
        <v>2041</v>
      </c>
      <c r="BU78" s="316">
        <f t="shared" si="34"/>
        <v>2042</v>
      </c>
      <c r="BV78" s="2"/>
      <c r="BW78" s="2"/>
    </row>
    <row r="79" ht="12.75" customHeight="1">
      <c r="A79" s="26"/>
      <c r="B79" s="317"/>
      <c r="C79" s="317"/>
      <c r="D79" s="317"/>
      <c r="E79" s="317"/>
      <c r="F79" s="317"/>
      <c r="G79" s="317"/>
      <c r="H79" s="317"/>
      <c r="I79" s="317"/>
      <c r="J79" s="317"/>
      <c r="K79" s="317"/>
      <c r="L79" s="317"/>
      <c r="M79" s="317"/>
      <c r="N79" s="317"/>
      <c r="O79" s="317"/>
      <c r="P79" s="317"/>
      <c r="Q79" s="317"/>
      <c r="R79" s="317"/>
      <c r="S79" s="317"/>
      <c r="T79" s="317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2"/>
      <c r="BW79" s="2"/>
    </row>
    <row r="80" ht="12.75" customHeight="1">
      <c r="A80" s="233" t="s">
        <v>370</v>
      </c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305"/>
      <c r="V80" s="305"/>
      <c r="W80" s="305"/>
      <c r="X80" s="305"/>
      <c r="Y80" s="305"/>
      <c r="Z80" s="305"/>
      <c r="AA80" s="305"/>
      <c r="AB80" s="305"/>
      <c r="AC80" s="305"/>
      <c r="AD80" s="305"/>
      <c r="AE80" s="305"/>
      <c r="AF80" s="305"/>
      <c r="AG80" s="305"/>
      <c r="AH80" s="305"/>
      <c r="AI80" s="305"/>
      <c r="AJ80" s="305"/>
      <c r="AK80" s="305"/>
      <c r="AL80" s="305"/>
      <c r="AM80" s="305"/>
      <c r="AN80" s="305"/>
      <c r="AO80" s="305"/>
      <c r="AP80" s="305"/>
      <c r="AQ80" s="305"/>
      <c r="AR80" s="305"/>
      <c r="AS80" s="305"/>
      <c r="AT80" s="305"/>
      <c r="AU80" s="305"/>
      <c r="AV80" s="305"/>
      <c r="AW80" s="305"/>
      <c r="AX80" s="305"/>
      <c r="AY80" s="305"/>
      <c r="AZ80" s="305"/>
      <c r="BA80" s="305"/>
      <c r="BB80" s="305"/>
      <c r="BC80" s="305"/>
      <c r="BD80" s="305"/>
      <c r="BE80" s="305"/>
      <c r="BF80" s="305"/>
      <c r="BG80" s="305"/>
      <c r="BH80" s="305"/>
      <c r="BI80" s="305"/>
      <c r="BJ80" s="305"/>
      <c r="BK80" s="305"/>
      <c r="BL80" s="305"/>
      <c r="BM80" s="305"/>
      <c r="BN80" s="305"/>
      <c r="BO80" s="305"/>
      <c r="BP80" s="305"/>
      <c r="BQ80" s="305"/>
      <c r="BR80" s="305"/>
      <c r="BS80" s="305"/>
      <c r="BT80" s="305"/>
      <c r="BU80" s="305"/>
      <c r="BV80" s="2"/>
      <c r="BW80" s="2"/>
    </row>
    <row r="81" ht="12.75" customHeight="1">
      <c r="A81" s="26" t="s">
        <v>371</v>
      </c>
      <c r="B81" s="26">
        <f t="shared" ref="B81:BU81" si="35">B10/(1+B5)*B5</f>
        <v>0</v>
      </c>
      <c r="C81" s="26">
        <f t="shared" si="35"/>
        <v>0</v>
      </c>
      <c r="D81" s="26">
        <f t="shared" si="35"/>
        <v>0</v>
      </c>
      <c r="E81" s="26">
        <f t="shared" si="35"/>
        <v>0</v>
      </c>
      <c r="F81" s="26">
        <f t="shared" si="35"/>
        <v>0</v>
      </c>
      <c r="G81" s="26">
        <f t="shared" si="35"/>
        <v>0</v>
      </c>
      <c r="H81" s="26">
        <f t="shared" si="35"/>
        <v>0</v>
      </c>
      <c r="I81" s="26">
        <f t="shared" si="35"/>
        <v>0</v>
      </c>
      <c r="J81" s="26">
        <f t="shared" si="35"/>
        <v>0</v>
      </c>
      <c r="K81" s="26">
        <f t="shared" si="35"/>
        <v>0</v>
      </c>
      <c r="L81" s="26">
        <f t="shared" si="35"/>
        <v>0</v>
      </c>
      <c r="M81" s="26">
        <f t="shared" si="35"/>
        <v>0</v>
      </c>
      <c r="N81" s="26">
        <f t="shared" si="35"/>
        <v>0</v>
      </c>
      <c r="O81" s="26">
        <f t="shared" si="35"/>
        <v>0</v>
      </c>
      <c r="P81" s="26">
        <f t="shared" si="35"/>
        <v>0</v>
      </c>
      <c r="Q81" s="26">
        <f t="shared" si="35"/>
        <v>0</v>
      </c>
      <c r="R81" s="26">
        <f t="shared" si="35"/>
        <v>0</v>
      </c>
      <c r="S81" s="26">
        <f t="shared" si="35"/>
        <v>0</v>
      </c>
      <c r="T81" s="26">
        <f t="shared" si="35"/>
        <v>0</v>
      </c>
      <c r="U81" s="26">
        <f t="shared" si="35"/>
        <v>4641.487904</v>
      </c>
      <c r="V81" s="26">
        <f t="shared" si="35"/>
        <v>3939.758863</v>
      </c>
      <c r="W81" s="26">
        <f t="shared" si="35"/>
        <v>6190.228032</v>
      </c>
      <c r="X81" s="26">
        <f t="shared" si="35"/>
        <v>3650.736203</v>
      </c>
      <c r="Y81" s="26">
        <f t="shared" si="35"/>
        <v>8297.219476</v>
      </c>
      <c r="Z81" s="26">
        <f t="shared" si="35"/>
        <v>9335.28856</v>
      </c>
      <c r="AA81" s="26">
        <f t="shared" si="35"/>
        <v>11633.65659</v>
      </c>
      <c r="AB81" s="26">
        <f t="shared" si="35"/>
        <v>11633.65659</v>
      </c>
      <c r="AC81" s="26">
        <f t="shared" si="35"/>
        <v>9611.891456</v>
      </c>
      <c r="AD81" s="26">
        <f t="shared" si="35"/>
        <v>7876.572484</v>
      </c>
      <c r="AE81" s="26">
        <f t="shared" si="35"/>
        <v>6179.50561</v>
      </c>
      <c r="AF81" s="26">
        <f t="shared" si="35"/>
        <v>4782.543156</v>
      </c>
      <c r="AG81" s="26">
        <f t="shared" si="35"/>
        <v>87772.54493</v>
      </c>
      <c r="AH81" s="26">
        <f t="shared" si="35"/>
        <v>5100.995206</v>
      </c>
      <c r="AI81" s="26">
        <f t="shared" si="35"/>
        <v>4329.794991</v>
      </c>
      <c r="AJ81" s="26">
        <f t="shared" si="35"/>
        <v>6803.060608</v>
      </c>
      <c r="AK81" s="26">
        <f t="shared" si="35"/>
        <v>4012.159087</v>
      </c>
      <c r="AL81" s="26">
        <f t="shared" si="35"/>
        <v>9118.644204</v>
      </c>
      <c r="AM81" s="26">
        <f t="shared" si="35"/>
        <v>10259.48213</v>
      </c>
      <c r="AN81" s="26">
        <f t="shared" si="35"/>
        <v>12785.38859</v>
      </c>
      <c r="AO81" s="26">
        <f t="shared" si="35"/>
        <v>12785.38859</v>
      </c>
      <c r="AP81" s="26">
        <f t="shared" si="35"/>
        <v>10563.46871</v>
      </c>
      <c r="AQ81" s="26">
        <f t="shared" si="35"/>
        <v>8656.35316</v>
      </c>
      <c r="AR81" s="26">
        <f t="shared" si="35"/>
        <v>6791.276665</v>
      </c>
      <c r="AS81" s="26">
        <f t="shared" si="35"/>
        <v>5256.014929</v>
      </c>
      <c r="AT81" s="26">
        <f t="shared" si="35"/>
        <v>96462.02688</v>
      </c>
      <c r="AU81" s="26">
        <f t="shared" si="35"/>
        <v>5605.993732</v>
      </c>
      <c r="AV81" s="26">
        <f t="shared" si="35"/>
        <v>4758.444695</v>
      </c>
      <c r="AW81" s="26">
        <f t="shared" si="35"/>
        <v>7476.563608</v>
      </c>
      <c r="AX81" s="26">
        <f t="shared" si="35"/>
        <v>4409.362836</v>
      </c>
      <c r="AY81" s="26">
        <f t="shared" si="35"/>
        <v>10021.38998</v>
      </c>
      <c r="AZ81" s="26">
        <f t="shared" si="35"/>
        <v>11275.17086</v>
      </c>
      <c r="BA81" s="26">
        <f t="shared" si="35"/>
        <v>14051.14207</v>
      </c>
      <c r="BB81" s="26">
        <f t="shared" si="35"/>
        <v>14051.14207</v>
      </c>
      <c r="BC81" s="26">
        <f t="shared" si="35"/>
        <v>11609.25211</v>
      </c>
      <c r="BD81" s="26">
        <f t="shared" si="35"/>
        <v>9513.332123</v>
      </c>
      <c r="BE81" s="26">
        <f t="shared" si="35"/>
        <v>7463.613055</v>
      </c>
      <c r="BF81" s="26">
        <f t="shared" si="35"/>
        <v>5776.360407</v>
      </c>
      <c r="BG81" s="26">
        <f t="shared" si="35"/>
        <v>106011.7675</v>
      </c>
      <c r="BH81" s="26">
        <f t="shared" si="35"/>
        <v>116506.9325</v>
      </c>
      <c r="BI81" s="26">
        <f t="shared" si="35"/>
        <v>128041.1188</v>
      </c>
      <c r="BJ81" s="26">
        <f t="shared" si="35"/>
        <v>140717.1896</v>
      </c>
      <c r="BK81" s="26">
        <f t="shared" si="35"/>
        <v>154648.1914</v>
      </c>
      <c r="BL81" s="26">
        <f t="shared" si="35"/>
        <v>169958.3623</v>
      </c>
      <c r="BM81" s="26">
        <f t="shared" si="35"/>
        <v>186784.2402</v>
      </c>
      <c r="BN81" s="26">
        <f t="shared" si="35"/>
        <v>205275.88</v>
      </c>
      <c r="BO81" s="26">
        <f t="shared" si="35"/>
        <v>225598.1921</v>
      </c>
      <c r="BP81" s="26">
        <f t="shared" si="35"/>
        <v>247932.4131</v>
      </c>
      <c r="BQ81" s="26">
        <f t="shared" si="35"/>
        <v>272477.722</v>
      </c>
      <c r="BR81" s="26">
        <f t="shared" si="35"/>
        <v>299453.0165</v>
      </c>
      <c r="BS81" s="26">
        <f t="shared" si="35"/>
        <v>329098.8651</v>
      </c>
      <c r="BT81" s="26">
        <f t="shared" si="35"/>
        <v>361679.6528</v>
      </c>
      <c r="BU81" s="26">
        <f t="shared" si="35"/>
        <v>397485.9384</v>
      </c>
      <c r="BV81" s="2"/>
      <c r="BW81" s="2"/>
    </row>
    <row r="82" ht="12.75" customHeight="1">
      <c r="A82" s="263" t="s">
        <v>372</v>
      </c>
      <c r="B82" s="314">
        <f t="shared" ref="B82:BU82" si="36">SUM(B81)</f>
        <v>0</v>
      </c>
      <c r="C82" s="314">
        <f t="shared" si="36"/>
        <v>0</v>
      </c>
      <c r="D82" s="314">
        <f t="shared" si="36"/>
        <v>0</v>
      </c>
      <c r="E82" s="314">
        <f t="shared" si="36"/>
        <v>0</v>
      </c>
      <c r="F82" s="314">
        <f t="shared" si="36"/>
        <v>0</v>
      </c>
      <c r="G82" s="314">
        <f t="shared" si="36"/>
        <v>0</v>
      </c>
      <c r="H82" s="314">
        <f t="shared" si="36"/>
        <v>0</v>
      </c>
      <c r="I82" s="314">
        <f t="shared" si="36"/>
        <v>0</v>
      </c>
      <c r="J82" s="314">
        <f t="shared" si="36"/>
        <v>0</v>
      </c>
      <c r="K82" s="314">
        <f t="shared" si="36"/>
        <v>0</v>
      </c>
      <c r="L82" s="314">
        <f t="shared" si="36"/>
        <v>0</v>
      </c>
      <c r="M82" s="314">
        <f t="shared" si="36"/>
        <v>0</v>
      </c>
      <c r="N82" s="314">
        <f t="shared" si="36"/>
        <v>0</v>
      </c>
      <c r="O82" s="314">
        <f t="shared" si="36"/>
        <v>0</v>
      </c>
      <c r="P82" s="314">
        <f t="shared" si="36"/>
        <v>0</v>
      </c>
      <c r="Q82" s="314">
        <f t="shared" si="36"/>
        <v>0</v>
      </c>
      <c r="R82" s="314">
        <f t="shared" si="36"/>
        <v>0</v>
      </c>
      <c r="S82" s="314">
        <f t="shared" si="36"/>
        <v>0</v>
      </c>
      <c r="T82" s="314">
        <f t="shared" si="36"/>
        <v>0</v>
      </c>
      <c r="U82" s="314">
        <f t="shared" si="36"/>
        <v>4641.487904</v>
      </c>
      <c r="V82" s="314">
        <f t="shared" si="36"/>
        <v>3939.758863</v>
      </c>
      <c r="W82" s="314">
        <f t="shared" si="36"/>
        <v>6190.228032</v>
      </c>
      <c r="X82" s="314">
        <f t="shared" si="36"/>
        <v>3650.736203</v>
      </c>
      <c r="Y82" s="314">
        <f t="shared" si="36"/>
        <v>8297.219476</v>
      </c>
      <c r="Z82" s="314">
        <f t="shared" si="36"/>
        <v>9335.28856</v>
      </c>
      <c r="AA82" s="314">
        <f t="shared" si="36"/>
        <v>11633.65659</v>
      </c>
      <c r="AB82" s="314">
        <f t="shared" si="36"/>
        <v>11633.65659</v>
      </c>
      <c r="AC82" s="314">
        <f t="shared" si="36"/>
        <v>9611.891456</v>
      </c>
      <c r="AD82" s="314">
        <f t="shared" si="36"/>
        <v>7876.572484</v>
      </c>
      <c r="AE82" s="314">
        <f t="shared" si="36"/>
        <v>6179.50561</v>
      </c>
      <c r="AF82" s="314">
        <f t="shared" si="36"/>
        <v>4782.543156</v>
      </c>
      <c r="AG82" s="314">
        <f t="shared" si="36"/>
        <v>87772.54493</v>
      </c>
      <c r="AH82" s="314">
        <f t="shared" si="36"/>
        <v>5100.995206</v>
      </c>
      <c r="AI82" s="314">
        <f t="shared" si="36"/>
        <v>4329.794991</v>
      </c>
      <c r="AJ82" s="314">
        <f t="shared" si="36"/>
        <v>6803.060608</v>
      </c>
      <c r="AK82" s="314">
        <f t="shared" si="36"/>
        <v>4012.159087</v>
      </c>
      <c r="AL82" s="314">
        <f t="shared" si="36"/>
        <v>9118.644204</v>
      </c>
      <c r="AM82" s="314">
        <f t="shared" si="36"/>
        <v>10259.48213</v>
      </c>
      <c r="AN82" s="314">
        <f t="shared" si="36"/>
        <v>12785.38859</v>
      </c>
      <c r="AO82" s="314">
        <f t="shared" si="36"/>
        <v>12785.38859</v>
      </c>
      <c r="AP82" s="314">
        <f t="shared" si="36"/>
        <v>10563.46871</v>
      </c>
      <c r="AQ82" s="314">
        <f t="shared" si="36"/>
        <v>8656.35316</v>
      </c>
      <c r="AR82" s="314">
        <f t="shared" si="36"/>
        <v>6791.276665</v>
      </c>
      <c r="AS82" s="314">
        <f t="shared" si="36"/>
        <v>5256.014929</v>
      </c>
      <c r="AT82" s="314">
        <f t="shared" si="36"/>
        <v>96462.02688</v>
      </c>
      <c r="AU82" s="314">
        <f t="shared" si="36"/>
        <v>5605.993732</v>
      </c>
      <c r="AV82" s="314">
        <f t="shared" si="36"/>
        <v>4758.444695</v>
      </c>
      <c r="AW82" s="314">
        <f t="shared" si="36"/>
        <v>7476.563608</v>
      </c>
      <c r="AX82" s="314">
        <f t="shared" si="36"/>
        <v>4409.362836</v>
      </c>
      <c r="AY82" s="314">
        <f t="shared" si="36"/>
        <v>10021.38998</v>
      </c>
      <c r="AZ82" s="314">
        <f t="shared" si="36"/>
        <v>11275.17086</v>
      </c>
      <c r="BA82" s="314">
        <f t="shared" si="36"/>
        <v>14051.14207</v>
      </c>
      <c r="BB82" s="314">
        <f t="shared" si="36"/>
        <v>14051.14207</v>
      </c>
      <c r="BC82" s="314">
        <f t="shared" si="36"/>
        <v>11609.25211</v>
      </c>
      <c r="BD82" s="314">
        <f t="shared" si="36"/>
        <v>9513.332123</v>
      </c>
      <c r="BE82" s="314">
        <f t="shared" si="36"/>
        <v>7463.613055</v>
      </c>
      <c r="BF82" s="314">
        <f t="shared" si="36"/>
        <v>5776.360407</v>
      </c>
      <c r="BG82" s="314">
        <f t="shared" si="36"/>
        <v>106011.7675</v>
      </c>
      <c r="BH82" s="314">
        <f t="shared" si="36"/>
        <v>116506.9325</v>
      </c>
      <c r="BI82" s="314">
        <f t="shared" si="36"/>
        <v>128041.1188</v>
      </c>
      <c r="BJ82" s="314">
        <f t="shared" si="36"/>
        <v>140717.1896</v>
      </c>
      <c r="BK82" s="314">
        <f t="shared" si="36"/>
        <v>154648.1914</v>
      </c>
      <c r="BL82" s="314">
        <f t="shared" si="36"/>
        <v>169958.3623</v>
      </c>
      <c r="BM82" s="314">
        <f t="shared" si="36"/>
        <v>186784.2402</v>
      </c>
      <c r="BN82" s="314">
        <f t="shared" si="36"/>
        <v>205275.88</v>
      </c>
      <c r="BO82" s="314">
        <f t="shared" si="36"/>
        <v>225598.1921</v>
      </c>
      <c r="BP82" s="314">
        <f t="shared" si="36"/>
        <v>247932.4131</v>
      </c>
      <c r="BQ82" s="314">
        <f t="shared" si="36"/>
        <v>272477.722</v>
      </c>
      <c r="BR82" s="314">
        <f t="shared" si="36"/>
        <v>299453.0165</v>
      </c>
      <c r="BS82" s="314">
        <f t="shared" si="36"/>
        <v>329098.8651</v>
      </c>
      <c r="BT82" s="314">
        <f t="shared" si="36"/>
        <v>361679.6528</v>
      </c>
      <c r="BU82" s="314">
        <f t="shared" si="36"/>
        <v>397485.9384</v>
      </c>
      <c r="BV82" s="2"/>
      <c r="BW82" s="2"/>
    </row>
    <row r="83" ht="12.75" customHeight="1">
      <c r="A83" s="233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312"/>
      <c r="V83" s="312"/>
      <c r="W83" s="312"/>
      <c r="X83" s="312"/>
      <c r="Y83" s="312"/>
      <c r="Z83" s="312"/>
      <c r="AA83" s="312"/>
      <c r="AB83" s="312"/>
      <c r="AC83" s="312"/>
      <c r="AD83" s="312"/>
      <c r="AE83" s="312"/>
      <c r="AF83" s="312"/>
      <c r="AG83" s="312"/>
      <c r="AH83" s="312"/>
      <c r="AI83" s="312"/>
      <c r="AJ83" s="312"/>
      <c r="AK83" s="312"/>
      <c r="AL83" s="312"/>
      <c r="AM83" s="312"/>
      <c r="AN83" s="312"/>
      <c r="AO83" s="312"/>
      <c r="AP83" s="312"/>
      <c r="AQ83" s="312"/>
      <c r="AR83" s="312"/>
      <c r="AS83" s="312"/>
      <c r="AT83" s="312"/>
      <c r="AU83" s="312"/>
      <c r="AV83" s="312"/>
      <c r="AW83" s="312"/>
      <c r="AX83" s="312"/>
      <c r="AY83" s="312"/>
      <c r="AZ83" s="312"/>
      <c r="BA83" s="312"/>
      <c r="BB83" s="312"/>
      <c r="BC83" s="312"/>
      <c r="BD83" s="312"/>
      <c r="BE83" s="312"/>
      <c r="BF83" s="312"/>
      <c r="BG83" s="312"/>
      <c r="BH83" s="312"/>
      <c r="BI83" s="312"/>
      <c r="BJ83" s="312"/>
      <c r="BK83" s="312"/>
      <c r="BL83" s="312"/>
      <c r="BM83" s="312"/>
      <c r="BN83" s="312"/>
      <c r="BO83" s="312"/>
      <c r="BP83" s="312"/>
      <c r="BQ83" s="312"/>
      <c r="BR83" s="312"/>
      <c r="BS83" s="312"/>
      <c r="BT83" s="312"/>
      <c r="BU83" s="312"/>
      <c r="BV83" s="2"/>
      <c r="BW83" s="2"/>
    </row>
    <row r="84" ht="12.75" customHeight="1">
      <c r="A84" s="233" t="s">
        <v>373</v>
      </c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305"/>
      <c r="V84" s="305"/>
      <c r="W84" s="305"/>
      <c r="X84" s="305"/>
      <c r="Y84" s="305"/>
      <c r="Z84" s="305"/>
      <c r="AA84" s="305"/>
      <c r="AB84" s="305"/>
      <c r="AC84" s="305"/>
      <c r="AD84" s="305"/>
      <c r="AE84" s="305"/>
      <c r="AF84" s="305"/>
      <c r="AG84" s="305"/>
      <c r="AH84" s="305"/>
      <c r="AI84" s="305"/>
      <c r="AJ84" s="305"/>
      <c r="AK84" s="305"/>
      <c r="AL84" s="305"/>
      <c r="AM84" s="305"/>
      <c r="AN84" s="305"/>
      <c r="AO84" s="305"/>
      <c r="AP84" s="305"/>
      <c r="AQ84" s="305"/>
      <c r="AR84" s="305"/>
      <c r="AS84" s="305"/>
      <c r="AT84" s="305"/>
      <c r="AU84" s="305"/>
      <c r="AV84" s="305"/>
      <c r="AW84" s="305"/>
      <c r="AX84" s="305"/>
      <c r="AY84" s="305"/>
      <c r="AZ84" s="305"/>
      <c r="BA84" s="305"/>
      <c r="BB84" s="305"/>
      <c r="BC84" s="305"/>
      <c r="BD84" s="305"/>
      <c r="BE84" s="305"/>
      <c r="BF84" s="305"/>
      <c r="BG84" s="305"/>
      <c r="BH84" s="305"/>
      <c r="BI84" s="305"/>
      <c r="BJ84" s="305"/>
      <c r="BK84" s="305"/>
      <c r="BL84" s="305"/>
      <c r="BM84" s="305"/>
      <c r="BN84" s="305"/>
      <c r="BO84" s="305"/>
      <c r="BP84" s="305"/>
      <c r="BQ84" s="305"/>
      <c r="BR84" s="305"/>
      <c r="BS84" s="305"/>
      <c r="BT84" s="305"/>
      <c r="BU84" s="305"/>
      <c r="BV84" s="2"/>
      <c r="BW84" s="2"/>
    </row>
    <row r="85" ht="12.75" customHeight="1" outlineLevel="1">
      <c r="A85" s="26" t="s">
        <v>350</v>
      </c>
      <c r="B85" s="26">
        <f t="shared" ref="B85:F85" si="37">B46/(1+B5)*B5</f>
        <v>0</v>
      </c>
      <c r="C85" s="26">
        <f t="shared" si="37"/>
        <v>0</v>
      </c>
      <c r="D85" s="26">
        <f t="shared" si="37"/>
        <v>0</v>
      </c>
      <c r="E85" s="26">
        <f t="shared" si="37"/>
        <v>0</v>
      </c>
      <c r="F85" s="26">
        <f t="shared" si="37"/>
        <v>0</v>
      </c>
      <c r="G85" s="26"/>
      <c r="H85" s="26">
        <f t="shared" ref="H85:S85" si="38">H46/(1+H5)*H5</f>
        <v>38230.24454</v>
      </c>
      <c r="I85" s="26">
        <f t="shared" si="38"/>
        <v>33334.27139</v>
      </c>
      <c r="J85" s="26">
        <f t="shared" si="38"/>
        <v>33334.27139</v>
      </c>
      <c r="K85" s="26">
        <f t="shared" si="38"/>
        <v>33334.27139</v>
      </c>
      <c r="L85" s="26">
        <f t="shared" si="38"/>
        <v>33334.27139</v>
      </c>
      <c r="M85" s="26">
        <f t="shared" si="38"/>
        <v>33334.27139</v>
      </c>
      <c r="N85" s="26">
        <f t="shared" si="38"/>
        <v>33334.27139</v>
      </c>
      <c r="O85" s="26">
        <f t="shared" si="38"/>
        <v>33334.27139</v>
      </c>
      <c r="P85" s="26">
        <f t="shared" si="38"/>
        <v>33334.27139</v>
      </c>
      <c r="Q85" s="26">
        <f t="shared" si="38"/>
        <v>33334.27139</v>
      </c>
      <c r="R85" s="26">
        <f t="shared" si="38"/>
        <v>33334.27139</v>
      </c>
      <c r="S85" s="26">
        <f t="shared" si="38"/>
        <v>33334.27139</v>
      </c>
      <c r="T85" s="26"/>
      <c r="U85" s="26">
        <f t="shared" ref="U85:AF85" si="39">U42/(1+U5)*U5</f>
        <v>0</v>
      </c>
      <c r="V85" s="26">
        <f t="shared" si="39"/>
        <v>0</v>
      </c>
      <c r="W85" s="26">
        <f t="shared" si="39"/>
        <v>0</v>
      </c>
      <c r="X85" s="26">
        <f t="shared" si="39"/>
        <v>0</v>
      </c>
      <c r="Y85" s="26">
        <f t="shared" si="39"/>
        <v>0</v>
      </c>
      <c r="Z85" s="26">
        <f t="shared" si="39"/>
        <v>0</v>
      </c>
      <c r="AA85" s="26">
        <f t="shared" si="39"/>
        <v>0</v>
      </c>
      <c r="AB85" s="26">
        <f t="shared" si="39"/>
        <v>0</v>
      </c>
      <c r="AC85" s="26">
        <f t="shared" si="39"/>
        <v>0</v>
      </c>
      <c r="AD85" s="26">
        <f t="shared" si="39"/>
        <v>0</v>
      </c>
      <c r="AE85" s="26">
        <f t="shared" si="39"/>
        <v>0</v>
      </c>
      <c r="AF85" s="26">
        <f t="shared" si="39"/>
        <v>0</v>
      </c>
      <c r="AG85" s="26">
        <f t="shared" ref="AG85:BU85" si="40">AG41/(1+AG3)*AG3</f>
        <v>0</v>
      </c>
      <c r="AH85" s="26">
        <f t="shared" si="40"/>
        <v>0</v>
      </c>
      <c r="AI85" s="26">
        <f t="shared" si="40"/>
        <v>0</v>
      </c>
      <c r="AJ85" s="26">
        <f t="shared" si="40"/>
        <v>0</v>
      </c>
      <c r="AK85" s="26">
        <f t="shared" si="40"/>
        <v>0</v>
      </c>
      <c r="AL85" s="26">
        <f t="shared" si="40"/>
        <v>0</v>
      </c>
      <c r="AM85" s="26">
        <f t="shared" si="40"/>
        <v>0</v>
      </c>
      <c r="AN85" s="26">
        <f t="shared" si="40"/>
        <v>0</v>
      </c>
      <c r="AO85" s="26">
        <f t="shared" si="40"/>
        <v>0</v>
      </c>
      <c r="AP85" s="26">
        <f t="shared" si="40"/>
        <v>0</v>
      </c>
      <c r="AQ85" s="26">
        <f t="shared" si="40"/>
        <v>0</v>
      </c>
      <c r="AR85" s="26">
        <f t="shared" si="40"/>
        <v>0</v>
      </c>
      <c r="AS85" s="26">
        <f t="shared" si="40"/>
        <v>0</v>
      </c>
      <c r="AT85" s="26">
        <f t="shared" si="40"/>
        <v>0</v>
      </c>
      <c r="AU85" s="26">
        <f t="shared" si="40"/>
        <v>0</v>
      </c>
      <c r="AV85" s="26">
        <f t="shared" si="40"/>
        <v>0</v>
      </c>
      <c r="AW85" s="26">
        <f t="shared" si="40"/>
        <v>0</v>
      </c>
      <c r="AX85" s="26">
        <f t="shared" si="40"/>
        <v>0</v>
      </c>
      <c r="AY85" s="26">
        <f t="shared" si="40"/>
        <v>0</v>
      </c>
      <c r="AZ85" s="26">
        <f t="shared" si="40"/>
        <v>0</v>
      </c>
      <c r="BA85" s="26">
        <f t="shared" si="40"/>
        <v>0</v>
      </c>
      <c r="BB85" s="26">
        <f t="shared" si="40"/>
        <v>0</v>
      </c>
      <c r="BC85" s="26">
        <f t="shared" si="40"/>
        <v>0</v>
      </c>
      <c r="BD85" s="26">
        <f t="shared" si="40"/>
        <v>0</v>
      </c>
      <c r="BE85" s="26">
        <f t="shared" si="40"/>
        <v>0</v>
      </c>
      <c r="BF85" s="26">
        <f t="shared" si="40"/>
        <v>0</v>
      </c>
      <c r="BG85" s="26">
        <f t="shared" si="40"/>
        <v>0</v>
      </c>
      <c r="BH85" s="26">
        <f t="shared" si="40"/>
        <v>0</v>
      </c>
      <c r="BI85" s="26">
        <f t="shared" si="40"/>
        <v>0</v>
      </c>
      <c r="BJ85" s="26">
        <f t="shared" si="40"/>
        <v>0</v>
      </c>
      <c r="BK85" s="26">
        <f t="shared" si="40"/>
        <v>0</v>
      </c>
      <c r="BL85" s="26">
        <f t="shared" si="40"/>
        <v>0</v>
      </c>
      <c r="BM85" s="26">
        <f t="shared" si="40"/>
        <v>0</v>
      </c>
      <c r="BN85" s="26">
        <f t="shared" si="40"/>
        <v>0</v>
      </c>
      <c r="BO85" s="26">
        <f t="shared" si="40"/>
        <v>0</v>
      </c>
      <c r="BP85" s="26">
        <f t="shared" si="40"/>
        <v>0</v>
      </c>
      <c r="BQ85" s="26">
        <f t="shared" si="40"/>
        <v>0</v>
      </c>
      <c r="BR85" s="26">
        <f t="shared" si="40"/>
        <v>0</v>
      </c>
      <c r="BS85" s="26">
        <f t="shared" si="40"/>
        <v>0</v>
      </c>
      <c r="BT85" s="26">
        <f t="shared" si="40"/>
        <v>0</v>
      </c>
      <c r="BU85" s="26">
        <f t="shared" si="40"/>
        <v>0</v>
      </c>
      <c r="BV85" s="2"/>
      <c r="BW85" s="2"/>
    </row>
    <row r="86" ht="12.75" customHeight="1" outlineLevel="1">
      <c r="A86" s="26" t="s">
        <v>335</v>
      </c>
      <c r="B86" s="26">
        <f t="shared" ref="B86:G86" si="41">(B19)/(1+B5)*B5</f>
        <v>0</v>
      </c>
      <c r="C86" s="26">
        <f t="shared" si="41"/>
        <v>0</v>
      </c>
      <c r="D86" s="26">
        <f t="shared" si="41"/>
        <v>0</v>
      </c>
      <c r="E86" s="26">
        <f t="shared" si="41"/>
        <v>0</v>
      </c>
      <c r="F86" s="26">
        <f t="shared" si="41"/>
        <v>0</v>
      </c>
      <c r="G86" s="26">
        <f t="shared" si="41"/>
        <v>0</v>
      </c>
      <c r="H86" s="26">
        <f t="shared" ref="H86:I86" si="42">H19/(1+H5)*H5</f>
        <v>0</v>
      </c>
      <c r="I86" s="26">
        <f t="shared" si="42"/>
        <v>0</v>
      </c>
      <c r="J86" s="26">
        <f t="shared" ref="J86:BU86" si="43">(J19)/(1+J5)*J5</f>
        <v>0</v>
      </c>
      <c r="K86" s="26">
        <f t="shared" si="43"/>
        <v>0</v>
      </c>
      <c r="L86" s="26">
        <f t="shared" si="43"/>
        <v>0</v>
      </c>
      <c r="M86" s="26">
        <f t="shared" si="43"/>
        <v>0</v>
      </c>
      <c r="N86" s="26">
        <f t="shared" si="43"/>
        <v>0</v>
      </c>
      <c r="O86" s="26">
        <f t="shared" si="43"/>
        <v>0</v>
      </c>
      <c r="P86" s="26">
        <f t="shared" si="43"/>
        <v>0</v>
      </c>
      <c r="Q86" s="26">
        <f t="shared" si="43"/>
        <v>0</v>
      </c>
      <c r="R86" s="26">
        <f t="shared" si="43"/>
        <v>0</v>
      </c>
      <c r="S86" s="26">
        <f t="shared" si="43"/>
        <v>0</v>
      </c>
      <c r="T86" s="26">
        <f t="shared" si="43"/>
        <v>0</v>
      </c>
      <c r="U86" s="26">
        <f t="shared" si="43"/>
        <v>637.8159009</v>
      </c>
      <c r="V86" s="26">
        <f t="shared" si="43"/>
        <v>630.9556927</v>
      </c>
      <c r="W86" s="26">
        <f t="shared" si="43"/>
        <v>677.1991858</v>
      </c>
      <c r="X86" s="26">
        <f t="shared" si="43"/>
        <v>625.0167455</v>
      </c>
      <c r="Y86" s="26">
        <f t="shared" si="43"/>
        <v>720.4944442</v>
      </c>
      <c r="Z86" s="26">
        <f t="shared" si="43"/>
        <v>741.825081</v>
      </c>
      <c r="AA86" s="26">
        <f t="shared" si="43"/>
        <v>789.0528181</v>
      </c>
      <c r="AB86" s="26">
        <f t="shared" si="43"/>
        <v>789.0528181</v>
      </c>
      <c r="AC86" s="26">
        <f t="shared" si="43"/>
        <v>747.5088221</v>
      </c>
      <c r="AD86" s="26">
        <f t="shared" si="43"/>
        <v>711.8508304</v>
      </c>
      <c r="AE86" s="26">
        <f t="shared" si="43"/>
        <v>676.9788574</v>
      </c>
      <c r="AF86" s="26">
        <f t="shared" si="43"/>
        <v>648.2735436</v>
      </c>
      <c r="AG86" s="26">
        <f t="shared" si="43"/>
        <v>8396.02474</v>
      </c>
      <c r="AH86" s="26">
        <f t="shared" si="43"/>
        <v>712.0226274</v>
      </c>
      <c r="AI86" s="26">
        <f t="shared" si="43"/>
        <v>704.4229304</v>
      </c>
      <c r="AJ86" s="26">
        <f t="shared" si="43"/>
        <v>755.87437</v>
      </c>
      <c r="AK86" s="26">
        <f t="shared" si="43"/>
        <v>697.8151385</v>
      </c>
      <c r="AL86" s="26">
        <f t="shared" si="43"/>
        <v>804.0455444</v>
      </c>
      <c r="AM86" s="26">
        <f t="shared" si="43"/>
        <v>827.7784395</v>
      </c>
      <c r="AN86" s="26">
        <f t="shared" si="43"/>
        <v>880.3249687</v>
      </c>
      <c r="AO86" s="26">
        <f t="shared" si="43"/>
        <v>880.3249687</v>
      </c>
      <c r="AP86" s="26">
        <f t="shared" si="43"/>
        <v>834.102284</v>
      </c>
      <c r="AQ86" s="26">
        <f t="shared" si="43"/>
        <v>794.4284861</v>
      </c>
      <c r="AR86" s="26">
        <f t="shared" si="43"/>
        <v>755.6292282</v>
      </c>
      <c r="AS86" s="26">
        <f t="shared" si="43"/>
        <v>723.6911193</v>
      </c>
      <c r="AT86" s="26">
        <f t="shared" si="43"/>
        <v>9370.460105</v>
      </c>
      <c r="AU86" s="26">
        <f t="shared" si="43"/>
        <v>794.8701853</v>
      </c>
      <c r="AV86" s="26">
        <f t="shared" si="43"/>
        <v>786.4507317</v>
      </c>
      <c r="AW86" s="26">
        <f t="shared" si="43"/>
        <v>843.6993958</v>
      </c>
      <c r="AX86" s="26">
        <f t="shared" si="43"/>
        <v>779.0984154</v>
      </c>
      <c r="AY86" s="26">
        <f t="shared" si="43"/>
        <v>897.2981951</v>
      </c>
      <c r="AZ86" s="26">
        <f t="shared" si="43"/>
        <v>923.7051635</v>
      </c>
      <c r="BA86" s="26">
        <f t="shared" si="43"/>
        <v>982.172305</v>
      </c>
      <c r="BB86" s="26">
        <f t="shared" si="43"/>
        <v>982.172305</v>
      </c>
      <c r="BC86" s="26">
        <f t="shared" si="43"/>
        <v>930.7415391</v>
      </c>
      <c r="BD86" s="26">
        <f t="shared" si="43"/>
        <v>886.5975471</v>
      </c>
      <c r="BE86" s="26">
        <f t="shared" si="43"/>
        <v>843.426633</v>
      </c>
      <c r="BF86" s="26">
        <f t="shared" si="43"/>
        <v>807.8899389</v>
      </c>
      <c r="BG86" s="26">
        <f t="shared" si="43"/>
        <v>10458.12236</v>
      </c>
      <c r="BH86" s="26">
        <f t="shared" si="43"/>
        <v>11672.18161</v>
      </c>
      <c r="BI86" s="26">
        <f t="shared" si="43"/>
        <v>13027.34124</v>
      </c>
      <c r="BJ86" s="26">
        <f t="shared" si="43"/>
        <v>14540.01646</v>
      </c>
      <c r="BK86" s="26">
        <f t="shared" si="43"/>
        <v>16228.53384</v>
      </c>
      <c r="BL86" s="26">
        <f t="shared" si="43"/>
        <v>18113.35396</v>
      </c>
      <c r="BM86" s="26">
        <f t="shared" si="43"/>
        <v>20217.32012</v>
      </c>
      <c r="BN86" s="26">
        <f t="shared" si="43"/>
        <v>22565.93599</v>
      </c>
      <c r="BO86" s="26">
        <f t="shared" si="43"/>
        <v>25187.67568</v>
      </c>
      <c r="BP86" s="26">
        <f t="shared" si="43"/>
        <v>28114.32989</v>
      </c>
      <c r="BQ86" s="26">
        <f t="shared" si="43"/>
        <v>31381.39257</v>
      </c>
      <c r="BR86" s="26">
        <f t="shared" si="43"/>
        <v>35028.49251</v>
      </c>
      <c r="BS86" s="26">
        <f t="shared" si="43"/>
        <v>39099.87536</v>
      </c>
      <c r="BT86" s="26">
        <f t="shared" si="43"/>
        <v>43644.94188</v>
      </c>
      <c r="BU86" s="26">
        <f t="shared" si="43"/>
        <v>48718.84891</v>
      </c>
      <c r="BV86" s="26"/>
      <c r="BW86" s="26"/>
    </row>
    <row r="87" ht="12.75" customHeight="1">
      <c r="A87" s="263" t="s">
        <v>374</v>
      </c>
      <c r="B87" s="314">
        <f t="shared" ref="B87:BU87" si="44">SUM(B85:B86)</f>
        <v>0</v>
      </c>
      <c r="C87" s="314">
        <f t="shared" si="44"/>
        <v>0</v>
      </c>
      <c r="D87" s="314">
        <f t="shared" si="44"/>
        <v>0</v>
      </c>
      <c r="E87" s="314">
        <f t="shared" si="44"/>
        <v>0</v>
      </c>
      <c r="F87" s="314">
        <f t="shared" si="44"/>
        <v>0</v>
      </c>
      <c r="G87" s="314">
        <f t="shared" si="44"/>
        <v>0</v>
      </c>
      <c r="H87" s="314">
        <f t="shared" si="44"/>
        <v>38230.24454</v>
      </c>
      <c r="I87" s="314">
        <f t="shared" si="44"/>
        <v>33334.27139</v>
      </c>
      <c r="J87" s="314">
        <f t="shared" si="44"/>
        <v>33334.27139</v>
      </c>
      <c r="K87" s="314">
        <f t="shared" si="44"/>
        <v>33334.27139</v>
      </c>
      <c r="L87" s="314">
        <f t="shared" si="44"/>
        <v>33334.27139</v>
      </c>
      <c r="M87" s="314">
        <f t="shared" si="44"/>
        <v>33334.27139</v>
      </c>
      <c r="N87" s="314">
        <f t="shared" si="44"/>
        <v>33334.27139</v>
      </c>
      <c r="O87" s="314">
        <f t="shared" si="44"/>
        <v>33334.27139</v>
      </c>
      <c r="P87" s="314">
        <f t="shared" si="44"/>
        <v>33334.27139</v>
      </c>
      <c r="Q87" s="314">
        <f t="shared" si="44"/>
        <v>33334.27139</v>
      </c>
      <c r="R87" s="314">
        <f t="shared" si="44"/>
        <v>33334.27139</v>
      </c>
      <c r="S87" s="314">
        <f t="shared" si="44"/>
        <v>33334.27139</v>
      </c>
      <c r="T87" s="314">
        <f t="shared" si="44"/>
        <v>0</v>
      </c>
      <c r="U87" s="314">
        <f t="shared" si="44"/>
        <v>637.8159009</v>
      </c>
      <c r="V87" s="314">
        <f t="shared" si="44"/>
        <v>630.9556927</v>
      </c>
      <c r="W87" s="314">
        <f t="shared" si="44"/>
        <v>677.1991858</v>
      </c>
      <c r="X87" s="314">
        <f t="shared" si="44"/>
        <v>625.0167455</v>
      </c>
      <c r="Y87" s="314">
        <f t="shared" si="44"/>
        <v>720.4944442</v>
      </c>
      <c r="Z87" s="314">
        <f t="shared" si="44"/>
        <v>741.825081</v>
      </c>
      <c r="AA87" s="314">
        <f t="shared" si="44"/>
        <v>789.0528181</v>
      </c>
      <c r="AB87" s="314">
        <f t="shared" si="44"/>
        <v>789.0528181</v>
      </c>
      <c r="AC87" s="314">
        <f t="shared" si="44"/>
        <v>747.5088221</v>
      </c>
      <c r="AD87" s="314">
        <f t="shared" si="44"/>
        <v>711.8508304</v>
      </c>
      <c r="AE87" s="314">
        <f t="shared" si="44"/>
        <v>676.9788574</v>
      </c>
      <c r="AF87" s="314">
        <f t="shared" si="44"/>
        <v>648.2735436</v>
      </c>
      <c r="AG87" s="314">
        <f t="shared" si="44"/>
        <v>8396.02474</v>
      </c>
      <c r="AH87" s="314">
        <f t="shared" si="44"/>
        <v>712.0226274</v>
      </c>
      <c r="AI87" s="314">
        <f t="shared" si="44"/>
        <v>704.4229304</v>
      </c>
      <c r="AJ87" s="314">
        <f t="shared" si="44"/>
        <v>755.87437</v>
      </c>
      <c r="AK87" s="314">
        <f t="shared" si="44"/>
        <v>697.8151385</v>
      </c>
      <c r="AL87" s="314">
        <f t="shared" si="44"/>
        <v>804.0455444</v>
      </c>
      <c r="AM87" s="314">
        <f t="shared" si="44"/>
        <v>827.7784395</v>
      </c>
      <c r="AN87" s="314">
        <f t="shared" si="44"/>
        <v>880.3249687</v>
      </c>
      <c r="AO87" s="314">
        <f t="shared" si="44"/>
        <v>880.3249687</v>
      </c>
      <c r="AP87" s="314">
        <f t="shared" si="44"/>
        <v>834.102284</v>
      </c>
      <c r="AQ87" s="314">
        <f t="shared" si="44"/>
        <v>794.4284861</v>
      </c>
      <c r="AR87" s="314">
        <f t="shared" si="44"/>
        <v>755.6292282</v>
      </c>
      <c r="AS87" s="314">
        <f t="shared" si="44"/>
        <v>723.6911193</v>
      </c>
      <c r="AT87" s="314">
        <f t="shared" si="44"/>
        <v>9370.460105</v>
      </c>
      <c r="AU87" s="314">
        <f t="shared" si="44"/>
        <v>794.8701853</v>
      </c>
      <c r="AV87" s="314">
        <f t="shared" si="44"/>
        <v>786.4507317</v>
      </c>
      <c r="AW87" s="314">
        <f t="shared" si="44"/>
        <v>843.6993958</v>
      </c>
      <c r="AX87" s="314">
        <f t="shared" si="44"/>
        <v>779.0984154</v>
      </c>
      <c r="AY87" s="314">
        <f t="shared" si="44"/>
        <v>897.2981951</v>
      </c>
      <c r="AZ87" s="314">
        <f t="shared" si="44"/>
        <v>923.7051635</v>
      </c>
      <c r="BA87" s="314">
        <f t="shared" si="44"/>
        <v>982.172305</v>
      </c>
      <c r="BB87" s="314">
        <f t="shared" si="44"/>
        <v>982.172305</v>
      </c>
      <c r="BC87" s="314">
        <f t="shared" si="44"/>
        <v>930.7415391</v>
      </c>
      <c r="BD87" s="314">
        <f t="shared" si="44"/>
        <v>886.5975471</v>
      </c>
      <c r="BE87" s="314">
        <f t="shared" si="44"/>
        <v>843.426633</v>
      </c>
      <c r="BF87" s="314">
        <f t="shared" si="44"/>
        <v>807.8899389</v>
      </c>
      <c r="BG87" s="314">
        <f t="shared" si="44"/>
        <v>10458.12236</v>
      </c>
      <c r="BH87" s="314">
        <f t="shared" si="44"/>
        <v>11672.18161</v>
      </c>
      <c r="BI87" s="314">
        <f t="shared" si="44"/>
        <v>13027.34124</v>
      </c>
      <c r="BJ87" s="314">
        <f t="shared" si="44"/>
        <v>14540.01646</v>
      </c>
      <c r="BK87" s="314">
        <f t="shared" si="44"/>
        <v>16228.53384</v>
      </c>
      <c r="BL87" s="314">
        <f t="shared" si="44"/>
        <v>18113.35396</v>
      </c>
      <c r="BM87" s="314">
        <f t="shared" si="44"/>
        <v>20217.32012</v>
      </c>
      <c r="BN87" s="314">
        <f t="shared" si="44"/>
        <v>22565.93599</v>
      </c>
      <c r="BO87" s="314">
        <f t="shared" si="44"/>
        <v>25187.67568</v>
      </c>
      <c r="BP87" s="314">
        <f t="shared" si="44"/>
        <v>28114.32989</v>
      </c>
      <c r="BQ87" s="314">
        <f t="shared" si="44"/>
        <v>31381.39257</v>
      </c>
      <c r="BR87" s="314">
        <f t="shared" si="44"/>
        <v>35028.49251</v>
      </c>
      <c r="BS87" s="314">
        <f t="shared" si="44"/>
        <v>39099.87536</v>
      </c>
      <c r="BT87" s="314">
        <f t="shared" si="44"/>
        <v>43644.94188</v>
      </c>
      <c r="BU87" s="314">
        <f t="shared" si="44"/>
        <v>48718.84891</v>
      </c>
      <c r="BV87" s="2"/>
      <c r="BW87" s="2"/>
    </row>
    <row r="88" ht="12.75" customHeight="1">
      <c r="A88" s="26"/>
      <c r="B88" s="305"/>
      <c r="C88" s="305"/>
      <c r="D88" s="305"/>
      <c r="E88" s="305"/>
      <c r="F88" s="305"/>
      <c r="G88" s="305"/>
      <c r="H88" s="305"/>
      <c r="I88" s="305"/>
      <c r="J88" s="305"/>
      <c r="K88" s="305"/>
      <c r="L88" s="305"/>
      <c r="M88" s="305"/>
      <c r="N88" s="305"/>
      <c r="O88" s="305"/>
      <c r="P88" s="305"/>
      <c r="Q88" s="305"/>
      <c r="R88" s="305"/>
      <c r="S88" s="305"/>
      <c r="T88" s="305"/>
      <c r="U88" s="305"/>
      <c r="V88" s="305"/>
      <c r="W88" s="305"/>
      <c r="X88" s="305"/>
      <c r="Y88" s="305"/>
      <c r="Z88" s="305"/>
      <c r="AA88" s="305"/>
      <c r="AB88" s="305"/>
      <c r="AC88" s="305"/>
      <c r="AD88" s="305"/>
      <c r="AE88" s="305"/>
      <c r="AF88" s="305"/>
      <c r="AG88" s="305"/>
      <c r="AH88" s="305"/>
      <c r="AI88" s="305"/>
      <c r="AJ88" s="305"/>
      <c r="AK88" s="305"/>
      <c r="AL88" s="305"/>
      <c r="AM88" s="305"/>
      <c r="AN88" s="305"/>
      <c r="AO88" s="305"/>
      <c r="AP88" s="305"/>
      <c r="AQ88" s="305"/>
      <c r="AR88" s="305"/>
      <c r="AS88" s="305"/>
      <c r="AT88" s="305"/>
      <c r="AU88" s="305"/>
      <c r="AV88" s="305"/>
      <c r="AW88" s="305"/>
      <c r="AX88" s="305"/>
      <c r="AY88" s="305"/>
      <c r="AZ88" s="305"/>
      <c r="BA88" s="305"/>
      <c r="BB88" s="305"/>
      <c r="BC88" s="305"/>
      <c r="BD88" s="305"/>
      <c r="BE88" s="305"/>
      <c r="BF88" s="305"/>
      <c r="BG88" s="305"/>
      <c r="BH88" s="305"/>
      <c r="BI88" s="305"/>
      <c r="BJ88" s="305"/>
      <c r="BK88" s="305"/>
      <c r="BL88" s="305"/>
      <c r="BM88" s="305"/>
      <c r="BN88" s="305"/>
      <c r="BO88" s="305"/>
      <c r="BP88" s="305"/>
      <c r="BQ88" s="305"/>
      <c r="BR88" s="305"/>
      <c r="BS88" s="305"/>
      <c r="BT88" s="305"/>
      <c r="BU88" s="305"/>
      <c r="BV88" s="2"/>
      <c r="BW88" s="2"/>
    </row>
    <row r="89" ht="12.75" customHeight="1">
      <c r="A89" s="314" t="s">
        <v>375</v>
      </c>
      <c r="B89" s="314">
        <f t="shared" ref="B89:BU89" si="45">-B87+B82</f>
        <v>0</v>
      </c>
      <c r="C89" s="314">
        <f t="shared" si="45"/>
        <v>0</v>
      </c>
      <c r="D89" s="314">
        <f t="shared" si="45"/>
        <v>0</v>
      </c>
      <c r="E89" s="314">
        <f t="shared" si="45"/>
        <v>0</v>
      </c>
      <c r="F89" s="314">
        <f t="shared" si="45"/>
        <v>0</v>
      </c>
      <c r="G89" s="314">
        <f t="shared" si="45"/>
        <v>0</v>
      </c>
      <c r="H89" s="314">
        <f t="shared" si="45"/>
        <v>-38230.24454</v>
      </c>
      <c r="I89" s="314">
        <f t="shared" si="45"/>
        <v>-33334.27139</v>
      </c>
      <c r="J89" s="314">
        <f t="shared" si="45"/>
        <v>-33334.27139</v>
      </c>
      <c r="K89" s="314">
        <f t="shared" si="45"/>
        <v>-33334.27139</v>
      </c>
      <c r="L89" s="314">
        <f t="shared" si="45"/>
        <v>-33334.27139</v>
      </c>
      <c r="M89" s="314">
        <f t="shared" si="45"/>
        <v>-33334.27139</v>
      </c>
      <c r="N89" s="314">
        <f t="shared" si="45"/>
        <v>-33334.27139</v>
      </c>
      <c r="O89" s="314">
        <f t="shared" si="45"/>
        <v>-33334.27139</v>
      </c>
      <c r="P89" s="314">
        <f t="shared" si="45"/>
        <v>-33334.27139</v>
      </c>
      <c r="Q89" s="314">
        <f t="shared" si="45"/>
        <v>-33334.27139</v>
      </c>
      <c r="R89" s="314">
        <f t="shared" si="45"/>
        <v>-33334.27139</v>
      </c>
      <c r="S89" s="314">
        <f t="shared" si="45"/>
        <v>-33334.27139</v>
      </c>
      <c r="T89" s="314">
        <f t="shared" si="45"/>
        <v>0</v>
      </c>
      <c r="U89" s="314">
        <f t="shared" si="45"/>
        <v>4003.672003</v>
      </c>
      <c r="V89" s="314">
        <f t="shared" si="45"/>
        <v>3308.803171</v>
      </c>
      <c r="W89" s="314">
        <f t="shared" si="45"/>
        <v>5513.028847</v>
      </c>
      <c r="X89" s="314">
        <f t="shared" si="45"/>
        <v>3025.719457</v>
      </c>
      <c r="Y89" s="314">
        <f t="shared" si="45"/>
        <v>7576.725032</v>
      </c>
      <c r="Z89" s="314">
        <f t="shared" si="45"/>
        <v>8593.463479</v>
      </c>
      <c r="AA89" s="314">
        <f t="shared" si="45"/>
        <v>10844.60377</v>
      </c>
      <c r="AB89" s="314">
        <f t="shared" si="45"/>
        <v>10844.60377</v>
      </c>
      <c r="AC89" s="314">
        <f t="shared" si="45"/>
        <v>8864.382634</v>
      </c>
      <c r="AD89" s="314">
        <f t="shared" si="45"/>
        <v>7164.721654</v>
      </c>
      <c r="AE89" s="314">
        <f t="shared" si="45"/>
        <v>5502.526753</v>
      </c>
      <c r="AF89" s="314">
        <f t="shared" si="45"/>
        <v>4134.269613</v>
      </c>
      <c r="AG89" s="314">
        <f t="shared" si="45"/>
        <v>79376.52019</v>
      </c>
      <c r="AH89" s="314">
        <f t="shared" si="45"/>
        <v>4388.972579</v>
      </c>
      <c r="AI89" s="314">
        <f t="shared" si="45"/>
        <v>3625.37206</v>
      </c>
      <c r="AJ89" s="314">
        <f t="shared" si="45"/>
        <v>6047.186238</v>
      </c>
      <c r="AK89" s="314">
        <f t="shared" si="45"/>
        <v>3314.343948</v>
      </c>
      <c r="AL89" s="314">
        <f t="shared" si="45"/>
        <v>8314.59866</v>
      </c>
      <c r="AM89" s="314">
        <f t="shared" si="45"/>
        <v>9431.703688</v>
      </c>
      <c r="AN89" s="314">
        <f t="shared" si="45"/>
        <v>11905.06363</v>
      </c>
      <c r="AO89" s="314">
        <f t="shared" si="45"/>
        <v>11905.06363</v>
      </c>
      <c r="AP89" s="314">
        <f t="shared" si="45"/>
        <v>9729.366426</v>
      </c>
      <c r="AQ89" s="314">
        <f t="shared" si="45"/>
        <v>7861.924674</v>
      </c>
      <c r="AR89" s="314">
        <f t="shared" si="45"/>
        <v>6035.647437</v>
      </c>
      <c r="AS89" s="314">
        <f t="shared" si="45"/>
        <v>4532.323809</v>
      </c>
      <c r="AT89" s="314">
        <f t="shared" si="45"/>
        <v>87091.56677</v>
      </c>
      <c r="AU89" s="314">
        <f t="shared" si="45"/>
        <v>4811.123547</v>
      </c>
      <c r="AV89" s="314">
        <f t="shared" si="45"/>
        <v>3971.993963</v>
      </c>
      <c r="AW89" s="314">
        <f t="shared" si="45"/>
        <v>6632.864212</v>
      </c>
      <c r="AX89" s="314">
        <f t="shared" si="45"/>
        <v>3630.264421</v>
      </c>
      <c r="AY89" s="314">
        <f t="shared" si="45"/>
        <v>9124.091785</v>
      </c>
      <c r="AZ89" s="314">
        <f t="shared" si="45"/>
        <v>10351.46569</v>
      </c>
      <c r="BA89" s="314">
        <f t="shared" si="45"/>
        <v>13068.96976</v>
      </c>
      <c r="BB89" s="314">
        <f t="shared" si="45"/>
        <v>13068.96976</v>
      </c>
      <c r="BC89" s="314">
        <f t="shared" si="45"/>
        <v>10678.51057</v>
      </c>
      <c r="BD89" s="314">
        <f t="shared" si="45"/>
        <v>8626.734576</v>
      </c>
      <c r="BE89" s="314">
        <f t="shared" si="45"/>
        <v>6620.186422</v>
      </c>
      <c r="BF89" s="314">
        <f t="shared" si="45"/>
        <v>4968.470468</v>
      </c>
      <c r="BG89" s="314">
        <f t="shared" si="45"/>
        <v>95553.64518</v>
      </c>
      <c r="BH89" s="314">
        <f t="shared" si="45"/>
        <v>104834.7509</v>
      </c>
      <c r="BI89" s="314">
        <f t="shared" si="45"/>
        <v>115013.7776</v>
      </c>
      <c r="BJ89" s="314">
        <f t="shared" si="45"/>
        <v>126177.1731</v>
      </c>
      <c r="BK89" s="314">
        <f t="shared" si="45"/>
        <v>138419.6575</v>
      </c>
      <c r="BL89" s="314">
        <f t="shared" si="45"/>
        <v>151845.0084</v>
      </c>
      <c r="BM89" s="314">
        <f t="shared" si="45"/>
        <v>166566.9201</v>
      </c>
      <c r="BN89" s="314">
        <f t="shared" si="45"/>
        <v>182709.944</v>
      </c>
      <c r="BO89" s="314">
        <f t="shared" si="45"/>
        <v>200410.5164</v>
      </c>
      <c r="BP89" s="314">
        <f t="shared" si="45"/>
        <v>219818.0832</v>
      </c>
      <c r="BQ89" s="314">
        <f t="shared" si="45"/>
        <v>241096.3294</v>
      </c>
      <c r="BR89" s="314">
        <f t="shared" si="45"/>
        <v>264424.524</v>
      </c>
      <c r="BS89" s="314">
        <f t="shared" si="45"/>
        <v>289998.9898</v>
      </c>
      <c r="BT89" s="314">
        <f t="shared" si="45"/>
        <v>318034.7109</v>
      </c>
      <c r="BU89" s="314">
        <f t="shared" si="45"/>
        <v>348767.0895</v>
      </c>
      <c r="BV89" s="2"/>
      <c r="BW89" s="305"/>
    </row>
    <row r="90" ht="15.75" customHeight="1">
      <c r="A90" s="314" t="s">
        <v>376</v>
      </c>
      <c r="B90" s="308">
        <f>+B89</f>
        <v>0</v>
      </c>
      <c r="C90" s="308">
        <f t="shared" ref="C90:F90" si="46">B90+C89</f>
        <v>0</v>
      </c>
      <c r="D90" s="308">
        <f t="shared" si="46"/>
        <v>0</v>
      </c>
      <c r="E90" s="308">
        <f t="shared" si="46"/>
        <v>0</v>
      </c>
      <c r="F90" s="308">
        <f t="shared" si="46"/>
        <v>0</v>
      </c>
      <c r="G90" s="308">
        <f>F90</f>
        <v>0</v>
      </c>
      <c r="H90" s="308">
        <f>H89+G90</f>
        <v>-38230.24454</v>
      </c>
      <c r="I90" s="308">
        <f t="shared" ref="I90:S90" si="47">H90+I89</f>
        <v>-71564.51594</v>
      </c>
      <c r="J90" s="308">
        <f t="shared" si="47"/>
        <v>-104898.7873</v>
      </c>
      <c r="K90" s="308">
        <f t="shared" si="47"/>
        <v>-138233.0587</v>
      </c>
      <c r="L90" s="308">
        <f t="shared" si="47"/>
        <v>-171567.3301</v>
      </c>
      <c r="M90" s="308">
        <f t="shared" si="47"/>
        <v>-204901.6015</v>
      </c>
      <c r="N90" s="308">
        <f t="shared" si="47"/>
        <v>-238235.8729</v>
      </c>
      <c r="O90" s="308">
        <f t="shared" si="47"/>
        <v>-271570.1443</v>
      </c>
      <c r="P90" s="308">
        <f t="shared" si="47"/>
        <v>-304904.4157</v>
      </c>
      <c r="Q90" s="308">
        <f t="shared" si="47"/>
        <v>-338238.6871</v>
      </c>
      <c r="R90" s="308">
        <f t="shared" si="47"/>
        <v>-371572.9585</v>
      </c>
      <c r="S90" s="308">
        <f t="shared" si="47"/>
        <v>-404907.2299</v>
      </c>
      <c r="T90" s="308">
        <f>S90</f>
        <v>-404907.2299</v>
      </c>
      <c r="U90" s="308">
        <f t="shared" ref="U90:AF90" si="48">U89+T90</f>
        <v>-400903.5579</v>
      </c>
      <c r="V90" s="308">
        <f t="shared" si="48"/>
        <v>-397594.7547</v>
      </c>
      <c r="W90" s="308">
        <f t="shared" si="48"/>
        <v>-392081.7259</v>
      </c>
      <c r="X90" s="308">
        <f t="shared" si="48"/>
        <v>-389056.0064</v>
      </c>
      <c r="Y90" s="308">
        <f t="shared" si="48"/>
        <v>-381479.2814</v>
      </c>
      <c r="Z90" s="308">
        <f t="shared" si="48"/>
        <v>-372885.8179</v>
      </c>
      <c r="AA90" s="308">
        <f t="shared" si="48"/>
        <v>-362041.2141</v>
      </c>
      <c r="AB90" s="308">
        <f t="shared" si="48"/>
        <v>-351196.6103</v>
      </c>
      <c r="AC90" s="308">
        <f t="shared" si="48"/>
        <v>-342332.2277</v>
      </c>
      <c r="AD90" s="308">
        <f t="shared" si="48"/>
        <v>-335167.5061</v>
      </c>
      <c r="AE90" s="308">
        <f t="shared" si="48"/>
        <v>-329664.9793</v>
      </c>
      <c r="AF90" s="308">
        <f t="shared" si="48"/>
        <v>-325530.7097</v>
      </c>
      <c r="AG90" s="308"/>
      <c r="AH90" s="308">
        <f>AH89+AF90</f>
        <v>-321141.7371</v>
      </c>
      <c r="AI90" s="308">
        <f t="shared" ref="AI90:AS90" si="49">AI89+AH90</f>
        <v>-317516.365</v>
      </c>
      <c r="AJ90" s="308">
        <f t="shared" si="49"/>
        <v>-311469.1788</v>
      </c>
      <c r="AK90" s="308">
        <f t="shared" si="49"/>
        <v>-308154.8349</v>
      </c>
      <c r="AL90" s="308">
        <f t="shared" si="49"/>
        <v>-299840.2362</v>
      </c>
      <c r="AM90" s="308">
        <f t="shared" si="49"/>
        <v>-290408.5325</v>
      </c>
      <c r="AN90" s="308">
        <f t="shared" si="49"/>
        <v>-278503.4689</v>
      </c>
      <c r="AO90" s="308">
        <f t="shared" si="49"/>
        <v>-266598.4053</v>
      </c>
      <c r="AP90" s="308">
        <f t="shared" si="49"/>
        <v>-256869.0388</v>
      </c>
      <c r="AQ90" s="308">
        <f t="shared" si="49"/>
        <v>-249007.1142</v>
      </c>
      <c r="AR90" s="308">
        <f t="shared" si="49"/>
        <v>-242971.4667</v>
      </c>
      <c r="AS90" s="308">
        <f t="shared" si="49"/>
        <v>-238439.1429</v>
      </c>
      <c r="AT90" s="308"/>
      <c r="AU90" s="308">
        <f>AU89+AS90</f>
        <v>-233628.0194</v>
      </c>
      <c r="AV90" s="308">
        <f t="shared" ref="AV90:BF90" si="50">AV89+AU90</f>
        <v>-229656.0254</v>
      </c>
      <c r="AW90" s="308">
        <f t="shared" si="50"/>
        <v>-223023.1612</v>
      </c>
      <c r="AX90" s="308">
        <f t="shared" si="50"/>
        <v>-219392.8968</v>
      </c>
      <c r="AY90" s="308">
        <f t="shared" si="50"/>
        <v>-210268.805</v>
      </c>
      <c r="AZ90" s="308">
        <f t="shared" si="50"/>
        <v>-199917.3393</v>
      </c>
      <c r="BA90" s="308">
        <f t="shared" si="50"/>
        <v>-186848.3695</v>
      </c>
      <c r="BB90" s="308">
        <f t="shared" si="50"/>
        <v>-173779.3998</v>
      </c>
      <c r="BC90" s="308">
        <f t="shared" si="50"/>
        <v>-163100.8892</v>
      </c>
      <c r="BD90" s="308">
        <f t="shared" si="50"/>
        <v>-154474.1546</v>
      </c>
      <c r="BE90" s="308">
        <f t="shared" si="50"/>
        <v>-147853.9682</v>
      </c>
      <c r="BF90" s="308">
        <f t="shared" si="50"/>
        <v>-142885.4977</v>
      </c>
      <c r="BG90" s="308">
        <f>BF90</f>
        <v>-142885.4977</v>
      </c>
      <c r="BH90" s="308">
        <f t="shared" ref="BH90:BJ90" si="51">BH89+BG90</f>
        <v>-38050.74683</v>
      </c>
      <c r="BI90" s="308">
        <f t="shared" si="51"/>
        <v>76963.03078</v>
      </c>
      <c r="BJ90" s="308">
        <f t="shared" si="51"/>
        <v>203140.2039</v>
      </c>
      <c r="BK90" s="308">
        <f t="shared" ref="BK90:BU90" si="52">BK89</f>
        <v>138419.6575</v>
      </c>
      <c r="BL90" s="308">
        <f t="shared" si="52"/>
        <v>151845.0084</v>
      </c>
      <c r="BM90" s="308">
        <f t="shared" si="52"/>
        <v>166566.9201</v>
      </c>
      <c r="BN90" s="308">
        <f t="shared" si="52"/>
        <v>182709.944</v>
      </c>
      <c r="BO90" s="308">
        <f t="shared" si="52"/>
        <v>200410.5164</v>
      </c>
      <c r="BP90" s="308">
        <f t="shared" si="52"/>
        <v>219818.0832</v>
      </c>
      <c r="BQ90" s="308">
        <f t="shared" si="52"/>
        <v>241096.3294</v>
      </c>
      <c r="BR90" s="308">
        <f t="shared" si="52"/>
        <v>264424.524</v>
      </c>
      <c r="BS90" s="308">
        <f t="shared" si="52"/>
        <v>289998.9898</v>
      </c>
      <c r="BT90" s="308">
        <f t="shared" si="52"/>
        <v>318034.7109</v>
      </c>
      <c r="BU90" s="308">
        <f t="shared" si="52"/>
        <v>348767.0895</v>
      </c>
      <c r="BV90" s="2"/>
      <c r="BW90" s="2"/>
    </row>
    <row r="91" ht="12.75" customHeight="1">
      <c r="A91" s="306" t="s">
        <v>377</v>
      </c>
      <c r="B91" s="306">
        <f t="shared" ref="B91:AF91" si="53">IF(B90&gt;0,B90,0)</f>
        <v>0</v>
      </c>
      <c r="C91" s="306">
        <f t="shared" si="53"/>
        <v>0</v>
      </c>
      <c r="D91" s="306">
        <f t="shared" si="53"/>
        <v>0</v>
      </c>
      <c r="E91" s="306">
        <f t="shared" si="53"/>
        <v>0</v>
      </c>
      <c r="F91" s="306">
        <f t="shared" si="53"/>
        <v>0</v>
      </c>
      <c r="G91" s="306">
        <f t="shared" si="53"/>
        <v>0</v>
      </c>
      <c r="H91" s="306">
        <f t="shared" si="53"/>
        <v>0</v>
      </c>
      <c r="I91" s="306">
        <f t="shared" si="53"/>
        <v>0</v>
      </c>
      <c r="J91" s="306">
        <f t="shared" si="53"/>
        <v>0</v>
      </c>
      <c r="K91" s="306">
        <f t="shared" si="53"/>
        <v>0</v>
      </c>
      <c r="L91" s="306">
        <f t="shared" si="53"/>
        <v>0</v>
      </c>
      <c r="M91" s="306">
        <f t="shared" si="53"/>
        <v>0</v>
      </c>
      <c r="N91" s="306">
        <f t="shared" si="53"/>
        <v>0</v>
      </c>
      <c r="O91" s="306">
        <f t="shared" si="53"/>
        <v>0</v>
      </c>
      <c r="P91" s="306">
        <f t="shared" si="53"/>
        <v>0</v>
      </c>
      <c r="Q91" s="306">
        <f t="shared" si="53"/>
        <v>0</v>
      </c>
      <c r="R91" s="306">
        <f t="shared" si="53"/>
        <v>0</v>
      </c>
      <c r="S91" s="306">
        <f t="shared" si="53"/>
        <v>0</v>
      </c>
      <c r="T91" s="306">
        <f t="shared" si="53"/>
        <v>0</v>
      </c>
      <c r="U91" s="306">
        <f t="shared" si="53"/>
        <v>0</v>
      </c>
      <c r="V91" s="306">
        <f t="shared" si="53"/>
        <v>0</v>
      </c>
      <c r="W91" s="306">
        <f t="shared" si="53"/>
        <v>0</v>
      </c>
      <c r="X91" s="306">
        <f t="shared" si="53"/>
        <v>0</v>
      </c>
      <c r="Y91" s="306">
        <f t="shared" si="53"/>
        <v>0</v>
      </c>
      <c r="Z91" s="306">
        <f t="shared" si="53"/>
        <v>0</v>
      </c>
      <c r="AA91" s="306">
        <f t="shared" si="53"/>
        <v>0</v>
      </c>
      <c r="AB91" s="306">
        <f t="shared" si="53"/>
        <v>0</v>
      </c>
      <c r="AC91" s="306">
        <f t="shared" si="53"/>
        <v>0</v>
      </c>
      <c r="AD91" s="306">
        <f t="shared" si="53"/>
        <v>0</v>
      </c>
      <c r="AE91" s="306">
        <f t="shared" si="53"/>
        <v>0</v>
      </c>
      <c r="AF91" s="306">
        <f t="shared" si="53"/>
        <v>0</v>
      </c>
      <c r="AG91" s="306"/>
      <c r="AH91" s="306">
        <f t="shared" ref="AH91:BU91" si="54">IF(AH90&gt;0,AH90,0)</f>
        <v>0</v>
      </c>
      <c r="AI91" s="306">
        <f t="shared" si="54"/>
        <v>0</v>
      </c>
      <c r="AJ91" s="306">
        <f t="shared" si="54"/>
        <v>0</v>
      </c>
      <c r="AK91" s="306">
        <f t="shared" si="54"/>
        <v>0</v>
      </c>
      <c r="AL91" s="306">
        <f t="shared" si="54"/>
        <v>0</v>
      </c>
      <c r="AM91" s="306">
        <f t="shared" si="54"/>
        <v>0</v>
      </c>
      <c r="AN91" s="306">
        <f t="shared" si="54"/>
        <v>0</v>
      </c>
      <c r="AO91" s="306">
        <f t="shared" si="54"/>
        <v>0</v>
      </c>
      <c r="AP91" s="306">
        <f t="shared" si="54"/>
        <v>0</v>
      </c>
      <c r="AQ91" s="306">
        <f t="shared" si="54"/>
        <v>0</v>
      </c>
      <c r="AR91" s="306">
        <f t="shared" si="54"/>
        <v>0</v>
      </c>
      <c r="AS91" s="306">
        <f t="shared" si="54"/>
        <v>0</v>
      </c>
      <c r="AT91" s="306">
        <f t="shared" si="54"/>
        <v>0</v>
      </c>
      <c r="AU91" s="306">
        <f t="shared" si="54"/>
        <v>0</v>
      </c>
      <c r="AV91" s="306">
        <f t="shared" si="54"/>
        <v>0</v>
      </c>
      <c r="AW91" s="306">
        <f t="shared" si="54"/>
        <v>0</v>
      </c>
      <c r="AX91" s="306">
        <f t="shared" si="54"/>
        <v>0</v>
      </c>
      <c r="AY91" s="306">
        <f t="shared" si="54"/>
        <v>0</v>
      </c>
      <c r="AZ91" s="306">
        <f t="shared" si="54"/>
        <v>0</v>
      </c>
      <c r="BA91" s="306">
        <f t="shared" si="54"/>
        <v>0</v>
      </c>
      <c r="BB91" s="306">
        <f t="shared" si="54"/>
        <v>0</v>
      </c>
      <c r="BC91" s="306">
        <f t="shared" si="54"/>
        <v>0</v>
      </c>
      <c r="BD91" s="306">
        <f t="shared" si="54"/>
        <v>0</v>
      </c>
      <c r="BE91" s="306">
        <f t="shared" si="54"/>
        <v>0</v>
      </c>
      <c r="BF91" s="306">
        <f t="shared" si="54"/>
        <v>0</v>
      </c>
      <c r="BG91" s="306">
        <f t="shared" si="54"/>
        <v>0</v>
      </c>
      <c r="BH91" s="306">
        <f t="shared" si="54"/>
        <v>0</v>
      </c>
      <c r="BI91" s="306">
        <f t="shared" si="54"/>
        <v>76963.03078</v>
      </c>
      <c r="BJ91" s="306">
        <f t="shared" si="54"/>
        <v>203140.2039</v>
      </c>
      <c r="BK91" s="306">
        <f t="shared" si="54"/>
        <v>138419.6575</v>
      </c>
      <c r="BL91" s="306">
        <f t="shared" si="54"/>
        <v>151845.0084</v>
      </c>
      <c r="BM91" s="306">
        <f t="shared" si="54"/>
        <v>166566.9201</v>
      </c>
      <c r="BN91" s="306">
        <f t="shared" si="54"/>
        <v>182709.944</v>
      </c>
      <c r="BO91" s="306">
        <f t="shared" si="54"/>
        <v>200410.5164</v>
      </c>
      <c r="BP91" s="306">
        <f t="shared" si="54"/>
        <v>219818.0832</v>
      </c>
      <c r="BQ91" s="306">
        <f t="shared" si="54"/>
        <v>241096.3294</v>
      </c>
      <c r="BR91" s="306">
        <f t="shared" si="54"/>
        <v>264424.524</v>
      </c>
      <c r="BS91" s="306">
        <f t="shared" si="54"/>
        <v>289998.9898</v>
      </c>
      <c r="BT91" s="306">
        <f t="shared" si="54"/>
        <v>318034.7109</v>
      </c>
      <c r="BU91" s="306">
        <f t="shared" si="54"/>
        <v>348767.0895</v>
      </c>
      <c r="BV91" s="2"/>
      <c r="BW91" s="2"/>
    </row>
    <row r="92" ht="12.75" customHeight="1">
      <c r="A92" s="2"/>
      <c r="B92" s="2"/>
      <c r="C92" s="2"/>
      <c r="D92" s="2"/>
      <c r="E92" s="2"/>
      <c r="F92" s="2"/>
      <c r="G92" s="305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305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305"/>
      <c r="AH92" s="305"/>
      <c r="AI92" s="305"/>
      <c r="AJ92" s="305"/>
      <c r="AK92" s="305"/>
      <c r="AL92" s="305"/>
      <c r="AM92" s="305"/>
      <c r="AN92" s="305"/>
      <c r="AO92" s="305"/>
      <c r="AP92" s="305"/>
      <c r="AQ92" s="305"/>
      <c r="AR92" s="305"/>
      <c r="AS92" s="305"/>
      <c r="AT92" s="305"/>
      <c r="AU92" s="305"/>
      <c r="AV92" s="305"/>
      <c r="AW92" s="305"/>
      <c r="AX92" s="305"/>
      <c r="AY92" s="305"/>
      <c r="AZ92" s="305"/>
      <c r="BA92" s="305"/>
      <c r="BB92" s="305"/>
      <c r="BC92" s="305"/>
      <c r="BD92" s="305"/>
      <c r="BE92" s="305"/>
      <c r="BF92" s="305"/>
      <c r="BG92" s="305"/>
      <c r="BH92" s="305"/>
      <c r="BI92" s="305"/>
      <c r="BJ92" s="305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</row>
    <row r="93" ht="12.75" customHeight="1">
      <c r="A93" s="2"/>
      <c r="B93" s="2"/>
      <c r="C93" s="2"/>
      <c r="D93" s="2"/>
      <c r="E93" s="2"/>
      <c r="F93" s="2"/>
      <c r="G93" s="305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305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305"/>
      <c r="AH93" s="305"/>
      <c r="AI93" s="305"/>
      <c r="AJ93" s="305"/>
      <c r="AK93" s="305"/>
      <c r="AL93" s="305"/>
      <c r="AM93" s="305"/>
      <c r="AN93" s="305"/>
      <c r="AO93" s="305"/>
      <c r="AP93" s="305"/>
      <c r="AQ93" s="305"/>
      <c r="AR93" s="305"/>
      <c r="AS93" s="305"/>
      <c r="AT93" s="305"/>
      <c r="AU93" s="305"/>
      <c r="AV93" s="305"/>
      <c r="AW93" s="305"/>
      <c r="AX93" s="305"/>
      <c r="AY93" s="305"/>
      <c r="AZ93" s="305"/>
      <c r="BA93" s="305"/>
      <c r="BB93" s="305"/>
      <c r="BC93" s="305"/>
      <c r="BD93" s="305"/>
      <c r="BE93" s="305"/>
      <c r="BF93" s="305"/>
      <c r="BG93" s="305"/>
      <c r="BH93" s="305"/>
      <c r="BI93" s="305"/>
      <c r="BJ93" s="305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</row>
    <row r="94" ht="12.75" customHeight="1">
      <c r="A94" s="2"/>
      <c r="B94" s="2"/>
      <c r="C94" s="2"/>
      <c r="D94" s="2"/>
      <c r="E94" s="2"/>
      <c r="F94" s="2"/>
      <c r="G94" s="305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305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305"/>
      <c r="AH94" s="305"/>
      <c r="AI94" s="305"/>
      <c r="AJ94" s="305"/>
      <c r="AK94" s="305"/>
      <c r="AL94" s="305"/>
      <c r="AM94" s="305"/>
      <c r="AN94" s="305"/>
      <c r="AO94" s="305"/>
      <c r="AP94" s="305"/>
      <c r="AQ94" s="305"/>
      <c r="AR94" s="305"/>
      <c r="AS94" s="305"/>
      <c r="AT94" s="305"/>
      <c r="AU94" s="305"/>
      <c r="AV94" s="305"/>
      <c r="AW94" s="305"/>
      <c r="AX94" s="305"/>
      <c r="AY94" s="305"/>
      <c r="AZ94" s="305"/>
      <c r="BA94" s="305"/>
      <c r="BB94" s="305"/>
      <c r="BC94" s="305"/>
      <c r="BD94" s="305"/>
      <c r="BE94" s="305"/>
      <c r="BF94" s="305"/>
      <c r="BG94" s="305"/>
      <c r="BH94" s="305"/>
      <c r="BI94" s="305"/>
      <c r="BJ94" s="305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</row>
    <row r="95" ht="12.75" customHeight="1">
      <c r="A95" s="2"/>
      <c r="B95" s="2"/>
      <c r="C95" s="2"/>
      <c r="D95" s="2"/>
      <c r="E95" s="2"/>
      <c r="F95" s="2"/>
      <c r="G95" s="305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305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305"/>
      <c r="AH95" s="305"/>
      <c r="AI95" s="305"/>
      <c r="AJ95" s="305"/>
      <c r="AK95" s="305"/>
      <c r="AL95" s="305"/>
      <c r="AM95" s="305"/>
      <c r="AN95" s="305"/>
      <c r="AO95" s="305"/>
      <c r="AP95" s="305"/>
      <c r="AQ95" s="305"/>
      <c r="AR95" s="305"/>
      <c r="AS95" s="305"/>
      <c r="AT95" s="305"/>
      <c r="AU95" s="305"/>
      <c r="AV95" s="305"/>
      <c r="AW95" s="305"/>
      <c r="AX95" s="305"/>
      <c r="AY95" s="305"/>
      <c r="AZ95" s="305"/>
      <c r="BA95" s="305"/>
      <c r="BB95" s="305"/>
      <c r="BC95" s="305"/>
      <c r="BD95" s="305"/>
      <c r="BE95" s="305"/>
      <c r="BF95" s="305"/>
      <c r="BG95" s="305"/>
      <c r="BH95" s="305"/>
      <c r="BI95" s="305"/>
      <c r="BJ95" s="305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</row>
    <row r="96" ht="12.75" customHeight="1">
      <c r="A96" s="2"/>
      <c r="B96" s="2"/>
      <c r="C96" s="2"/>
      <c r="D96" s="2"/>
      <c r="E96" s="2"/>
      <c r="F96" s="2"/>
      <c r="G96" s="305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305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305"/>
      <c r="AH96" s="305"/>
      <c r="AI96" s="305"/>
      <c r="AJ96" s="305"/>
      <c r="AK96" s="305"/>
      <c r="AL96" s="305"/>
      <c r="AM96" s="305"/>
      <c r="AN96" s="305"/>
      <c r="AO96" s="305"/>
      <c r="AP96" s="305"/>
      <c r="AQ96" s="305"/>
      <c r="AR96" s="305"/>
      <c r="AS96" s="305"/>
      <c r="AT96" s="305"/>
      <c r="AU96" s="305"/>
      <c r="AV96" s="305"/>
      <c r="AW96" s="305"/>
      <c r="AX96" s="305"/>
      <c r="AY96" s="305"/>
      <c r="AZ96" s="305"/>
      <c r="BA96" s="305"/>
      <c r="BB96" s="305"/>
      <c r="BC96" s="305"/>
      <c r="BD96" s="305"/>
      <c r="BE96" s="305"/>
      <c r="BF96" s="305"/>
      <c r="BG96" s="305"/>
      <c r="BH96" s="305"/>
      <c r="BI96" s="305"/>
      <c r="BJ96" s="305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</row>
    <row r="97" ht="12.75" customHeight="1">
      <c r="A97" s="2"/>
      <c r="B97" s="2"/>
      <c r="C97" s="2"/>
      <c r="D97" s="2"/>
      <c r="E97" s="2"/>
      <c r="F97" s="2"/>
      <c r="G97" s="305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305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305"/>
      <c r="AH97" s="305"/>
      <c r="AI97" s="305"/>
      <c r="AJ97" s="305"/>
      <c r="AK97" s="305"/>
      <c r="AL97" s="305"/>
      <c r="AM97" s="305"/>
      <c r="AN97" s="305"/>
      <c r="AO97" s="305"/>
      <c r="AP97" s="305"/>
      <c r="AQ97" s="305"/>
      <c r="AR97" s="305"/>
      <c r="AS97" s="305"/>
      <c r="AT97" s="305"/>
      <c r="AU97" s="305"/>
      <c r="AV97" s="305"/>
      <c r="AW97" s="305"/>
      <c r="AX97" s="305"/>
      <c r="AY97" s="305"/>
      <c r="AZ97" s="305"/>
      <c r="BA97" s="305"/>
      <c r="BB97" s="305"/>
      <c r="BC97" s="305"/>
      <c r="BD97" s="305"/>
      <c r="BE97" s="305"/>
      <c r="BF97" s="305"/>
      <c r="BG97" s="305"/>
      <c r="BH97" s="305"/>
      <c r="BI97" s="305"/>
      <c r="BJ97" s="305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</row>
    <row r="98" ht="12.75" customHeight="1">
      <c r="A98" s="2"/>
      <c r="B98" s="2"/>
      <c r="C98" s="2"/>
      <c r="D98" s="2"/>
      <c r="E98" s="2"/>
      <c r="F98" s="2"/>
      <c r="G98" s="305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305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305"/>
      <c r="AH98" s="305"/>
      <c r="AI98" s="305"/>
      <c r="AJ98" s="305"/>
      <c r="AK98" s="305"/>
      <c r="AL98" s="305"/>
      <c r="AM98" s="305"/>
      <c r="AN98" s="305"/>
      <c r="AO98" s="305"/>
      <c r="AP98" s="305"/>
      <c r="AQ98" s="305"/>
      <c r="AR98" s="305"/>
      <c r="AS98" s="305"/>
      <c r="AT98" s="305"/>
      <c r="AU98" s="305"/>
      <c r="AV98" s="305"/>
      <c r="AW98" s="305"/>
      <c r="AX98" s="305"/>
      <c r="AY98" s="305"/>
      <c r="AZ98" s="305"/>
      <c r="BA98" s="305"/>
      <c r="BB98" s="305"/>
      <c r="BC98" s="305"/>
      <c r="BD98" s="305"/>
      <c r="BE98" s="305"/>
      <c r="BF98" s="305"/>
      <c r="BG98" s="305"/>
      <c r="BH98" s="305"/>
      <c r="BI98" s="305"/>
      <c r="BJ98" s="305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</row>
    <row r="99" ht="12.75" customHeight="1">
      <c r="A99" s="2"/>
      <c r="B99" s="2"/>
      <c r="C99" s="2"/>
      <c r="D99" s="2"/>
      <c r="E99" s="2"/>
      <c r="F99" s="2"/>
      <c r="G99" s="305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305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305"/>
      <c r="AH99" s="305"/>
      <c r="AI99" s="305"/>
      <c r="AJ99" s="305"/>
      <c r="AK99" s="305"/>
      <c r="AL99" s="305"/>
      <c r="AM99" s="305"/>
      <c r="AN99" s="305"/>
      <c r="AO99" s="305"/>
      <c r="AP99" s="305"/>
      <c r="AQ99" s="305"/>
      <c r="AR99" s="305"/>
      <c r="AS99" s="305"/>
      <c r="AT99" s="305"/>
      <c r="AU99" s="305"/>
      <c r="AV99" s="305"/>
      <c r="AW99" s="305"/>
      <c r="AX99" s="305"/>
      <c r="AY99" s="305"/>
      <c r="AZ99" s="305"/>
      <c r="BA99" s="305"/>
      <c r="BB99" s="305"/>
      <c r="BC99" s="305"/>
      <c r="BD99" s="305"/>
      <c r="BE99" s="305"/>
      <c r="BF99" s="305"/>
      <c r="BG99" s="305"/>
      <c r="BH99" s="305"/>
      <c r="BI99" s="305"/>
      <c r="BJ99" s="305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</row>
    <row r="100" ht="12.75" customHeight="1">
      <c r="A100" s="2"/>
      <c r="B100" s="2"/>
      <c r="C100" s="2"/>
      <c r="D100" s="2"/>
      <c r="E100" s="2"/>
      <c r="F100" s="2"/>
      <c r="G100" s="305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305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305"/>
      <c r="AH100" s="305"/>
      <c r="AI100" s="305"/>
      <c r="AJ100" s="305"/>
      <c r="AK100" s="305"/>
      <c r="AL100" s="305"/>
      <c r="AM100" s="305"/>
      <c r="AN100" s="305"/>
      <c r="AO100" s="305"/>
      <c r="AP100" s="305"/>
      <c r="AQ100" s="305"/>
      <c r="AR100" s="305"/>
      <c r="AS100" s="305"/>
      <c r="AT100" s="305"/>
      <c r="AU100" s="305"/>
      <c r="AV100" s="305"/>
      <c r="AW100" s="305"/>
      <c r="AX100" s="305"/>
      <c r="AY100" s="305"/>
      <c r="AZ100" s="305"/>
      <c r="BA100" s="305"/>
      <c r="BB100" s="305"/>
      <c r="BC100" s="305"/>
      <c r="BD100" s="305"/>
      <c r="BE100" s="305"/>
      <c r="BF100" s="305"/>
      <c r="BG100" s="305"/>
      <c r="BH100" s="305"/>
      <c r="BI100" s="305"/>
      <c r="BJ100" s="305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</row>
    <row r="101" ht="12.75" customHeight="1">
      <c r="A101" s="2"/>
      <c r="B101" s="2"/>
      <c r="C101" s="2"/>
      <c r="D101" s="2"/>
      <c r="E101" s="2"/>
      <c r="F101" s="2"/>
      <c r="G101" s="305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305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305"/>
      <c r="AH101" s="305"/>
      <c r="AI101" s="305"/>
      <c r="AJ101" s="305"/>
      <c r="AK101" s="305"/>
      <c r="AL101" s="305"/>
      <c r="AM101" s="305"/>
      <c r="AN101" s="305"/>
      <c r="AO101" s="305"/>
      <c r="AP101" s="305"/>
      <c r="AQ101" s="305"/>
      <c r="AR101" s="305"/>
      <c r="AS101" s="305"/>
      <c r="AT101" s="305"/>
      <c r="AU101" s="305"/>
      <c r="AV101" s="305"/>
      <c r="AW101" s="305"/>
      <c r="AX101" s="305"/>
      <c r="AY101" s="305"/>
      <c r="AZ101" s="305"/>
      <c r="BA101" s="305"/>
      <c r="BB101" s="305"/>
      <c r="BC101" s="305"/>
      <c r="BD101" s="305"/>
      <c r="BE101" s="305"/>
      <c r="BF101" s="305"/>
      <c r="BG101" s="305"/>
      <c r="BH101" s="305"/>
      <c r="BI101" s="305"/>
      <c r="BJ101" s="305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</row>
    <row r="102" ht="12.75" customHeight="1">
      <c r="A102" s="2"/>
      <c r="B102" s="2"/>
      <c r="C102" s="2"/>
      <c r="D102" s="2"/>
      <c r="E102" s="2"/>
      <c r="F102" s="2"/>
      <c r="G102" s="305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305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305"/>
      <c r="AH102" s="305"/>
      <c r="AI102" s="305"/>
      <c r="AJ102" s="305"/>
      <c r="AK102" s="305"/>
      <c r="AL102" s="305"/>
      <c r="AM102" s="305"/>
      <c r="AN102" s="305"/>
      <c r="AO102" s="305"/>
      <c r="AP102" s="305"/>
      <c r="AQ102" s="305"/>
      <c r="AR102" s="305"/>
      <c r="AS102" s="305"/>
      <c r="AT102" s="305"/>
      <c r="AU102" s="305"/>
      <c r="AV102" s="305"/>
      <c r="AW102" s="305"/>
      <c r="AX102" s="305"/>
      <c r="AY102" s="305"/>
      <c r="AZ102" s="305"/>
      <c r="BA102" s="305"/>
      <c r="BB102" s="305"/>
      <c r="BC102" s="305"/>
      <c r="BD102" s="305"/>
      <c r="BE102" s="305"/>
      <c r="BF102" s="305"/>
      <c r="BG102" s="305"/>
      <c r="BH102" s="305"/>
      <c r="BI102" s="305"/>
      <c r="BJ102" s="305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</row>
    <row r="103" ht="12.75" customHeight="1">
      <c r="A103" s="2"/>
      <c r="B103" s="2"/>
      <c r="C103" s="2"/>
      <c r="D103" s="2"/>
      <c r="E103" s="2"/>
      <c r="F103" s="2"/>
      <c r="G103" s="305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305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305"/>
      <c r="AH103" s="305"/>
      <c r="AI103" s="305"/>
      <c r="AJ103" s="305"/>
      <c r="AK103" s="305"/>
      <c r="AL103" s="305"/>
      <c r="AM103" s="305"/>
      <c r="AN103" s="305"/>
      <c r="AO103" s="305"/>
      <c r="AP103" s="305"/>
      <c r="AQ103" s="305"/>
      <c r="AR103" s="305"/>
      <c r="AS103" s="305"/>
      <c r="AT103" s="305"/>
      <c r="AU103" s="305"/>
      <c r="AV103" s="305"/>
      <c r="AW103" s="305"/>
      <c r="AX103" s="305"/>
      <c r="AY103" s="305"/>
      <c r="AZ103" s="305"/>
      <c r="BA103" s="305"/>
      <c r="BB103" s="305"/>
      <c r="BC103" s="305"/>
      <c r="BD103" s="305"/>
      <c r="BE103" s="305"/>
      <c r="BF103" s="305"/>
      <c r="BG103" s="305"/>
      <c r="BH103" s="305"/>
      <c r="BI103" s="305"/>
      <c r="BJ103" s="305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</row>
    <row r="104" ht="12.75" customHeight="1">
      <c r="A104" s="2"/>
      <c r="B104" s="2"/>
      <c r="C104" s="2"/>
      <c r="D104" s="2"/>
      <c r="E104" s="2"/>
      <c r="F104" s="2"/>
      <c r="G104" s="30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305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305"/>
      <c r="AH104" s="305"/>
      <c r="AI104" s="305"/>
      <c r="AJ104" s="305"/>
      <c r="AK104" s="305"/>
      <c r="AL104" s="305"/>
      <c r="AM104" s="305"/>
      <c r="AN104" s="305"/>
      <c r="AO104" s="305"/>
      <c r="AP104" s="305"/>
      <c r="AQ104" s="305"/>
      <c r="AR104" s="305"/>
      <c r="AS104" s="305"/>
      <c r="AT104" s="305"/>
      <c r="AU104" s="305"/>
      <c r="AV104" s="305"/>
      <c r="AW104" s="305"/>
      <c r="AX104" s="305"/>
      <c r="AY104" s="305"/>
      <c r="AZ104" s="305"/>
      <c r="BA104" s="305"/>
      <c r="BB104" s="305"/>
      <c r="BC104" s="305"/>
      <c r="BD104" s="305"/>
      <c r="BE104" s="305"/>
      <c r="BF104" s="305"/>
      <c r="BG104" s="305"/>
      <c r="BH104" s="305"/>
      <c r="BI104" s="305"/>
      <c r="BJ104" s="305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</row>
    <row r="105" ht="12.75" customHeight="1">
      <c r="A105" s="2"/>
      <c r="B105" s="2"/>
      <c r="C105" s="2"/>
      <c r="D105" s="2"/>
      <c r="E105" s="2"/>
      <c r="F105" s="2"/>
      <c r="G105" s="305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305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305"/>
      <c r="AH105" s="305"/>
      <c r="AI105" s="305"/>
      <c r="AJ105" s="305"/>
      <c r="AK105" s="305"/>
      <c r="AL105" s="305"/>
      <c r="AM105" s="305"/>
      <c r="AN105" s="305"/>
      <c r="AO105" s="305"/>
      <c r="AP105" s="305"/>
      <c r="AQ105" s="305"/>
      <c r="AR105" s="305"/>
      <c r="AS105" s="305"/>
      <c r="AT105" s="305"/>
      <c r="AU105" s="305"/>
      <c r="AV105" s="305"/>
      <c r="AW105" s="305"/>
      <c r="AX105" s="305"/>
      <c r="AY105" s="305"/>
      <c r="AZ105" s="305"/>
      <c r="BA105" s="305"/>
      <c r="BB105" s="305"/>
      <c r="BC105" s="305"/>
      <c r="BD105" s="305"/>
      <c r="BE105" s="305"/>
      <c r="BF105" s="305"/>
      <c r="BG105" s="305"/>
      <c r="BH105" s="305"/>
      <c r="BI105" s="305"/>
      <c r="BJ105" s="305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</row>
  </sheetData>
  <printOptions/>
  <pageMargins bottom="0.3937007874015748" footer="0.0" header="0.0" left="0.3937007874015748" right="0.17" top="0.59"/>
  <pageSetup paperSize="9" orientation="landscape"/>
  <rowBreaks count="1" manualBreakCount="1">
    <brk id="49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62.86"/>
    <col customWidth="1" min="2" max="5" width="12.14"/>
    <col customWidth="1" min="6" max="6" width="12.0"/>
    <col customWidth="1" min="7" max="8" width="11.29"/>
    <col customWidth="1" min="9" max="9" width="12.29"/>
    <col customWidth="1" min="10" max="10" width="13.0"/>
    <col customWidth="1" min="11" max="23" width="13.71"/>
    <col customWidth="1" min="24" max="26" width="8.86"/>
  </cols>
  <sheetData>
    <row r="1" ht="12.75" customHeight="1">
      <c r="A1" s="1" t="str">
        <f>Panel!A1</f>
        <v/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 t="str">
        <f>Panel!A2</f>
        <v>Строительство ГЭС -5 МВТ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" t="s">
        <v>378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" t="s">
        <v>379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" t="s">
        <v>380</v>
      </c>
      <c r="B7" s="318">
        <f>WACC!B10</f>
        <v>0.09727176707</v>
      </c>
      <c r="C7" s="318"/>
      <c r="D7" s="318"/>
      <c r="E7" s="2"/>
      <c r="F7" s="2"/>
      <c r="G7" s="284"/>
      <c r="H7" s="284"/>
      <c r="I7" s="28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34" t="s">
        <v>42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319" t="s">
        <v>381</v>
      </c>
      <c r="B10" s="320">
        <v>2025.0</v>
      </c>
      <c r="C10" s="321">
        <v>2026.0</v>
      </c>
      <c r="D10" s="321">
        <v>2027.0</v>
      </c>
      <c r="E10" s="321">
        <v>2028.0</v>
      </c>
      <c r="F10" s="321">
        <v>2029.0</v>
      </c>
      <c r="G10" s="321">
        <v>2030.0</v>
      </c>
      <c r="H10" s="321">
        <v>2031.0</v>
      </c>
      <c r="I10" s="321">
        <v>2032.0</v>
      </c>
      <c r="J10" s="321">
        <v>2033.0</v>
      </c>
      <c r="K10" s="321">
        <v>2034.0</v>
      </c>
      <c r="L10" s="321">
        <v>2035.0</v>
      </c>
      <c r="M10" s="321">
        <v>2036.0</v>
      </c>
      <c r="N10" s="321">
        <v>2037.0</v>
      </c>
      <c r="O10" s="321">
        <v>2038.0</v>
      </c>
      <c r="P10" s="321">
        <v>2039.0</v>
      </c>
      <c r="Q10" s="321">
        <v>2040.0</v>
      </c>
      <c r="R10" s="321">
        <v>2041.0</v>
      </c>
      <c r="S10" s="321">
        <v>2042.0</v>
      </c>
      <c r="T10" s="2"/>
      <c r="U10" s="2"/>
      <c r="V10" s="2"/>
      <c r="W10" s="2"/>
      <c r="X10" s="2"/>
      <c r="Y10" s="2"/>
      <c r="Z10" s="2"/>
    </row>
    <row r="11" ht="12.75" customHeight="1">
      <c r="A11" s="322"/>
      <c r="B11" s="323">
        <v>1.0</v>
      </c>
      <c r="C11" s="323">
        <f t="shared" ref="C11:S11" si="1">1+B11</f>
        <v>2</v>
      </c>
      <c r="D11" s="323">
        <f t="shared" si="1"/>
        <v>3</v>
      </c>
      <c r="E11" s="323">
        <f t="shared" si="1"/>
        <v>4</v>
      </c>
      <c r="F11" s="323">
        <f t="shared" si="1"/>
        <v>5</v>
      </c>
      <c r="G11" s="323">
        <f t="shared" si="1"/>
        <v>6</v>
      </c>
      <c r="H11" s="323">
        <f t="shared" si="1"/>
        <v>7</v>
      </c>
      <c r="I11" s="323">
        <f t="shared" si="1"/>
        <v>8</v>
      </c>
      <c r="J11" s="323">
        <f t="shared" si="1"/>
        <v>9</v>
      </c>
      <c r="K11" s="323">
        <f t="shared" si="1"/>
        <v>10</v>
      </c>
      <c r="L11" s="323">
        <f t="shared" si="1"/>
        <v>11</v>
      </c>
      <c r="M11" s="323">
        <f t="shared" si="1"/>
        <v>12</v>
      </c>
      <c r="N11" s="323">
        <f t="shared" si="1"/>
        <v>13</v>
      </c>
      <c r="O11" s="323">
        <f t="shared" si="1"/>
        <v>14</v>
      </c>
      <c r="P11" s="323">
        <f t="shared" si="1"/>
        <v>15</v>
      </c>
      <c r="Q11" s="323">
        <f t="shared" si="1"/>
        <v>16</v>
      </c>
      <c r="R11" s="323">
        <f t="shared" si="1"/>
        <v>17</v>
      </c>
      <c r="S11" s="323">
        <f t="shared" si="1"/>
        <v>18</v>
      </c>
      <c r="T11" s="2"/>
      <c r="U11" s="2"/>
      <c r="V11" s="2"/>
      <c r="W11" s="2"/>
      <c r="X11" s="2"/>
      <c r="Y11" s="2"/>
      <c r="Z11" s="2"/>
    </row>
    <row r="12" ht="12.75" customHeight="1">
      <c r="A12" s="2" t="s">
        <v>382</v>
      </c>
      <c r="B12" s="26"/>
      <c r="C12" s="26">
        <f>'ОДДС'!AG29</f>
        <v>400244.6069</v>
      </c>
      <c r="D12" s="26">
        <f>'ОДДС'!AT29</f>
        <v>457948.6001</v>
      </c>
      <c r="E12" s="26">
        <f>'ОДДС'!BG29</f>
        <v>521274.1234</v>
      </c>
      <c r="F12" s="26">
        <f>'ОДДС'!BH29</f>
        <v>529021.5056</v>
      </c>
      <c r="G12" s="26">
        <f>'ОДДС'!BI29</f>
        <v>456191.1139</v>
      </c>
      <c r="H12" s="26">
        <f>'ОДДС'!BJ29</f>
        <v>423975.4042</v>
      </c>
      <c r="I12" s="26">
        <f>'ОДДС'!BK29</f>
        <v>614078.2014</v>
      </c>
      <c r="J12" s="26">
        <f>'ОДДС'!BL29</f>
        <v>776641.0756</v>
      </c>
      <c r="K12" s="26">
        <f>'ОДДС'!BM29</f>
        <v>850741.4032</v>
      </c>
      <c r="L12" s="26">
        <f>'ОДДС'!BN29</f>
        <v>931923.5325</v>
      </c>
      <c r="M12" s="26">
        <f>'ОДДС'!BO29</f>
        <v>1020866.865</v>
      </c>
      <c r="N12" s="26">
        <f>'ОДДС'!BP29</f>
        <v>1118315.526</v>
      </c>
      <c r="O12" s="26">
        <f>'ОДДС'!BQ29</f>
        <v>1225084.471</v>
      </c>
      <c r="P12" s="26">
        <f>'ОДДС'!BR29</f>
        <v>1342066.17</v>
      </c>
      <c r="Q12" s="26">
        <f>'ОДДС'!BS29</f>
        <v>1470126.089</v>
      </c>
      <c r="R12" s="26">
        <f>'ОДДС'!BT29</f>
        <v>1609941.731</v>
      </c>
      <c r="S12" s="26">
        <f>'ОДДС'!BU29</f>
        <v>1763111.501</v>
      </c>
      <c r="T12" s="2"/>
      <c r="U12" s="2"/>
      <c r="V12" s="2"/>
      <c r="W12" s="2"/>
      <c r="X12" s="2"/>
      <c r="Y12" s="2"/>
      <c r="Z12" s="2"/>
    </row>
    <row r="13" ht="12.75" customHeight="1">
      <c r="A13" s="252" t="s">
        <v>383</v>
      </c>
      <c r="B13" s="255"/>
      <c r="C13" s="255">
        <f t="shared" ref="C13:S13" si="2">SUM(C12)</f>
        <v>400244.6069</v>
      </c>
      <c r="D13" s="255">
        <f t="shared" si="2"/>
        <v>457948.6001</v>
      </c>
      <c r="E13" s="255">
        <f t="shared" si="2"/>
        <v>521274.1234</v>
      </c>
      <c r="F13" s="255">
        <f t="shared" si="2"/>
        <v>529021.5056</v>
      </c>
      <c r="G13" s="255">
        <f t="shared" si="2"/>
        <v>456191.1139</v>
      </c>
      <c r="H13" s="255">
        <f t="shared" si="2"/>
        <v>423975.4042</v>
      </c>
      <c r="I13" s="255">
        <f t="shared" si="2"/>
        <v>614078.2014</v>
      </c>
      <c r="J13" s="255">
        <f t="shared" si="2"/>
        <v>776641.0756</v>
      </c>
      <c r="K13" s="255">
        <f t="shared" si="2"/>
        <v>850741.4032</v>
      </c>
      <c r="L13" s="255">
        <f t="shared" si="2"/>
        <v>931923.5325</v>
      </c>
      <c r="M13" s="255">
        <f t="shared" si="2"/>
        <v>1020866.865</v>
      </c>
      <c r="N13" s="255">
        <f t="shared" si="2"/>
        <v>1118315.526</v>
      </c>
      <c r="O13" s="255">
        <f t="shared" si="2"/>
        <v>1225084.471</v>
      </c>
      <c r="P13" s="255">
        <f t="shared" si="2"/>
        <v>1342066.17</v>
      </c>
      <c r="Q13" s="255">
        <f t="shared" si="2"/>
        <v>1470126.089</v>
      </c>
      <c r="R13" s="255">
        <f t="shared" si="2"/>
        <v>1609941.731</v>
      </c>
      <c r="S13" s="255">
        <f t="shared" si="2"/>
        <v>1763111.501</v>
      </c>
      <c r="T13" s="2"/>
      <c r="U13" s="2"/>
      <c r="V13" s="2"/>
      <c r="W13" s="2"/>
      <c r="X13" s="2"/>
      <c r="Y13" s="2"/>
      <c r="Z13" s="2"/>
    </row>
    <row r="14" ht="12.75" customHeight="1">
      <c r="A14" s="294" t="s">
        <v>384</v>
      </c>
      <c r="B14" s="295"/>
      <c r="C14" s="295">
        <f t="shared" ref="C14:S14" si="3">PV($B$7/12,12*C11,0,-C13,0)</f>
        <v>329743.9985</v>
      </c>
      <c r="D14" s="295">
        <f t="shared" si="3"/>
        <v>342447.3836</v>
      </c>
      <c r="E14" s="295">
        <f t="shared" si="3"/>
        <v>353809.0919</v>
      </c>
      <c r="F14" s="295">
        <f t="shared" si="3"/>
        <v>325913.1284</v>
      </c>
      <c r="G14" s="295">
        <f t="shared" si="3"/>
        <v>255094.4764</v>
      </c>
      <c r="H14" s="295">
        <f t="shared" si="3"/>
        <v>215189.2649</v>
      </c>
      <c r="I14" s="295">
        <f t="shared" si="3"/>
        <v>282897.6407</v>
      </c>
      <c r="J14" s="295">
        <f t="shared" si="3"/>
        <v>324751.9042</v>
      </c>
      <c r="K14" s="295">
        <f t="shared" si="3"/>
        <v>322890.0223</v>
      </c>
      <c r="L14" s="295">
        <f t="shared" si="3"/>
        <v>321042.8778</v>
      </c>
      <c r="M14" s="295">
        <f t="shared" si="3"/>
        <v>319210.7987</v>
      </c>
      <c r="N14" s="295">
        <f t="shared" si="3"/>
        <v>317393.8642</v>
      </c>
      <c r="O14" s="295">
        <f t="shared" si="3"/>
        <v>315591.947</v>
      </c>
      <c r="P14" s="295">
        <f t="shared" si="3"/>
        <v>313804.7497</v>
      </c>
      <c r="Q14" s="295">
        <f t="shared" si="3"/>
        <v>312008.1036</v>
      </c>
      <c r="R14" s="295">
        <f t="shared" si="3"/>
        <v>310132.4089</v>
      </c>
      <c r="S14" s="295">
        <f t="shared" si="3"/>
        <v>308277.9616</v>
      </c>
      <c r="T14" s="2"/>
      <c r="U14" s="2"/>
      <c r="V14" s="2"/>
      <c r="W14" s="2"/>
      <c r="X14" s="2"/>
      <c r="Y14" s="2"/>
      <c r="Z14" s="2"/>
    </row>
    <row r="15" ht="12.75" customHeight="1">
      <c r="A15" s="324" t="s">
        <v>385</v>
      </c>
      <c r="B15" s="325">
        <f>'ОДДС'!T46</f>
        <v>2935577.417</v>
      </c>
      <c r="C15" s="325">
        <v>0.0</v>
      </c>
      <c r="D15" s="325">
        <f>'ОДДС'!AT58</f>
        <v>0</v>
      </c>
      <c r="E15" s="325">
        <f>'ОДДС'!BG58</f>
        <v>0</v>
      </c>
      <c r="F15" s="325">
        <f>'ОДДС'!BH58</f>
        <v>0</v>
      </c>
      <c r="G15" s="325">
        <f>'ОДДС'!BI58</f>
        <v>0</v>
      </c>
      <c r="H15" s="325">
        <f>'ОДДС'!BJ58</f>
        <v>0</v>
      </c>
      <c r="I15" s="325">
        <f>'ОДДС'!BK58</f>
        <v>0</v>
      </c>
      <c r="J15" s="325">
        <f>'ОДДС'!BL58</f>
        <v>0</v>
      </c>
      <c r="K15" s="325">
        <f>'ОДДС'!BM58</f>
        <v>0</v>
      </c>
      <c r="L15" s="325">
        <f>'ОДДС'!BN58</f>
        <v>0</v>
      </c>
      <c r="M15" s="325">
        <f>'ОДДС'!BO58</f>
        <v>0</v>
      </c>
      <c r="N15" s="325">
        <f>'ОДДС'!BP58</f>
        <v>0</v>
      </c>
      <c r="O15" s="325">
        <f>'ОДДС'!BQ58</f>
        <v>0</v>
      </c>
      <c r="P15" s="325">
        <f>'ОДДС'!BR58</f>
        <v>0</v>
      </c>
      <c r="Q15" s="325">
        <f>'ОДДС'!BS58</f>
        <v>0</v>
      </c>
      <c r="R15" s="325">
        <f>'ОДДС'!BT58</f>
        <v>0</v>
      </c>
      <c r="S15" s="325">
        <f>'ОДДС'!BU58</f>
        <v>0</v>
      </c>
      <c r="T15" s="2"/>
      <c r="U15" s="2"/>
      <c r="V15" s="2"/>
      <c r="W15" s="2"/>
      <c r="X15" s="2"/>
      <c r="Y15" s="2"/>
      <c r="Z15" s="2"/>
    </row>
    <row r="16" ht="12.75" customHeight="1">
      <c r="A16" s="324" t="s">
        <v>386</v>
      </c>
      <c r="B16" s="325">
        <f t="shared" ref="B16:S16" si="4">PV($B$7/12,12*B11,0,-B15,0)</f>
        <v>2664521.59</v>
      </c>
      <c r="C16" s="325">
        <f t="shared" si="4"/>
        <v>0</v>
      </c>
      <c r="D16" s="325">
        <f t="shared" si="4"/>
        <v>0</v>
      </c>
      <c r="E16" s="325">
        <f t="shared" si="4"/>
        <v>0</v>
      </c>
      <c r="F16" s="325">
        <f t="shared" si="4"/>
        <v>0</v>
      </c>
      <c r="G16" s="325">
        <f t="shared" si="4"/>
        <v>0</v>
      </c>
      <c r="H16" s="325">
        <f t="shared" si="4"/>
        <v>0</v>
      </c>
      <c r="I16" s="325">
        <f t="shared" si="4"/>
        <v>0</v>
      </c>
      <c r="J16" s="325">
        <f t="shared" si="4"/>
        <v>0</v>
      </c>
      <c r="K16" s="325">
        <f t="shared" si="4"/>
        <v>0</v>
      </c>
      <c r="L16" s="325">
        <f t="shared" si="4"/>
        <v>0</v>
      </c>
      <c r="M16" s="325">
        <f t="shared" si="4"/>
        <v>0</v>
      </c>
      <c r="N16" s="325">
        <f t="shared" si="4"/>
        <v>0</v>
      </c>
      <c r="O16" s="325">
        <f t="shared" si="4"/>
        <v>0</v>
      </c>
      <c r="P16" s="325">
        <f t="shared" si="4"/>
        <v>0</v>
      </c>
      <c r="Q16" s="325">
        <f t="shared" si="4"/>
        <v>0</v>
      </c>
      <c r="R16" s="325">
        <f t="shared" si="4"/>
        <v>0</v>
      </c>
      <c r="S16" s="325">
        <f t="shared" si="4"/>
        <v>0</v>
      </c>
      <c r="T16" s="2"/>
      <c r="U16" s="2"/>
      <c r="V16" s="2"/>
      <c r="W16" s="2"/>
      <c r="X16" s="2"/>
      <c r="Y16" s="2"/>
      <c r="Z16" s="2"/>
    </row>
    <row r="17" ht="12.75" customHeight="1">
      <c r="A17" s="231" t="s">
        <v>387</v>
      </c>
      <c r="B17" s="281">
        <f t="shared" ref="B17:S17" si="5">-B16+B14</f>
        <v>-2664521.59</v>
      </c>
      <c r="C17" s="281">
        <f t="shared" si="5"/>
        <v>329743.9985</v>
      </c>
      <c r="D17" s="281">
        <f t="shared" si="5"/>
        <v>342447.3836</v>
      </c>
      <c r="E17" s="281">
        <f t="shared" si="5"/>
        <v>353809.0919</v>
      </c>
      <c r="F17" s="281">
        <f t="shared" si="5"/>
        <v>325913.1284</v>
      </c>
      <c r="G17" s="281">
        <f t="shared" si="5"/>
        <v>255094.4764</v>
      </c>
      <c r="H17" s="281">
        <f t="shared" si="5"/>
        <v>215189.2649</v>
      </c>
      <c r="I17" s="281">
        <f t="shared" si="5"/>
        <v>282897.6407</v>
      </c>
      <c r="J17" s="281">
        <f t="shared" si="5"/>
        <v>324751.9042</v>
      </c>
      <c r="K17" s="281">
        <f t="shared" si="5"/>
        <v>322890.0223</v>
      </c>
      <c r="L17" s="281">
        <f t="shared" si="5"/>
        <v>321042.8778</v>
      </c>
      <c r="M17" s="281">
        <f t="shared" si="5"/>
        <v>319210.7987</v>
      </c>
      <c r="N17" s="281">
        <f t="shared" si="5"/>
        <v>317393.8642</v>
      </c>
      <c r="O17" s="281">
        <f t="shared" si="5"/>
        <v>315591.947</v>
      </c>
      <c r="P17" s="281">
        <f t="shared" si="5"/>
        <v>313804.7497</v>
      </c>
      <c r="Q17" s="281">
        <f t="shared" si="5"/>
        <v>312008.1036</v>
      </c>
      <c r="R17" s="281">
        <f t="shared" si="5"/>
        <v>310132.4089</v>
      </c>
      <c r="S17" s="281">
        <f t="shared" si="5"/>
        <v>308277.9616</v>
      </c>
      <c r="T17" s="2"/>
      <c r="U17" s="2"/>
      <c r="V17" s="2"/>
      <c r="W17" s="2"/>
      <c r="X17" s="2"/>
      <c r="Y17" s="2"/>
      <c r="Z17" s="2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23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326" t="s">
        <v>388</v>
      </c>
      <c r="B19" s="312">
        <f>SUM(B14:S14)-SUM(B16:N16)</f>
        <v>2605678.032</v>
      </c>
      <c r="C19" s="312"/>
      <c r="D19" s="312"/>
      <c r="E19" s="31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326" t="s">
        <v>389</v>
      </c>
      <c r="B20" s="318">
        <f>IRR(B17:S17)+B7</f>
        <v>0.1869666764</v>
      </c>
      <c r="C20" s="318"/>
      <c r="D20" s="318"/>
      <c r="E20" s="318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327" t="s">
        <v>390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6"/>
      <c r="W21" s="70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8"/>
      <c r="W22" s="28"/>
      <c r="X22" s="2"/>
      <c r="Y22" s="2"/>
      <c r="Z22" s="2"/>
    </row>
    <row r="23" ht="12.75" customHeight="1">
      <c r="A23" s="326" t="s">
        <v>391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328" t="s">
        <v>392</v>
      </c>
      <c r="B24" s="270">
        <f>COUNT(B11:I11)+1-(SUM(B13:J13)-SUM(B15))/J13</f>
        <v>7.39849159</v>
      </c>
      <c r="C24" s="26">
        <f t="shared" ref="C24:C25" si="6">B24*12</f>
        <v>88.78189907</v>
      </c>
      <c r="D24" s="2" t="s">
        <v>393</v>
      </c>
      <c r="E24" s="2"/>
      <c r="F24" s="2"/>
      <c r="G24" s="2"/>
      <c r="H24" s="244"/>
      <c r="I24" s="24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328" t="s">
        <v>394</v>
      </c>
      <c r="B25" s="233">
        <f>COUNT(B11:M11)+1-(SUM(B14:N14)-SUM(B16))/N14</f>
        <v>9.704842217</v>
      </c>
      <c r="C25" s="26">
        <f t="shared" si="6"/>
        <v>116.4581066</v>
      </c>
      <c r="D25" s="2" t="s">
        <v>393</v>
      </c>
      <c r="E25" s="2"/>
      <c r="F25" s="2"/>
      <c r="G25" s="2"/>
      <c r="H25" s="244"/>
      <c r="I25" s="24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0:A11"/>
  </mergeCells>
  <printOptions/>
  <pageMargins bottom="0.62" footer="0.0" header="0.0" left="0.75" right="0.75" top="0.65"/>
  <pageSetup paperSize="9" orientation="landscape"/>
  <rowBreaks count="1" manualBreakCount="1">
    <brk id="26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55.43"/>
    <col customWidth="1" min="2" max="2" width="13.57"/>
    <col customWidth="1" min="3" max="4" width="9.14"/>
    <col customWidth="1" min="5" max="5" width="18.0"/>
    <col customWidth="1" min="6" max="6" width="9.14"/>
    <col customWidth="1" min="7" max="26" width="8.71"/>
  </cols>
  <sheetData>
    <row r="1" ht="12.75" customHeight="1">
      <c r="A1" s="1" t="str">
        <f>Panel!A1</f>
        <v/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 t="str">
        <f>Panel!A2</f>
        <v>Строительство ГЭС -5 МВТ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" t="s">
        <v>395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29" t="s">
        <v>396</v>
      </c>
      <c r="B6" s="330">
        <f>'Инвестиции'!F15</f>
        <v>2355561.094</v>
      </c>
      <c r="C6" s="331">
        <f t="shared" ref="C6:C7" si="1">B6/SUM($B$6:$B$7)</f>
        <v>0.7824950004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329" t="s">
        <v>397</v>
      </c>
      <c r="B7" s="332">
        <f>'Инвестиции'!E15</f>
        <v>654759.8574</v>
      </c>
      <c r="C7" s="331">
        <f t="shared" si="1"/>
        <v>0.2175049996</v>
      </c>
      <c r="D7" s="237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 t="s">
        <v>398</v>
      </c>
      <c r="B8" s="24">
        <v>0.2</v>
      </c>
      <c r="C8" s="2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" t="s">
        <v>399</v>
      </c>
      <c r="B10" s="250">
        <f>C6*B26*(1-B8)+C7*B23</f>
        <v>0.09727176707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" t="s">
        <v>400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333" t="s">
        <v>401</v>
      </c>
      <c r="B14" s="334" t="s">
        <v>402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335" t="s">
        <v>403</v>
      </c>
      <c r="B15" s="335">
        <v>9.0</v>
      </c>
      <c r="C15" s="158" t="s">
        <v>404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335" t="s">
        <v>405</v>
      </c>
      <c r="B16" s="336">
        <v>1.2</v>
      </c>
      <c r="C16" s="158" t="s">
        <v>406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335" t="s">
        <v>407</v>
      </c>
      <c r="B17" s="337">
        <f>E49</f>
        <v>0.02789708439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338" t="s">
        <v>408</v>
      </c>
      <c r="B18" s="339"/>
      <c r="C18" s="34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335" t="s">
        <v>409</v>
      </c>
      <c r="B19" s="329"/>
      <c r="C19" s="34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335" t="s">
        <v>410</v>
      </c>
      <c r="B20" s="329"/>
      <c r="C20" s="34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335" t="s">
        <v>411</v>
      </c>
      <c r="B21" s="329"/>
      <c r="C21" s="3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340" t="s">
        <v>412</v>
      </c>
      <c r="B22" s="341">
        <f>SUM(B19:B21)</f>
        <v>0</v>
      </c>
      <c r="C22" s="3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342" t="s">
        <v>413</v>
      </c>
      <c r="B23" s="343">
        <f>(B15+B16*B17+B22)/100</f>
        <v>0.09033476501</v>
      </c>
      <c r="C23" s="3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34" t="s">
        <v>414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" t="s">
        <v>415</v>
      </c>
      <c r="B26" s="28">
        <v>0.124</v>
      </c>
      <c r="C26" s="158" t="s">
        <v>416</v>
      </c>
      <c r="D26" s="237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" t="s">
        <v>417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58" t="s">
        <v>418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344" t="s">
        <v>419</v>
      </c>
      <c r="B30" s="345" t="s">
        <v>420</v>
      </c>
      <c r="C30" s="345" t="s">
        <v>421</v>
      </c>
      <c r="D30" s="345" t="s">
        <v>422</v>
      </c>
      <c r="E30" s="345" t="s">
        <v>423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346">
        <v>2008.0</v>
      </c>
      <c r="B31" s="63">
        <v>904.0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347">
        <v>2009.0</v>
      </c>
      <c r="B32" s="63">
        <v>1768.26</v>
      </c>
      <c r="C32" s="348">
        <f>12*(((B32/B31)^(1/12))-1)</f>
        <v>0.6900320926</v>
      </c>
      <c r="D32" s="337">
        <v>0.07</v>
      </c>
      <c r="E32" s="349">
        <f t="shared" ref="E32:E48" si="2">C32-D32</f>
        <v>0.6200320926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350">
        <v>2010.0</v>
      </c>
      <c r="B33" s="63">
        <v>1718.09</v>
      </c>
      <c r="C33" s="349">
        <f t="shared" ref="C33:C40" si="3">12*(((B33/B32)^(1/12))-1)</f>
        <v>-0.02874831238</v>
      </c>
      <c r="D33" s="337">
        <v>0.07</v>
      </c>
      <c r="E33" s="349">
        <f t="shared" si="2"/>
        <v>-0.09874831238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347">
        <v>2011.0</v>
      </c>
      <c r="B34" s="63">
        <v>1105.58</v>
      </c>
      <c r="C34" s="349">
        <f t="shared" si="3"/>
        <v>-0.4328437701</v>
      </c>
      <c r="D34" s="337">
        <v>0.075</v>
      </c>
      <c r="E34" s="349">
        <f t="shared" si="2"/>
        <v>-0.5078437701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350">
        <v>2012.0</v>
      </c>
      <c r="B35" s="63">
        <v>969.7</v>
      </c>
      <c r="C35" s="349">
        <f t="shared" si="3"/>
        <v>-0.1304246652</v>
      </c>
      <c r="D35" s="337">
        <v>0.07</v>
      </c>
      <c r="E35" s="349">
        <f t="shared" si="2"/>
        <v>-0.2004246652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347">
        <v>2013.0</v>
      </c>
      <c r="B36" s="63">
        <v>918.01</v>
      </c>
      <c r="C36" s="349">
        <f t="shared" si="3"/>
        <v>-0.05465362321</v>
      </c>
      <c r="D36" s="337">
        <v>0.055</v>
      </c>
      <c r="E36" s="349">
        <f t="shared" si="2"/>
        <v>-0.1096536232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350">
        <v>2014.0</v>
      </c>
      <c r="B37" s="63">
        <v>941.86</v>
      </c>
      <c r="C37" s="349">
        <f t="shared" si="3"/>
        <v>0.02567578924</v>
      </c>
      <c r="D37" s="337">
        <v>0.055</v>
      </c>
      <c r="E37" s="349">
        <f t="shared" si="2"/>
        <v>-0.02932421076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347">
        <v>2015.0</v>
      </c>
      <c r="B38" s="63">
        <v>858.79</v>
      </c>
      <c r="C38" s="349">
        <f t="shared" si="3"/>
        <v>-0.0919779128</v>
      </c>
      <c r="D38" s="337">
        <v>0.055</v>
      </c>
      <c r="E38" s="349">
        <f t="shared" si="2"/>
        <v>-0.1469779128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350">
        <v>2016.0</v>
      </c>
      <c r="B39" s="351">
        <v>1357.87</v>
      </c>
      <c r="C39" s="349">
        <f t="shared" si="3"/>
        <v>0.4670063476</v>
      </c>
      <c r="D39" s="337">
        <v>0.055</v>
      </c>
      <c r="E39" s="349">
        <f t="shared" si="2"/>
        <v>0.4120063476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347">
        <v>2017.0</v>
      </c>
      <c r="B40" s="351">
        <v>2162.69</v>
      </c>
      <c r="C40" s="349">
        <f t="shared" si="3"/>
        <v>0.4745796199</v>
      </c>
      <c r="D40" s="337">
        <v>0.1025</v>
      </c>
      <c r="E40" s="349">
        <f t="shared" si="2"/>
        <v>0.3720796199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347">
        <v>2018.0</v>
      </c>
      <c r="B41" s="63">
        <v>2304.94</v>
      </c>
      <c r="C41" s="348">
        <f>12*(((B41/B40)^(1/12))-1)</f>
        <v>0.06387120821</v>
      </c>
      <c r="D41" s="337">
        <v>0.0925</v>
      </c>
      <c r="E41" s="349">
        <f t="shared" si="2"/>
        <v>-0.02862879179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350">
        <v>2019.0</v>
      </c>
      <c r="B42" s="63">
        <v>2363.79</v>
      </c>
      <c r="C42" s="349">
        <f t="shared" ref="C42:C48" si="4">12*(((B42/B41)^(1/12))-1)</f>
        <v>0.02523812033</v>
      </c>
      <c r="D42" s="337">
        <v>0.0925</v>
      </c>
      <c r="E42" s="349">
        <f t="shared" si="2"/>
        <v>-0.06726187967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346">
        <v>2026.0</v>
      </c>
      <c r="B43" s="63">
        <v>2675.58</v>
      </c>
      <c r="C43" s="349">
        <f t="shared" si="4"/>
        <v>0.1245417561</v>
      </c>
      <c r="D43" s="337">
        <v>0.09</v>
      </c>
      <c r="E43" s="349">
        <f t="shared" si="2"/>
        <v>0.03454175614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352">
        <v>2027.0</v>
      </c>
      <c r="B44" s="63">
        <v>3675.28</v>
      </c>
      <c r="C44" s="349">
        <f t="shared" si="4"/>
        <v>0.3216997035</v>
      </c>
      <c r="D44" s="337">
        <v>0.0975</v>
      </c>
      <c r="E44" s="349">
        <f t="shared" si="2"/>
        <v>0.2241997035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346">
        <v>2028.0</v>
      </c>
      <c r="B45" s="63">
        <v>3251.64</v>
      </c>
      <c r="C45" s="349">
        <f t="shared" si="4"/>
        <v>-0.1218470039</v>
      </c>
      <c r="D45" s="337">
        <v>0.1675</v>
      </c>
      <c r="E45" s="349">
        <f t="shared" si="2"/>
        <v>-0.2893470039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352">
        <v>2029.0</v>
      </c>
      <c r="B46" s="63">
        <v>4187.38</v>
      </c>
      <c r="C46" s="349">
        <f t="shared" si="4"/>
        <v>0.2555998451</v>
      </c>
      <c r="D46" s="337">
        <v>0.1575</v>
      </c>
      <c r="E46" s="349">
        <f t="shared" si="2"/>
        <v>0.09809984512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346">
        <v>2030.0</v>
      </c>
      <c r="B47" s="63">
        <v>5578.1</v>
      </c>
      <c r="C47" s="349">
        <f t="shared" si="4"/>
        <v>0.2902270507</v>
      </c>
      <c r="D47" s="337">
        <v>0.1525</v>
      </c>
      <c r="E47" s="349">
        <f t="shared" si="2"/>
        <v>0.1377270507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352">
        <v>2031.0</v>
      </c>
      <c r="B48" s="63">
        <v>7031.32</v>
      </c>
      <c r="C48" s="349">
        <f t="shared" si="4"/>
        <v>0.2337741889</v>
      </c>
      <c r="D48" s="337">
        <v>0.18</v>
      </c>
      <c r="E48" s="349">
        <f t="shared" si="2"/>
        <v>0.05377418885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353" t="s">
        <v>424</v>
      </c>
      <c r="B49" s="354"/>
      <c r="C49" s="355">
        <f t="shared" ref="C49:E49" si="5">AVERAGE(C32:C48)</f>
        <v>0.1242206138</v>
      </c>
      <c r="D49" s="343">
        <f t="shared" si="5"/>
        <v>0.09632352941</v>
      </c>
      <c r="E49" s="356">
        <f t="shared" si="5"/>
        <v>0.02789708439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C15"/>
    <hyperlink r:id="rId2" ref="C16"/>
    <hyperlink r:id="rId3" ref="C26"/>
    <hyperlink r:id="rId4" ref="A29"/>
  </hyperlinks>
  <printOptions/>
  <pageMargins bottom="1.0" footer="0.0" header="0.0" left="0.75" right="0.75" top="1.0"/>
  <pageSetup paperSize="9" orientation="portrait"/>
  <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1" t="str">
        <f>Panel!A2</f>
        <v>Строительство ГЭС -5 МВТ</v>
      </c>
    </row>
    <row r="4">
      <c r="A4" s="357" t="s">
        <v>425</v>
      </c>
    </row>
    <row r="6">
      <c r="A6" s="358" t="s">
        <v>426</v>
      </c>
      <c r="B6" s="358" t="s">
        <v>427</v>
      </c>
      <c r="C6" s="358" t="s">
        <v>428</v>
      </c>
      <c r="D6" s="358" t="s">
        <v>429</v>
      </c>
    </row>
    <row r="7">
      <c r="A7" s="358" t="s">
        <v>430</v>
      </c>
      <c r="B7" s="359">
        <v>548578.0</v>
      </c>
      <c r="C7" s="359">
        <v>658294.0869559638</v>
      </c>
      <c r="D7" s="360">
        <v>438863.0</v>
      </c>
    </row>
    <row r="8">
      <c r="A8" s="358" t="s">
        <v>431</v>
      </c>
      <c r="B8" s="359">
        <v>251732.0</v>
      </c>
      <c r="C8" s="359">
        <v>252280.58515714665</v>
      </c>
      <c r="D8" s="359">
        <v>251183.0</v>
      </c>
    </row>
    <row r="9">
      <c r="A9" s="358" t="s">
        <v>432</v>
      </c>
      <c r="B9" s="359">
        <v>2605678.0</v>
      </c>
      <c r="C9" s="359">
        <v>3736548.4432271295</v>
      </c>
      <c r="D9" s="359">
        <v>1431908.0</v>
      </c>
    </row>
    <row r="10">
      <c r="A10" s="358" t="s">
        <v>433</v>
      </c>
      <c r="B10" s="361">
        <v>0.187</v>
      </c>
      <c r="C10" s="361">
        <v>0.21966068091007535</v>
      </c>
      <c r="D10" s="361">
        <v>0.15</v>
      </c>
    </row>
    <row r="11">
      <c r="C11" s="362" t="s">
        <v>434</v>
      </c>
      <c r="D11" s="363">
        <v>-0.2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 outlineLevelRow="1"/>
  <cols>
    <col customWidth="1" min="1" max="1" width="25.43"/>
    <col customWidth="1" min="2" max="6" width="12.0"/>
    <col customWidth="1" min="7" max="7" width="13.14"/>
    <col customWidth="1" min="8" max="8" width="13.0"/>
    <col customWidth="1" min="9" max="10" width="11.86"/>
    <col customWidth="1" min="11" max="12" width="11.71"/>
    <col customWidth="1" min="13" max="15" width="9.14"/>
    <col customWidth="1" min="16" max="38" width="8.71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ht="12.75" customHeight="1">
      <c r="A2" s="1" t="str">
        <f>Panel!A2</f>
        <v>Строительство ГЭС -5 МВТ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ht="12.75" customHeight="1">
      <c r="A4" s="1" t="s">
        <v>435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ht="12.75" customHeight="1" outlineLevel="1">
      <c r="A6" s="364" t="s">
        <v>436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12.75" customHeight="1" outlineLevel="1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12.75" customHeight="1" outlineLevel="1">
      <c r="A8" s="34" t="s">
        <v>437</v>
      </c>
      <c r="B8" s="2"/>
      <c r="C8" s="367"/>
      <c r="D8" s="367"/>
      <c r="E8" s="367"/>
      <c r="F8" s="367"/>
      <c r="G8" s="2"/>
      <c r="H8" s="367"/>
      <c r="I8" s="367"/>
      <c r="J8" s="367"/>
      <c r="K8" s="36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12.75" customHeight="1" outlineLevel="1">
      <c r="A9" s="368" t="s">
        <v>438</v>
      </c>
      <c r="B9" s="369"/>
      <c r="C9" s="370" t="s">
        <v>439</v>
      </c>
      <c r="D9" s="371"/>
      <c r="E9" s="371"/>
      <c r="F9" s="371"/>
      <c r="G9" s="371"/>
      <c r="H9" s="371"/>
      <c r="I9" s="371"/>
      <c r="J9" s="371"/>
      <c r="K9" s="371"/>
      <c r="L9" s="37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12.75" customHeight="1" outlineLevel="1">
      <c r="A10" s="373"/>
      <c r="B10" s="374">
        <v>-0.25</v>
      </c>
      <c r="C10" s="374">
        <v>-0.2</v>
      </c>
      <c r="D10" s="374">
        <v>-0.15</v>
      </c>
      <c r="E10" s="374">
        <v>-0.1</v>
      </c>
      <c r="F10" s="374">
        <v>-0.05</v>
      </c>
      <c r="G10" s="375" t="s">
        <v>440</v>
      </c>
      <c r="H10" s="374">
        <v>0.05</v>
      </c>
      <c r="I10" s="374">
        <v>0.1</v>
      </c>
      <c r="J10" s="374">
        <v>0.15</v>
      </c>
      <c r="K10" s="374">
        <v>0.2</v>
      </c>
      <c r="L10" s="376">
        <v>0.25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12.75" customHeight="1" outlineLevel="1">
      <c r="A11" s="377" t="s">
        <v>441</v>
      </c>
      <c r="B11" s="369"/>
      <c r="C11" s="378"/>
      <c r="D11" s="378"/>
      <c r="E11" s="378"/>
      <c r="F11" s="378"/>
      <c r="G11" s="379"/>
      <c r="H11" s="380"/>
      <c r="I11" s="380"/>
      <c r="J11" s="380"/>
      <c r="K11" s="380"/>
      <c r="L11" s="38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12.75" customHeight="1" outlineLevel="1">
      <c r="A12" s="382" t="s">
        <v>8</v>
      </c>
      <c r="B12" s="383">
        <v>327.1008651785427</v>
      </c>
      <c r="C12" s="383">
        <v>573.6201717026913</v>
      </c>
      <c r="D12" s="383">
        <v>819.7593881857432</v>
      </c>
      <c r="E12" s="383">
        <v>1054.4044155124695</v>
      </c>
      <c r="F12" s="383">
        <v>1287.2738540375242</v>
      </c>
      <c r="G12" s="383">
        <f>'ОСДП'!$B$19/1000</f>
        <v>2605.678032</v>
      </c>
      <c r="H12" s="383">
        <v>1753.0127310876344</v>
      </c>
      <c r="I12" s="383">
        <v>1978.7768397032823</v>
      </c>
      <c r="J12" s="383">
        <v>2202.843322881549</v>
      </c>
      <c r="K12" s="383">
        <v>2426.909806059815</v>
      </c>
      <c r="L12" s="383">
        <v>2650.9762892380804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12.75" customHeight="1" outlineLevel="1">
      <c r="A13" s="382" t="s">
        <v>442</v>
      </c>
      <c r="B13" s="337">
        <v>0.11049273187766359</v>
      </c>
      <c r="C13" s="349">
        <v>0.11990355896515179</v>
      </c>
      <c r="D13" s="349">
        <v>0.1290196525548619</v>
      </c>
      <c r="E13" s="349">
        <v>0.1374248365991255</v>
      </c>
      <c r="F13" s="337">
        <v>0.14554988187223003</v>
      </c>
      <c r="G13" s="337">
        <f>'ОСДП'!$B$20</f>
        <v>0.1869666764</v>
      </c>
      <c r="H13" s="349">
        <v>0.16126346724033655</v>
      </c>
      <c r="I13" s="349">
        <v>0.16861175261592296</v>
      </c>
      <c r="J13" s="349">
        <v>0.17576484721811855</v>
      </c>
      <c r="K13" s="349">
        <v>0.18280350155750333</v>
      </c>
      <c r="L13" s="337">
        <v>0.1897396857784299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12.75" customHeight="1" outlineLevel="1">
      <c r="A14" s="382" t="s">
        <v>443</v>
      </c>
      <c r="B14" s="337">
        <f t="shared" ref="B14:F14" si="1">B12/$G$12-1</f>
        <v>-0.8744661232</v>
      </c>
      <c r="C14" s="349">
        <f t="shared" si="1"/>
        <v>-0.7798576169</v>
      </c>
      <c r="D14" s="349">
        <f t="shared" si="1"/>
        <v>-0.6853949805</v>
      </c>
      <c r="E14" s="349">
        <f t="shared" si="1"/>
        <v>-0.5953435527</v>
      </c>
      <c r="F14" s="349">
        <f t="shared" si="1"/>
        <v>-0.5059735554</v>
      </c>
      <c r="G14" s="337">
        <v>0.0</v>
      </c>
      <c r="H14" s="337">
        <f t="shared" ref="H14:L14" si="2">H12/$G$12-1</f>
        <v>-0.327233561</v>
      </c>
      <c r="I14" s="337">
        <f t="shared" si="2"/>
        <v>-0.2405904279</v>
      </c>
      <c r="J14" s="349">
        <f t="shared" si="2"/>
        <v>-0.1545988048</v>
      </c>
      <c r="K14" s="349">
        <f t="shared" si="2"/>
        <v>-0.06860718177</v>
      </c>
      <c r="L14" s="337">
        <f t="shared" si="2"/>
        <v>0.01738444129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12.75" customHeight="1" outlineLevel="1">
      <c r="A15" s="384" t="s">
        <v>444</v>
      </c>
      <c r="B15" s="385">
        <f t="shared" ref="B15:F15" si="3">B13/$G$13-1</f>
        <v>-0.4090244637</v>
      </c>
      <c r="C15" s="386">
        <f t="shared" si="3"/>
        <v>-0.3586902155</v>
      </c>
      <c r="D15" s="386">
        <f t="shared" si="3"/>
        <v>-0.3099323632</v>
      </c>
      <c r="E15" s="386">
        <f t="shared" si="3"/>
        <v>-0.2649768439</v>
      </c>
      <c r="F15" s="386">
        <f t="shared" si="3"/>
        <v>-0.2215196598</v>
      </c>
      <c r="G15" s="385">
        <v>0.0</v>
      </c>
      <c r="H15" s="385">
        <f t="shared" ref="H15:L15" si="4">H13/$G$13-1</f>
        <v>-0.1374748146</v>
      </c>
      <c r="I15" s="385">
        <f t="shared" si="4"/>
        <v>-0.09817216714</v>
      </c>
      <c r="J15" s="386">
        <f t="shared" si="4"/>
        <v>-0.05991350662</v>
      </c>
      <c r="K15" s="386">
        <f t="shared" si="4"/>
        <v>-0.02226693519</v>
      </c>
      <c r="L15" s="385">
        <f t="shared" si="4"/>
        <v>0.01483157003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12.75" customHeight="1" outlineLevel="1">
      <c r="A16" s="2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12.75" customHeight="1" outlineLevel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12.75" customHeight="1" outlineLevel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1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12.75" customHeight="1" outlineLevel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12.75" customHeight="1" outlineLevel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12.75" customHeight="1" outlineLevel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ht="12.75" customHeight="1" outlineLevel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12.75" customHeight="1" outlineLevel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12.75" customHeight="1" outlineLevel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12.75" customHeight="1" outlineLevel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12.75" customHeight="1" outlineLevel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12.75" customHeight="1" outlineLevel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12.75" customHeight="1" outlineLevel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12.75" customHeight="1" outlineLevel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12.75" customHeight="1" outlineLevel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12.75" customHeight="1" outlineLevel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12.75" customHeight="1" outlineLevel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12.75" customHeight="1" outlineLevel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12.75" customHeight="1" outlineLevel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12.75" customHeight="1" outlineLevel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12.75" customHeight="1" outlineLevel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12.75" customHeight="1" outlineLevel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12.75" customHeight="1" outlineLevel="1">
      <c r="A39" s="364" t="s">
        <v>445</v>
      </c>
      <c r="B39" s="365"/>
      <c r="C39" s="365"/>
      <c r="D39" s="365"/>
      <c r="E39" s="365"/>
      <c r="F39" s="365"/>
      <c r="G39" s="365"/>
      <c r="H39" s="365"/>
      <c r="I39" s="365"/>
      <c r="J39" s="365"/>
      <c r="K39" s="365"/>
      <c r="L39" s="366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12.75" customHeight="1" outlineLevel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12.75" customHeight="1" outlineLevel="1">
      <c r="A41" s="368" t="s">
        <v>438</v>
      </c>
      <c r="B41" s="369"/>
      <c r="C41" s="370" t="s">
        <v>439</v>
      </c>
      <c r="D41" s="371"/>
      <c r="E41" s="371"/>
      <c r="F41" s="371"/>
      <c r="G41" s="371"/>
      <c r="H41" s="371"/>
      <c r="I41" s="371"/>
      <c r="J41" s="371"/>
      <c r="K41" s="371"/>
      <c r="L41" s="37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12.75" customHeight="1" outlineLevel="1">
      <c r="A42" s="373"/>
      <c r="B42" s="374">
        <v>-0.25</v>
      </c>
      <c r="C42" s="374">
        <v>-0.2</v>
      </c>
      <c r="D42" s="374">
        <v>-0.15</v>
      </c>
      <c r="E42" s="374">
        <v>-0.1</v>
      </c>
      <c r="F42" s="374">
        <v>-0.05</v>
      </c>
      <c r="G42" s="375" t="s">
        <v>440</v>
      </c>
      <c r="H42" s="374">
        <v>0.05</v>
      </c>
      <c r="I42" s="374">
        <v>0.1</v>
      </c>
      <c r="J42" s="374">
        <v>0.15</v>
      </c>
      <c r="K42" s="374">
        <v>0.2</v>
      </c>
      <c r="L42" s="376">
        <v>0.25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12.75" customHeight="1" outlineLevel="1">
      <c r="A43" s="387" t="s">
        <v>446</v>
      </c>
      <c r="B43" s="369"/>
      <c r="C43" s="378"/>
      <c r="D43" s="378"/>
      <c r="E43" s="378"/>
      <c r="F43" s="378"/>
      <c r="G43" s="379"/>
      <c r="H43" s="380"/>
      <c r="I43" s="380"/>
      <c r="J43" s="380"/>
      <c r="K43" s="380"/>
      <c r="L43" s="381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12.75" customHeight="1" outlineLevel="1">
      <c r="A44" s="382" t="s">
        <v>8</v>
      </c>
      <c r="B44" s="383">
        <v>86.32080952289793</v>
      </c>
      <c r="C44" s="383">
        <v>78.60319636518787</v>
      </c>
      <c r="D44" s="383">
        <v>70.88558320747968</v>
      </c>
      <c r="E44" s="383">
        <v>63.167970049770545</v>
      </c>
      <c r="F44" s="383">
        <v>55.450356892064214</v>
      </c>
      <c r="G44" s="383">
        <f>'ОСДП'!$B$19/1000</f>
        <v>2605.678032</v>
      </c>
      <c r="H44" s="383">
        <v>40.01513057664689</v>
      </c>
      <c r="I44" s="383">
        <v>32.29751741893962</v>
      </c>
      <c r="J44" s="383">
        <v>24.579904261231423</v>
      </c>
      <c r="K44" s="383">
        <v>16.862291103523226</v>
      </c>
      <c r="L44" s="383">
        <v>9.144677945815959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12.75" customHeight="1" outlineLevel="1">
      <c r="A45" s="382" t="s">
        <v>442</v>
      </c>
      <c r="B45" s="337">
        <v>0.10208097675757066</v>
      </c>
      <c r="C45" s="349">
        <v>0.10189342941962709</v>
      </c>
      <c r="D45" s="349">
        <v>0.1017057459025913</v>
      </c>
      <c r="E45" s="349">
        <v>0.10151792586973774</v>
      </c>
      <c r="F45" s="349">
        <v>0.10132996898300195</v>
      </c>
      <c r="G45" s="337">
        <f>'ОСДП'!$B$20</f>
        <v>0.1869666764</v>
      </c>
      <c r="H45" s="349">
        <v>0.10095364328889633</v>
      </c>
      <c r="I45" s="349">
        <v>0.10076527379864342</v>
      </c>
      <c r="J45" s="349">
        <v>0.10057676608872812</v>
      </c>
      <c r="K45" s="349">
        <v>0.1003881198142883</v>
      </c>
      <c r="L45" s="337">
        <v>0.10019933462908026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12.75" customHeight="1" outlineLevel="1">
      <c r="A46" s="382" t="s">
        <v>443</v>
      </c>
      <c r="B46" s="337">
        <f t="shared" ref="B46:F46" si="5">B44/$G$44-1</f>
        <v>-0.9668720354</v>
      </c>
      <c r="C46" s="349">
        <f t="shared" si="5"/>
        <v>-0.9698338799</v>
      </c>
      <c r="D46" s="349">
        <f t="shared" si="5"/>
        <v>-0.9727957244</v>
      </c>
      <c r="E46" s="349">
        <f t="shared" si="5"/>
        <v>-0.9757575689</v>
      </c>
      <c r="F46" s="349">
        <f t="shared" si="5"/>
        <v>-0.9787194134</v>
      </c>
      <c r="G46" s="349">
        <v>0.0</v>
      </c>
      <c r="H46" s="337">
        <f t="shared" ref="H46:I46" si="6">H44/$G$44-1</f>
        <v>-0.9846431025</v>
      </c>
      <c r="I46" s="349">
        <f t="shared" si="6"/>
        <v>-0.987604947</v>
      </c>
      <c r="J46" s="349">
        <v>0.0</v>
      </c>
      <c r="K46" s="349">
        <f t="shared" ref="K46:L46" si="7">K44/$G$44-1</f>
        <v>-0.993528636</v>
      </c>
      <c r="L46" s="337">
        <f t="shared" si="7"/>
        <v>-0.9964904805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12.75" customHeight="1" outlineLevel="1">
      <c r="A47" s="384" t="s">
        <v>444</v>
      </c>
      <c r="B47" s="385">
        <f t="shared" ref="B47:F47" si="8">B45/$G$45-1</f>
        <v>-0.4540151287</v>
      </c>
      <c r="C47" s="386">
        <f t="shared" si="8"/>
        <v>-0.4550182344</v>
      </c>
      <c r="D47" s="386">
        <f t="shared" si="8"/>
        <v>-0.4560220685</v>
      </c>
      <c r="E47" s="386">
        <f t="shared" si="8"/>
        <v>-0.4570266327</v>
      </c>
      <c r="F47" s="386">
        <f t="shared" si="8"/>
        <v>-0.4580319289</v>
      </c>
      <c r="G47" s="386">
        <v>0.0</v>
      </c>
      <c r="H47" s="385">
        <f t="shared" ref="H47:L47" si="9">H45/$G$45-1</f>
        <v>-0.4600447244</v>
      </c>
      <c r="I47" s="386">
        <f t="shared" si="9"/>
        <v>-0.4610522275</v>
      </c>
      <c r="J47" s="386">
        <f t="shared" si="9"/>
        <v>-0.4620604697</v>
      </c>
      <c r="K47" s="386">
        <f t="shared" si="9"/>
        <v>-0.4630694532</v>
      </c>
      <c r="L47" s="385">
        <f t="shared" si="9"/>
        <v>-0.4640791795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12.75" customHeight="1" outlineLevel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12.75" customHeight="1" outlineLevel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12.75" customHeight="1" outlineLevel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12.75" customHeight="1" outlineLevel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12.75" customHeight="1" outlineLevel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12.75" customHeight="1" outlineLevel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12.75" customHeight="1" outlineLevel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12.75" customHeight="1" outlineLevel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12.75" customHeight="1" outlineLevel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12.75" customHeight="1" outlineLevel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12.75" customHeight="1" outlineLevel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12.75" customHeight="1" outlineLevel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12.75" customHeight="1" outlineLevel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12.75" customHeight="1" outlineLevel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12.75" customHeight="1" outlineLevel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12.75" customHeight="1" outlineLevel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12.75" customHeight="1" outlineLevel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12.75" customHeight="1" outlineLevel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12.75" customHeight="1" outlineLevel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12.75" customHeight="1" outlineLevel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12.75" customHeight="1" outlineLevel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12.75" customHeight="1" outlineLevel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12.75" customHeight="1" outlineLevel="1">
      <c r="A78" s="364" t="s">
        <v>447</v>
      </c>
      <c r="B78" s="365"/>
      <c r="C78" s="365"/>
      <c r="D78" s="365"/>
      <c r="E78" s="365"/>
      <c r="F78" s="365"/>
      <c r="G78" s="365"/>
      <c r="H78" s="365"/>
      <c r="I78" s="365"/>
      <c r="J78" s="365"/>
      <c r="K78" s="365"/>
      <c r="L78" s="366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12.75" customHeight="1" outlineLevel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12.75" customHeight="1" outlineLevel="1">
      <c r="A80" s="368" t="s">
        <v>438</v>
      </c>
      <c r="B80" s="369"/>
      <c r="C80" s="370" t="s">
        <v>439</v>
      </c>
      <c r="D80" s="371"/>
      <c r="E80" s="371"/>
      <c r="F80" s="371"/>
      <c r="G80" s="371"/>
      <c r="H80" s="371"/>
      <c r="I80" s="371"/>
      <c r="J80" s="371"/>
      <c r="K80" s="371"/>
      <c r="L80" s="37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12.75" customHeight="1" outlineLevel="1">
      <c r="A81" s="373"/>
      <c r="B81" s="374">
        <v>-0.25</v>
      </c>
      <c r="C81" s="374">
        <v>-0.2</v>
      </c>
      <c r="D81" s="374">
        <v>-0.15</v>
      </c>
      <c r="E81" s="374">
        <v>-0.1</v>
      </c>
      <c r="F81" s="374">
        <v>-0.05</v>
      </c>
      <c r="G81" s="375" t="s">
        <v>440</v>
      </c>
      <c r="H81" s="374">
        <v>0.05</v>
      </c>
      <c r="I81" s="374">
        <v>0.1</v>
      </c>
      <c r="J81" s="374">
        <v>0.15</v>
      </c>
      <c r="K81" s="374">
        <v>0.2</v>
      </c>
      <c r="L81" s="376">
        <v>0.25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12.75" customHeight="1" outlineLevel="1">
      <c r="A82" s="387" t="s">
        <v>446</v>
      </c>
      <c r="B82" s="369"/>
      <c r="C82" s="378"/>
      <c r="D82" s="378"/>
      <c r="E82" s="378"/>
      <c r="F82" s="378"/>
      <c r="G82" s="379"/>
      <c r="H82" s="380"/>
      <c r="I82" s="380"/>
      <c r="J82" s="380"/>
      <c r="K82" s="380"/>
      <c r="L82" s="381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12.75" customHeight="1" outlineLevel="1">
      <c r="A83" s="382" t="s">
        <v>8</v>
      </c>
      <c r="B83" s="383">
        <v>1727.056772750367</v>
      </c>
      <c r="C83" s="383">
        <v>1687.918581453626</v>
      </c>
      <c r="D83" s="383">
        <v>1647.0166198614202</v>
      </c>
      <c r="E83" s="383">
        <v>1604.7944570494988</v>
      </c>
      <c r="F83" s="383">
        <v>1562.5021836259523</v>
      </c>
      <c r="G83" s="383">
        <f>'ОСДП'!$B$19/1000</f>
        <v>2605.678032</v>
      </c>
      <c r="H83" s="383">
        <v>1477.7210486019953</v>
      </c>
      <c r="I83" s="383">
        <v>1435.2385065972205</v>
      </c>
      <c r="J83" s="383">
        <v>1392.6985281119896</v>
      </c>
      <c r="K83" s="383">
        <v>1350.1037964690818</v>
      </c>
      <c r="L83" s="383">
        <v>1307.4568304150566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12.75" customHeight="1" outlineLevel="1">
      <c r="A84" s="382" t="s">
        <v>442</v>
      </c>
      <c r="B84" s="337">
        <v>0.16585323929549922</v>
      </c>
      <c r="C84" s="337">
        <v>0.16332523106034583</v>
      </c>
      <c r="D84" s="337">
        <v>0.16079964225309032</v>
      </c>
      <c r="E84" s="337">
        <v>0.15829433351312922</v>
      </c>
      <c r="F84" s="337">
        <v>0.1558585514178542</v>
      </c>
      <c r="G84" s="337">
        <f>'ОСДП'!$B$20</f>
        <v>0.1869666764</v>
      </c>
      <c r="H84" s="337">
        <v>0.151182509871679</v>
      </c>
      <c r="I84" s="337">
        <v>0.14893625332575094</v>
      </c>
      <c r="J84" s="337">
        <v>0.1467474942964213</v>
      </c>
      <c r="K84" s="337">
        <v>0.14461369017849612</v>
      </c>
      <c r="L84" s="337">
        <v>0.1425324549940914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12.75" customHeight="1" outlineLevel="1">
      <c r="A85" s="382" t="s">
        <v>443</v>
      </c>
      <c r="B85" s="337">
        <f t="shared" ref="B85:F85" si="10">B83/$G$44-1</f>
        <v>-0.3371948678</v>
      </c>
      <c r="C85" s="349">
        <f t="shared" si="10"/>
        <v>-0.352215216</v>
      </c>
      <c r="D85" s="349">
        <f t="shared" si="10"/>
        <v>-0.3679124591</v>
      </c>
      <c r="E85" s="349">
        <f t="shared" si="10"/>
        <v>-0.3841163655</v>
      </c>
      <c r="F85" s="349">
        <f t="shared" si="10"/>
        <v>-0.4003471787</v>
      </c>
      <c r="G85" s="349">
        <v>0.0</v>
      </c>
      <c r="H85" s="337">
        <f t="shared" ref="H85:L85" si="11">H83/$G$44-1</f>
        <v>-0.4328842512</v>
      </c>
      <c r="I85" s="349">
        <f t="shared" si="11"/>
        <v>-0.4491880851</v>
      </c>
      <c r="J85" s="349">
        <f t="shared" si="11"/>
        <v>-0.4655139619</v>
      </c>
      <c r="K85" s="349">
        <f t="shared" si="11"/>
        <v>-0.4818608517</v>
      </c>
      <c r="L85" s="337">
        <f t="shared" si="11"/>
        <v>-0.4982277879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12.75" customHeight="1" outlineLevel="1">
      <c r="A86" s="384" t="s">
        <v>444</v>
      </c>
      <c r="B86" s="385">
        <f t="shared" ref="B86:F86" si="12">B84/$G$45-1</f>
        <v>-0.1129262045</v>
      </c>
      <c r="C86" s="386">
        <f t="shared" si="12"/>
        <v>-0.1264473746</v>
      </c>
      <c r="D86" s="386">
        <f t="shared" si="12"/>
        <v>-0.1399556042</v>
      </c>
      <c r="E86" s="386">
        <f t="shared" si="12"/>
        <v>-0.153355365</v>
      </c>
      <c r="F86" s="386">
        <f t="shared" si="12"/>
        <v>-0.1663832593</v>
      </c>
      <c r="G86" s="386">
        <v>0.0</v>
      </c>
      <c r="H86" s="385">
        <f t="shared" ref="H86:L86" si="13">H84/$G$45-1</f>
        <v>-0.1913932859</v>
      </c>
      <c r="I86" s="386">
        <f t="shared" si="13"/>
        <v>-0.2034074939</v>
      </c>
      <c r="J86" s="386">
        <f t="shared" si="13"/>
        <v>-0.2151141738</v>
      </c>
      <c r="K86" s="386">
        <f t="shared" si="13"/>
        <v>-0.2265269248</v>
      </c>
      <c r="L86" s="385">
        <f t="shared" si="13"/>
        <v>-0.2376585083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12.75" customHeight="1" outlineLevel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12.75" customHeight="1" outlineLevel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12.75" customHeight="1" outlineLevel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12.75" customHeight="1" outlineLevel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12.75" customHeight="1" outlineLevel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12.75" customHeight="1" outlineLevel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12.75" customHeight="1" outlineLevel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12.75" customHeight="1" outlineLevel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12.75" customHeight="1" outlineLevel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12.75" customHeight="1" outlineLevel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12.75" customHeight="1" outlineLevel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12.75" customHeight="1" outlineLevel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12.75" customHeight="1" outlineLevel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12.75" customHeight="1" outlineLevel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12.75" customHeight="1" outlineLevel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12.75" customHeight="1" outlineLevel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12.75" customHeight="1" outlineLevel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12.75" customHeight="1" outlineLevel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12.75" customHeight="1" outlineLevel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12.75" customHeight="1" outlineLevel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12.75" customHeight="1" outlineLevel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12.75" customHeight="1" outlineLevel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12.75" customHeight="1">
      <c r="A111" s="364" t="s">
        <v>448</v>
      </c>
      <c r="B111" s="365"/>
      <c r="C111" s="365"/>
      <c r="D111" s="365"/>
      <c r="E111" s="365"/>
      <c r="F111" s="365"/>
      <c r="G111" s="365"/>
      <c r="H111" s="365"/>
      <c r="I111" s="365"/>
      <c r="J111" s="365"/>
      <c r="K111" s="365"/>
      <c r="L111" s="366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12.75" customHeight="1">
      <c r="A113" s="368" t="s">
        <v>438</v>
      </c>
      <c r="B113" s="369"/>
      <c r="C113" s="370" t="s">
        <v>439</v>
      </c>
      <c r="D113" s="371"/>
      <c r="E113" s="371"/>
      <c r="F113" s="371"/>
      <c r="G113" s="371"/>
      <c r="H113" s="371"/>
      <c r="I113" s="371"/>
      <c r="J113" s="371"/>
      <c r="K113" s="371"/>
      <c r="L113" s="37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12.75" customHeight="1">
      <c r="A114" s="373"/>
      <c r="B114" s="374">
        <v>-0.25</v>
      </c>
      <c r="C114" s="374">
        <v>-0.2</v>
      </c>
      <c r="D114" s="374">
        <v>-0.15</v>
      </c>
      <c r="E114" s="374">
        <v>-0.1</v>
      </c>
      <c r="F114" s="374">
        <v>-0.05</v>
      </c>
      <c r="G114" s="375" t="s">
        <v>440</v>
      </c>
      <c r="H114" s="374">
        <v>0.05</v>
      </c>
      <c r="I114" s="374">
        <v>0.1</v>
      </c>
      <c r="J114" s="374">
        <v>0.15</v>
      </c>
      <c r="K114" s="374">
        <v>0.2</v>
      </c>
      <c r="L114" s="376">
        <v>0.25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12.75" customHeight="1">
      <c r="A115" s="387" t="s">
        <v>446</v>
      </c>
      <c r="B115" s="369"/>
      <c r="C115" s="378"/>
      <c r="D115" s="378"/>
      <c r="E115" s="378"/>
      <c r="F115" s="378"/>
      <c r="G115" s="379"/>
      <c r="H115" s="380"/>
      <c r="I115" s="380"/>
      <c r="J115" s="380"/>
      <c r="K115" s="380"/>
      <c r="L115" s="381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12.75" customHeight="1">
      <c r="A116" s="382" t="s">
        <v>8</v>
      </c>
      <c r="B116" s="383">
        <v>1960.5398462057365</v>
      </c>
      <c r="C116" s="383">
        <v>1874.186339406653</v>
      </c>
      <c r="D116" s="383">
        <v>1788.039608327251</v>
      </c>
      <c r="E116" s="383">
        <v>1702.0787085192833</v>
      </c>
      <c r="F116" s="383">
        <v>1611.222694702322</v>
      </c>
      <c r="G116" s="383">
        <f>'ОСДП'!$B$19/1000</f>
        <v>2605.678032</v>
      </c>
      <c r="H116" s="383">
        <v>1429.204891731121</v>
      </c>
      <c r="I116" s="383">
        <v>1338.3949110022033</v>
      </c>
      <c r="J116" s="383">
        <v>1247.7022227145126</v>
      </c>
      <c r="K116" s="383">
        <v>1157.1169487299835</v>
      </c>
      <c r="L116" s="383">
        <v>1066.6302898378176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12.75" customHeight="1">
      <c r="A117" s="382" t="s">
        <v>442</v>
      </c>
      <c r="B117" s="337">
        <v>0.1794425037201972</v>
      </c>
      <c r="C117" s="337">
        <v>0.17372381624761002</v>
      </c>
      <c r="D117" s="337">
        <v>0.16834171924444086</v>
      </c>
      <c r="E117" s="337">
        <v>0.16326316819876557</v>
      </c>
      <c r="F117" s="337">
        <v>0.1582524760106018</v>
      </c>
      <c r="G117" s="337">
        <f>'ОСДП'!$B$20</f>
        <v>0.1869666764</v>
      </c>
      <c r="H117" s="337">
        <v>0.1489655259486118</v>
      </c>
      <c r="I117" s="337">
        <v>0.14466176864792119</v>
      </c>
      <c r="J117" s="337">
        <v>0.14055970110766688</v>
      </c>
      <c r="K117" s="337">
        <v>0.1366433342038044</v>
      </c>
      <c r="L117" s="337">
        <v>0.13289841314739684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12.75" customHeight="1">
      <c r="A118" s="382" t="s">
        <v>443</v>
      </c>
      <c r="B118" s="337">
        <f t="shared" ref="B118:F118" si="14">B116/$G$44-1</f>
        <v>-0.2475893715</v>
      </c>
      <c r="C118" s="349">
        <f t="shared" si="14"/>
        <v>-0.2807298845</v>
      </c>
      <c r="D118" s="349">
        <f t="shared" si="14"/>
        <v>-0.3137910417</v>
      </c>
      <c r="E118" s="349">
        <f t="shared" si="14"/>
        <v>-0.3467808811</v>
      </c>
      <c r="F118" s="349">
        <f t="shared" si="14"/>
        <v>-0.381649354</v>
      </c>
      <c r="G118" s="349">
        <v>0.0</v>
      </c>
      <c r="H118" s="337">
        <f t="shared" ref="H118:L118" si="15">H116/$G$44-1</f>
        <v>-0.4515036494</v>
      </c>
      <c r="I118" s="349">
        <f t="shared" si="15"/>
        <v>-0.4863544558</v>
      </c>
      <c r="J118" s="349">
        <f t="shared" si="15"/>
        <v>-0.5211602481</v>
      </c>
      <c r="K118" s="349">
        <f t="shared" si="15"/>
        <v>-0.5559248171</v>
      </c>
      <c r="L118" s="337">
        <f t="shared" si="15"/>
        <v>-0.59065154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12.75" customHeight="1">
      <c r="A119" s="384" t="s">
        <v>444</v>
      </c>
      <c r="B119" s="385">
        <f t="shared" ref="B119:F119" si="16">B117/$G$45-1</f>
        <v>-0.04024338908</v>
      </c>
      <c r="C119" s="386">
        <f t="shared" si="16"/>
        <v>-0.07083005608</v>
      </c>
      <c r="D119" s="386">
        <f t="shared" si="16"/>
        <v>-0.09961645324</v>
      </c>
      <c r="E119" s="386">
        <f t="shared" si="16"/>
        <v>-0.1267793207</v>
      </c>
      <c r="F119" s="386">
        <f t="shared" si="16"/>
        <v>-0.1535792418</v>
      </c>
      <c r="G119" s="386">
        <v>0.0</v>
      </c>
      <c r="H119" s="385">
        <f t="shared" ref="H119:L119" si="17">H117/$G$45-1</f>
        <v>-0.2032509279</v>
      </c>
      <c r="I119" s="386">
        <f t="shared" si="17"/>
        <v>-0.2262697748</v>
      </c>
      <c r="J119" s="386">
        <f t="shared" si="17"/>
        <v>-0.2482098746</v>
      </c>
      <c r="K119" s="386">
        <f t="shared" si="17"/>
        <v>-0.2691567459</v>
      </c>
      <c r="L119" s="385">
        <f t="shared" si="17"/>
        <v>-0.2891866311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12.75" customHeight="1">
      <c r="A145" s="1" t="s">
        <v>449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12.75" customHeight="1">
      <c r="A147" s="388" t="s">
        <v>450</v>
      </c>
      <c r="B147" s="389"/>
      <c r="C147" s="389"/>
      <c r="D147" s="389"/>
      <c r="E147" s="389"/>
      <c r="F147" s="389"/>
      <c r="G147" s="389"/>
      <c r="H147" s="389"/>
      <c r="I147" s="390" t="s">
        <v>451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12.75" customHeight="1">
      <c r="A148" s="1" t="s">
        <v>452</v>
      </c>
      <c r="B148" s="391">
        <v>2026.0</v>
      </c>
      <c r="C148" s="391">
        <v>2027.0</v>
      </c>
      <c r="D148" s="391">
        <v>2028.0</v>
      </c>
      <c r="E148" s="391">
        <v>2029.0</v>
      </c>
      <c r="F148" s="391">
        <v>2030.0</v>
      </c>
      <c r="G148" s="391">
        <v>2031.0</v>
      </c>
      <c r="H148" s="391">
        <v>2032.0</v>
      </c>
      <c r="I148" s="18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12.75" customHeight="1">
      <c r="A149" s="1" t="s">
        <v>453</v>
      </c>
      <c r="B149" s="70">
        <v>0.9764056469491476</v>
      </c>
      <c r="C149" s="70">
        <v>0.9289858249171785</v>
      </c>
      <c r="D149" s="70">
        <v>1.0333024197075205</v>
      </c>
      <c r="E149" s="70">
        <v>0.6397877705526367</v>
      </c>
      <c r="F149" s="70">
        <v>0.5952164818686143</v>
      </c>
      <c r="G149" s="70">
        <v>0.659479204841414</v>
      </c>
      <c r="H149" s="70">
        <v>0.9126525682129759</v>
      </c>
      <c r="I149" s="70">
        <f t="shared" ref="I149:I159" si="18">AVERAGE(B149:H149)</f>
        <v>0.8208328453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12.75" customHeight="1">
      <c r="A150" s="1" t="s">
        <v>454</v>
      </c>
      <c r="B150" s="70">
        <v>1.0599373914725967</v>
      </c>
      <c r="C150" s="70">
        <v>1.0069758195321186</v>
      </c>
      <c r="D150" s="70">
        <v>1.1186234738162648</v>
      </c>
      <c r="E150" s="70">
        <v>0.6918079058199913</v>
      </c>
      <c r="F150" s="70">
        <v>0.6429414310630802</v>
      </c>
      <c r="G150" s="70">
        <v>0.7116902992601595</v>
      </c>
      <c r="H150" s="70">
        <v>0.9840778960121469</v>
      </c>
      <c r="I150" s="70">
        <f t="shared" si="18"/>
        <v>0.8880077453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12.75" customHeight="1">
      <c r="A151" s="1" t="s">
        <v>455</v>
      </c>
      <c r="B151" s="70">
        <v>1.1434691359960456</v>
      </c>
      <c r="C151" s="70">
        <v>1.0849658141470582</v>
      </c>
      <c r="D151" s="70">
        <v>1.203944527925009</v>
      </c>
      <c r="E151" s="70">
        <v>0.7438280410873459</v>
      </c>
      <c r="F151" s="70">
        <v>0.6906663802575457</v>
      </c>
      <c r="G151" s="70">
        <v>0.7639013936789047</v>
      </c>
      <c r="H151" s="70">
        <v>1.0555032238113176</v>
      </c>
      <c r="I151" s="70">
        <f t="shared" si="18"/>
        <v>0.9551826453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12.75" customHeight="1">
      <c r="A152" s="1" t="s">
        <v>456</v>
      </c>
      <c r="B152" s="70">
        <v>1.227000880519495</v>
      </c>
      <c r="C152" s="70">
        <v>1.162955808761998</v>
      </c>
      <c r="D152" s="70">
        <v>1.2892655820337533</v>
      </c>
      <c r="E152" s="70">
        <v>0.7958481763547006</v>
      </c>
      <c r="F152" s="70">
        <v>0.7383913294520114</v>
      </c>
      <c r="G152" s="70">
        <v>0.8161124880976502</v>
      </c>
      <c r="H152" s="70">
        <v>1.1269285516104885</v>
      </c>
      <c r="I152" s="70">
        <f t="shared" si="18"/>
        <v>1.022357545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12.75" customHeight="1">
      <c r="A153" s="1" t="s">
        <v>457</v>
      </c>
      <c r="B153" s="70">
        <v>1.310532625042944</v>
      </c>
      <c r="C153" s="70">
        <v>1.240945803376938</v>
      </c>
      <c r="D153" s="70">
        <v>1.3745866361424977</v>
      </c>
      <c r="E153" s="70">
        <v>0.847868311622055</v>
      </c>
      <c r="F153" s="70">
        <v>0.7861162786464769</v>
      </c>
      <c r="G153" s="70">
        <v>0.8683235825163956</v>
      </c>
      <c r="H153" s="70">
        <v>1.1983538794096593</v>
      </c>
      <c r="I153" s="70">
        <f t="shared" si="18"/>
        <v>1.089532445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12.75" customHeight="1">
      <c r="A154" s="1" t="s">
        <v>458</v>
      </c>
      <c r="B154" s="270">
        <f>'ОПиУ'!$N$37/('ОПиУ'!$N$40+'ОДДС'!$AG$61)</f>
        <v>1.812220807</v>
      </c>
      <c r="C154" s="270">
        <f>'ОПиУ'!$AA$37/('ОПиУ'!$AA$40+'ОДДС'!$AT$61)</f>
        <v>1.688775177</v>
      </c>
      <c r="D154" s="270">
        <f>'ОПиУ'!$AN$37/('ОПиУ'!$AN$40+'ОДДС'!$BG$61)</f>
        <v>1.862890008</v>
      </c>
      <c r="E154" s="270">
        <f>'ОПиУ'!$AO$37/('ОПиУ'!$AO$40+'ОДДС'!$BH$61)</f>
        <v>1.147351993</v>
      </c>
      <c r="F154" s="270">
        <f>'ОПиУ'!$AP$37/('ОПиУ'!$AP$40+'ОДДС'!$BI$61)</f>
        <v>1.033223543</v>
      </c>
      <c r="G154" s="270">
        <f>'ОПиУ'!$AQ$37/('ОПиУ'!$AQ$40+'ОДДС'!$BJ$61)</f>
        <v>1.137912677</v>
      </c>
      <c r="H154" s="270">
        <f>'ОПиУ'!$AR$37/('ОПиУ'!$AR$40+'ОДДС'!$BK$61)</f>
        <v>1.557246833</v>
      </c>
      <c r="I154" s="70">
        <f t="shared" si="18"/>
        <v>1.462803006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12.75" customHeight="1">
      <c r="A155" s="1" t="s">
        <v>459</v>
      </c>
      <c r="B155" s="70">
        <v>1.4775961140898421</v>
      </c>
      <c r="C155" s="70">
        <v>1.3969257926068177</v>
      </c>
      <c r="D155" s="70">
        <v>1.5452287443599857</v>
      </c>
      <c r="E155" s="70">
        <v>0.9519085821567642</v>
      </c>
      <c r="F155" s="70">
        <v>0.8815661770354081</v>
      </c>
      <c r="G155" s="70">
        <v>0.9727457713538863</v>
      </c>
      <c r="H155" s="70">
        <v>1.3412045350080009</v>
      </c>
      <c r="I155" s="70">
        <f t="shared" si="18"/>
        <v>1.223882245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12.75" customHeight="1">
      <c r="A156" s="1" t="s">
        <v>460</v>
      </c>
      <c r="B156" s="70">
        <v>1.5611278586132922</v>
      </c>
      <c r="C156" s="70">
        <v>1.474915787221758</v>
      </c>
      <c r="D156" s="70">
        <v>1.6305497984687303</v>
      </c>
      <c r="E156" s="70">
        <v>1.0039287174241192</v>
      </c>
      <c r="F156" s="70">
        <v>0.9292911262298741</v>
      </c>
      <c r="G156" s="70">
        <v>1.0249568657726318</v>
      </c>
      <c r="H156" s="70">
        <v>1.4126298628071718</v>
      </c>
      <c r="I156" s="70">
        <f t="shared" si="18"/>
        <v>1.291057145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12.75" customHeight="1">
      <c r="A157" s="1" t="s">
        <v>461</v>
      </c>
      <c r="B157" s="70">
        <v>1.6446596031367406</v>
      </c>
      <c r="C157" s="70">
        <v>1.5529057818366974</v>
      </c>
      <c r="D157" s="70">
        <v>1.7158708525774744</v>
      </c>
      <c r="E157" s="70">
        <v>1.0559488526914735</v>
      </c>
      <c r="F157" s="70">
        <v>0.9770160754243394</v>
      </c>
      <c r="G157" s="70">
        <v>1.0771679601913773</v>
      </c>
      <c r="H157" s="70">
        <v>1.4840551906063426</v>
      </c>
      <c r="I157" s="70">
        <f t="shared" si="18"/>
        <v>1.358232045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12.75" customHeight="1">
      <c r="A158" s="1" t="s">
        <v>462</v>
      </c>
      <c r="B158" s="70">
        <v>1.72819134766019</v>
      </c>
      <c r="C158" s="70">
        <v>1.6308957764516372</v>
      </c>
      <c r="D158" s="70">
        <v>1.8011919066862185</v>
      </c>
      <c r="E158" s="70">
        <v>1.1079689879588284</v>
      </c>
      <c r="F158" s="70">
        <v>1.0247410246188051</v>
      </c>
      <c r="G158" s="70">
        <v>1.1293790546101226</v>
      </c>
      <c r="H158" s="70">
        <v>1.5554805184055132</v>
      </c>
      <c r="I158" s="70">
        <f t="shared" si="18"/>
        <v>1.425406945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12.75" customHeight="1">
      <c r="A159" s="1" t="s">
        <v>463</v>
      </c>
      <c r="B159" s="70">
        <v>1.8117230921836394</v>
      </c>
      <c r="C159" s="70">
        <v>1.708885771066577</v>
      </c>
      <c r="D159" s="70">
        <v>1.8865129607949624</v>
      </c>
      <c r="E159" s="70">
        <v>1.1599891232261825</v>
      </c>
      <c r="F159" s="70">
        <v>1.0724659738132705</v>
      </c>
      <c r="G159" s="70">
        <v>1.1815901490288676</v>
      </c>
      <c r="H159" s="70">
        <v>1.6269058462046835</v>
      </c>
      <c r="I159" s="70">
        <f t="shared" si="18"/>
        <v>1.492581845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12.75" customHeight="1">
      <c r="A163" s="388" t="s">
        <v>464</v>
      </c>
      <c r="B163" s="389"/>
      <c r="C163" s="389"/>
      <c r="D163" s="389"/>
      <c r="E163" s="389"/>
      <c r="F163" s="389"/>
      <c r="G163" s="389"/>
      <c r="H163" s="389"/>
      <c r="I163" s="390" t="s">
        <v>451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12.75" customHeight="1">
      <c r="A164" s="392" t="s">
        <v>452</v>
      </c>
      <c r="B164" s="391">
        <v>2026.0</v>
      </c>
      <c r="C164" s="391">
        <v>2027.0</v>
      </c>
      <c r="D164" s="391">
        <v>2028.0</v>
      </c>
      <c r="E164" s="391">
        <v>2029.0</v>
      </c>
      <c r="F164" s="391">
        <v>2030.0</v>
      </c>
      <c r="G164" s="391">
        <v>2031.0</v>
      </c>
      <c r="H164" s="391">
        <v>2032.0</v>
      </c>
      <c r="I164" s="1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12.75" customHeight="1">
      <c r="A165" s="1" t="s">
        <v>453</v>
      </c>
      <c r="B165" s="70">
        <v>1.4740117590730621</v>
      </c>
      <c r="C165" s="70">
        <v>1.3927101821087589</v>
      </c>
      <c r="D165" s="70">
        <v>1.539799250581576</v>
      </c>
      <c r="E165" s="70">
        <v>0.9481964489543897</v>
      </c>
      <c r="F165" s="70">
        <v>0.8778583574367741</v>
      </c>
      <c r="G165" s="70">
        <v>0.9684223938922765</v>
      </c>
      <c r="H165" s="70">
        <v>1.3350007348585349</v>
      </c>
      <c r="I165" s="70">
        <f t="shared" ref="I165:I175" si="19">AVERAGE(B165:H165)</f>
        <v>1.219428447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12.75" customHeight="1">
      <c r="A166" s="1" t="s">
        <v>454</v>
      </c>
      <c r="B166" s="70">
        <v>1.4574065490388486</v>
      </c>
      <c r="C166" s="70">
        <v>1.3773873939234063</v>
      </c>
      <c r="D166" s="70">
        <v>1.5232061912132622</v>
      </c>
      <c r="E166" s="70">
        <v>0.938163256704968</v>
      </c>
      <c r="F166" s="70">
        <v>0.8687164400863162</v>
      </c>
      <c r="G166" s="70">
        <v>0.95847667612844</v>
      </c>
      <c r="H166" s="70">
        <v>1.321455074002739</v>
      </c>
      <c r="I166" s="70">
        <f t="shared" si="19"/>
        <v>1.206401654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12.75" customHeight="1">
      <c r="A167" s="1" t="s">
        <v>455</v>
      </c>
      <c r="B167" s="70">
        <v>1.4411180096382579</v>
      </c>
      <c r="C167" s="70">
        <v>1.3623566745345046</v>
      </c>
      <c r="D167" s="70">
        <v>1.5069292807223778</v>
      </c>
      <c r="E167" s="70">
        <v>0.9283211611698503</v>
      </c>
      <c r="F167" s="70">
        <v>0.8597485944670791</v>
      </c>
      <c r="G167" s="70">
        <v>0.9487202925143271</v>
      </c>
      <c r="H167" s="70">
        <v>1.308167233397529</v>
      </c>
      <c r="I167" s="70">
        <f t="shared" si="19"/>
        <v>1.193623035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12.75" customHeight="1">
      <c r="A168" s="1" t="s">
        <v>456</v>
      </c>
      <c r="B168" s="70">
        <v>1.425137170103863</v>
      </c>
      <c r="C168" s="70">
        <v>1.347609757953955</v>
      </c>
      <c r="D168" s="70">
        <v>1.4909595787857335</v>
      </c>
      <c r="E168" s="70">
        <v>0.9186647619502113</v>
      </c>
      <c r="F168" s="70">
        <v>0.8509499039758002</v>
      </c>
      <c r="G168" s="70">
        <v>0.9391478976786682</v>
      </c>
      <c r="H168" s="70">
        <v>1.2951299365806348</v>
      </c>
      <c r="I168" s="70">
        <f t="shared" si="19"/>
        <v>1.181085572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12.75" customHeight="1">
      <c r="A169" s="1" t="s">
        <v>457</v>
      </c>
      <c r="B169" s="70">
        <v>1.4094553951738575</v>
      </c>
      <c r="C169" s="70">
        <v>1.333138686785317</v>
      </c>
      <c r="D169" s="70">
        <v>1.4752884783389766</v>
      </c>
      <c r="E169" s="70">
        <v>0.9091888596973621</v>
      </c>
      <c r="F169" s="70">
        <v>0.8423156348589625</v>
      </c>
      <c r="G169" s="70">
        <v>0.9297543448817085</v>
      </c>
      <c r="H169" s="70">
        <v>1.2823361773064683</v>
      </c>
      <c r="I169" s="70">
        <f t="shared" si="19"/>
        <v>1.168782511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12.75" customHeight="1">
      <c r="A170" s="1" t="s">
        <v>458</v>
      </c>
      <c r="B170" s="270">
        <f>'ОПиУ'!$N$37/('ОПиУ'!$N$40+'ОДДС'!$AG$61)</f>
        <v>1.812220807</v>
      </c>
      <c r="C170" s="270">
        <f>'ОПиУ'!$AA$37/('ОПиУ'!$AA$40+'ОДДС'!$AT$61)</f>
        <v>1.688775177</v>
      </c>
      <c r="D170" s="270">
        <f>'ОПиУ'!$AN$37/('ОПиУ'!$AN$40+'ОДДС'!$BG$61)</f>
        <v>1.862890008</v>
      </c>
      <c r="E170" s="270">
        <f>'ОПиУ'!$AO$37/('ОПиУ'!$AO$40+'ОДДС'!$BH$61)</f>
        <v>1.147351993</v>
      </c>
      <c r="F170" s="270">
        <f>'ОПиУ'!$AP$37/('ОПиУ'!$AP$40+'ОДДС'!$BI$61)</f>
        <v>1.033223543</v>
      </c>
      <c r="G170" s="270">
        <f>'ОПиУ'!$AQ$37/('ОПиУ'!$AQ$40+'ОДДС'!$BJ$61)</f>
        <v>1.137912677</v>
      </c>
      <c r="H170" s="270">
        <f>'ОПиУ'!$AR$37/('ОПиУ'!$AR$40+'ОДДС'!$BK$61)</f>
        <v>1.557246833</v>
      </c>
      <c r="I170" s="270">
        <f t="shared" si="19"/>
        <v>1.462803006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12.75" customHeight="1">
      <c r="A171" s="1" t="s">
        <v>459</v>
      </c>
      <c r="B171" s="70">
        <v>1.3789560833067462</v>
      </c>
      <c r="C171" s="70">
        <v>1.3049937094415267</v>
      </c>
      <c r="D171" s="70">
        <v>1.444809228831734</v>
      </c>
      <c r="E171" s="70">
        <v>0.8907586991063109</v>
      </c>
      <c r="F171" s="70">
        <v>0.8255222902028275</v>
      </c>
      <c r="G171" s="70">
        <v>0.9114841176093416</v>
      </c>
      <c r="H171" s="70">
        <v>1.2574525241241603</v>
      </c>
      <c r="I171" s="70">
        <f t="shared" si="19"/>
        <v>1.144853808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12.75" customHeight="1">
      <c r="A172" s="1" t="s">
        <v>460</v>
      </c>
      <c r="B172" s="70">
        <v>1.364122817853323</v>
      </c>
      <c r="C172" s="70">
        <v>1.2913053071798464</v>
      </c>
      <c r="D172" s="70">
        <v>1.42998539811675</v>
      </c>
      <c r="E172" s="70">
        <v>0.8817949667727436</v>
      </c>
      <c r="F172" s="70">
        <v>0.8173545882844673</v>
      </c>
      <c r="G172" s="70">
        <v>0.9025980634984179</v>
      </c>
      <c r="H172" s="70">
        <v>1.2453498610355345</v>
      </c>
      <c r="I172" s="70">
        <f t="shared" si="19"/>
        <v>1.133215858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12.75" customHeight="1">
      <c r="A173" s="1" t="s">
        <v>461</v>
      </c>
      <c r="B173" s="70">
        <v>1.3495571329723552</v>
      </c>
      <c r="C173" s="70">
        <v>1.2778637333862122</v>
      </c>
      <c r="D173" s="70">
        <v>1.4154287788891455</v>
      </c>
      <c r="E173" s="70">
        <v>0.8729927673402615</v>
      </c>
      <c r="F173" s="70">
        <v>0.8093340403841087</v>
      </c>
      <c r="G173" s="70">
        <v>0.8938720763154918</v>
      </c>
      <c r="H173" s="70">
        <v>1.2334651756001795</v>
      </c>
      <c r="I173" s="70">
        <f t="shared" si="19"/>
        <v>1.121787672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12.75" customHeight="1">
      <c r="A174" s="1" t="s">
        <v>462</v>
      </c>
      <c r="B174" s="70">
        <v>1.3352518543147038</v>
      </c>
      <c r="C174" s="70">
        <v>1.2646623749708226</v>
      </c>
      <c r="D174" s="70">
        <v>1.4011322163855389</v>
      </c>
      <c r="E174" s="70">
        <v>0.8643477778821147</v>
      </c>
      <c r="F174" s="70">
        <v>0.8014567100316848</v>
      </c>
      <c r="G174" s="70">
        <v>0.8853018755924372</v>
      </c>
      <c r="H174" s="70">
        <v>1.221792640225686</v>
      </c>
      <c r="I174" s="70">
        <f t="shared" si="19"/>
        <v>1.110563636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12.75" customHeight="1">
      <c r="A175" s="1" t="s">
        <v>463</v>
      </c>
      <c r="B175" s="70">
        <v>1.3212000616514232</v>
      </c>
      <c r="C175" s="70">
        <v>1.25169485277348</v>
      </c>
      <c r="D175" s="70">
        <v>1.3870888086495272</v>
      </c>
      <c r="E175" s="70">
        <v>0.8558558280758896</v>
      </c>
      <c r="F175" s="70">
        <v>0.7937187996133804</v>
      </c>
      <c r="G175" s="70">
        <v>0.8768833317599751</v>
      </c>
      <c r="H175" s="70">
        <v>1.210326632662348</v>
      </c>
      <c r="I175" s="70">
        <f t="shared" si="19"/>
        <v>1.099538331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12.75" customHeight="1">
      <c r="A178" s="388" t="s">
        <v>465</v>
      </c>
      <c r="B178" s="389"/>
      <c r="C178" s="389"/>
      <c r="D178" s="389"/>
      <c r="E178" s="389"/>
      <c r="F178" s="389"/>
      <c r="G178" s="389"/>
      <c r="H178" s="389"/>
      <c r="I178" s="390" t="s">
        <v>451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12.75" customHeight="1">
      <c r="A179" s="392" t="s">
        <v>452</v>
      </c>
      <c r="B179" s="391">
        <v>2026.0</v>
      </c>
      <c r="C179" s="391">
        <v>2027.0</v>
      </c>
      <c r="D179" s="391">
        <v>2028.0</v>
      </c>
      <c r="E179" s="391">
        <v>2029.0</v>
      </c>
      <c r="F179" s="391">
        <v>2030.0</v>
      </c>
      <c r="G179" s="391">
        <v>2031.0</v>
      </c>
      <c r="H179" s="391">
        <v>2032.0</v>
      </c>
      <c r="I179" s="18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12.75" customHeight="1">
      <c r="A180" s="1" t="s">
        <v>453</v>
      </c>
      <c r="B180" s="70">
        <v>1.742311297075736</v>
      </c>
      <c r="C180" s="70">
        <v>1.648438905812738</v>
      </c>
      <c r="D180" s="70">
        <v>1.82465024516709</v>
      </c>
      <c r="E180" s="70">
        <v>1.124726409579659</v>
      </c>
      <c r="F180" s="70">
        <v>1.0421846789905318</v>
      </c>
      <c r="G180" s="70">
        <v>1.1505456045483762</v>
      </c>
      <c r="H180" s="70">
        <v>1.5870610722580003</v>
      </c>
      <c r="I180" s="70">
        <f t="shared" ref="I180:I190" si="20">AVERAGE(B180:H180)</f>
        <v>1.445702602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12.75" customHeight="1">
      <c r="A181" s="1" t="s">
        <v>454</v>
      </c>
      <c r="B181" s="70">
        <v>1.6594052358430003</v>
      </c>
      <c r="C181" s="70">
        <v>1.5699944502145133</v>
      </c>
      <c r="D181" s="70">
        <v>1.7378157705838657</v>
      </c>
      <c r="E181" s="70">
        <v>1.0711988103274341</v>
      </c>
      <c r="F181" s="70">
        <v>0.9925837476225599</v>
      </c>
      <c r="G181" s="70">
        <v>1.095786056005082</v>
      </c>
      <c r="H181" s="70">
        <v>1.5115244291488936</v>
      </c>
      <c r="I181" s="70">
        <f t="shared" si="20"/>
        <v>1.376901214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12.75" customHeight="1">
      <c r="A182" s="1" t="s">
        <v>455</v>
      </c>
      <c r="B182" s="70">
        <v>1.5840307288915132</v>
      </c>
      <c r="C182" s="70">
        <v>1.4986765949182217</v>
      </c>
      <c r="D182" s="70">
        <v>1.65887043902504</v>
      </c>
      <c r="E182" s="70">
        <v>1.0225344909240646</v>
      </c>
      <c r="F182" s="70">
        <v>0.94748944844448</v>
      </c>
      <c r="G182" s="70">
        <v>1.0460019344724796</v>
      </c>
      <c r="H182" s="70">
        <v>1.442851105932634</v>
      </c>
      <c r="I182" s="70">
        <f t="shared" si="20"/>
        <v>1.314350678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12.75" customHeight="1">
      <c r="A183" s="1" t="s">
        <v>456</v>
      </c>
      <c r="B183" s="70">
        <v>1.5152060734557924</v>
      </c>
      <c r="C183" s="70">
        <v>1.4335563853319886</v>
      </c>
      <c r="D183" s="70">
        <v>1.5867858665414412</v>
      </c>
      <c r="E183" s="70">
        <v>0.9780994863372734</v>
      </c>
      <c r="F183" s="70">
        <v>0.9063142969710347</v>
      </c>
      <c r="G183" s="70">
        <v>1.000544634002552</v>
      </c>
      <c r="H183" s="70">
        <v>1.3801463778815592</v>
      </c>
      <c r="I183" s="70">
        <f t="shared" si="20"/>
        <v>1.25723616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12.75" customHeight="1">
      <c r="A184" s="1" t="s">
        <v>457</v>
      </c>
      <c r="B184" s="70">
        <v>1.4521130756503309</v>
      </c>
      <c r="C184" s="70">
        <v>1.3738595947875014</v>
      </c>
      <c r="D184" s="70">
        <v>1.5207049622689657</v>
      </c>
      <c r="E184" s="70">
        <v>0.9373654301002314</v>
      </c>
      <c r="F184" s="70">
        <v>0.8685686665247793</v>
      </c>
      <c r="G184" s="70">
        <v>0.9588735887173185</v>
      </c>
      <c r="H184" s="70">
        <v>1.3226645582447927</v>
      </c>
      <c r="I184" s="70">
        <f t="shared" si="20"/>
        <v>1.204878554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12.75" customHeight="1">
      <c r="A185" s="1" t="s">
        <v>458</v>
      </c>
      <c r="B185" s="270">
        <f>'ОПиУ'!$N$37/('ОПиУ'!$N$40+'ОДДС'!$AG$61)</f>
        <v>1.812220807</v>
      </c>
      <c r="C185" s="270">
        <f>'ОПиУ'!$AA$37/('ОПиУ'!$AA$40+'ОДДС'!$AT$61)</f>
        <v>1.688775177</v>
      </c>
      <c r="D185" s="270">
        <f>'ОПиУ'!$AN$37/('ОПиУ'!$AN$40+'ОДДС'!$BG$61)</f>
        <v>1.862890008</v>
      </c>
      <c r="E185" s="270">
        <f>'ОПиУ'!$AO$37/('ОПиУ'!$AO$40+'ОДДС'!$BH$61)</f>
        <v>1.147351993</v>
      </c>
      <c r="F185" s="270">
        <f>'ОПиУ'!$AP$37/('ОПиУ'!$AP$40+'ОДДС'!$BI$61)</f>
        <v>1.033223543</v>
      </c>
      <c r="G185" s="270">
        <f>'ОПиУ'!$AQ$37/('ОПиУ'!$AQ$40+'ОДДС'!$BJ$61)</f>
        <v>1.137912677</v>
      </c>
      <c r="H185" s="270">
        <f>'ОПиУ'!$AR$37/('ОПиУ'!$AR$40+'ОДДС'!$BK$61)</f>
        <v>1.557246833</v>
      </c>
      <c r="I185" s="270">
        <f t="shared" si="20"/>
        <v>1.462803006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12.75" customHeight="1">
      <c r="A186" s="1" t="s">
        <v>459</v>
      </c>
      <c r="B186" s="70">
        <v>1.340478273469144</v>
      </c>
      <c r="C186" s="70">
        <v>1.2682345771078853</v>
      </c>
      <c r="D186" s="70">
        <v>1.4037847277710083</v>
      </c>
      <c r="E186" s="70">
        <v>0.8652929132607228</v>
      </c>
      <c r="F186" s="70">
        <v>0.801783900069039</v>
      </c>
      <c r="G186" s="70">
        <v>0.8851436061893246</v>
      </c>
      <c r="H186" s="70">
        <v>1.220960211925732</v>
      </c>
      <c r="I186" s="70">
        <f t="shared" si="20"/>
        <v>1.112239744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12.75" customHeight="1">
      <c r="A187" s="1" t="s">
        <v>460</v>
      </c>
      <c r="B187" s="70">
        <v>1.2908592301949415</v>
      </c>
      <c r="C187" s="70">
        <v>1.2212870123364026</v>
      </c>
      <c r="D187" s="70">
        <v>1.3518169741123798</v>
      </c>
      <c r="E187" s="70">
        <v>0.8332588251356131</v>
      </c>
      <c r="F187" s="70">
        <v>0.7721001441964939</v>
      </c>
      <c r="G187" s="70">
        <v>0.852372988503506</v>
      </c>
      <c r="H187" s="70">
        <v>1.1757559571890839</v>
      </c>
      <c r="I187" s="70">
        <f t="shared" si="20"/>
        <v>1.071064447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12.75" customHeight="1">
      <c r="A188" s="1" t="s">
        <v>461</v>
      </c>
      <c r="B188" s="70">
        <v>1.2447824364991535</v>
      </c>
      <c r="C188" s="70">
        <v>1.1776911366133593</v>
      </c>
      <c r="D188" s="70">
        <v>1.3035594479456565</v>
      </c>
      <c r="E188" s="70">
        <v>0.80351187083391</v>
      </c>
      <c r="F188" s="70">
        <v>0.7445357637314621</v>
      </c>
      <c r="G188" s="70">
        <v>0.8219421838432168</v>
      </c>
      <c r="H188" s="70">
        <v>1.133779314757652</v>
      </c>
      <c r="I188" s="70">
        <f t="shared" si="20"/>
        <v>1.032828879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12.75" customHeight="1">
      <c r="A189" s="1" t="s">
        <v>462</v>
      </c>
      <c r="B189" s="70">
        <v>1.2018816507876677</v>
      </c>
      <c r="C189" s="70">
        <v>1.1371003980804912</v>
      </c>
      <c r="D189" s="70">
        <v>1.2586285145686944</v>
      </c>
      <c r="E189" s="70">
        <v>0.775815556927327</v>
      </c>
      <c r="F189" s="70">
        <v>0.718871607751974</v>
      </c>
      <c r="G189" s="70">
        <v>0.7936092438989766</v>
      </c>
      <c r="H189" s="70">
        <v>1.0946965300435172</v>
      </c>
      <c r="I189" s="70">
        <f t="shared" si="20"/>
        <v>0.9972290717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12.75" customHeight="1">
      <c r="A190" s="1" t="s">
        <v>463</v>
      </c>
      <c r="B190" s="70">
        <v>1.1618394380053536</v>
      </c>
      <c r="C190" s="70">
        <v>1.0992144288799128</v>
      </c>
      <c r="D190" s="70">
        <v>1.2166916664314436</v>
      </c>
      <c r="E190" s="70">
        <v>0.7499649081597384</v>
      </c>
      <c r="F190" s="70">
        <v>0.6949177326527182</v>
      </c>
      <c r="G190" s="70">
        <v>0.7671644663600184</v>
      </c>
      <c r="H190" s="70">
        <v>1.0582183304362407</v>
      </c>
      <c r="I190" s="70">
        <f t="shared" si="20"/>
        <v>0.9640015673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12">
    <mergeCell ref="A80:A81"/>
    <mergeCell ref="C80:L80"/>
    <mergeCell ref="A111:L111"/>
    <mergeCell ref="A113:A114"/>
    <mergeCell ref="C113:L113"/>
    <mergeCell ref="A6:L6"/>
    <mergeCell ref="A9:A10"/>
    <mergeCell ref="C9:L9"/>
    <mergeCell ref="A39:L39"/>
    <mergeCell ref="A41:A42"/>
    <mergeCell ref="C41:L41"/>
    <mergeCell ref="A78:L78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2008-06-12T15:00:23Z</dcterms:created>
  <dc:creator>Bugayev Alexandr</dc:creator>
</cp:coreProperties>
</file>