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D:\box_in\Shell_of_Spreadsheets\"/>
    </mc:Choice>
  </mc:AlternateContent>
  <xr:revisionPtr revIDLastSave="0" documentId="13_ncr:1_{C1CAE10F-A850-4317-8266-C736723D562E}" xr6:coauthVersionLast="47" xr6:coauthVersionMax="47" xr10:uidLastSave="{00000000-0000-0000-0000-000000000000}"/>
  <bookViews>
    <workbookView xWindow="57480" yWindow="10845" windowWidth="29040" windowHeight="15840" tabRatio="637" xr2:uid="{00000000-000D-0000-FFFF-FFFF00000000}"/>
  </bookViews>
  <sheets>
    <sheet name="输入值【1】" sheetId="63" r:id="rId1"/>
    <sheet name="输入值【2】" sheetId="64" r:id="rId2"/>
    <sheet name="输出值1-总投资估算表" sheetId="37" r:id="rId3"/>
    <sheet name="输出值2-营业收入估算表" sheetId="42" r:id="rId4"/>
    <sheet name="输出值3-增值税及其他税金估算表" sheetId="65" r:id="rId5"/>
    <sheet name="输出值4-总成本费用估算表" sheetId="43" r:id="rId6"/>
    <sheet name="输出值5-折旧摊销费用估算表" sheetId="66" r:id="rId7"/>
    <sheet name="输出值6-利润表" sheetId="45" r:id="rId8"/>
    <sheet name="输出值7-现金流量表" sheetId="46" r:id="rId9"/>
    <sheet name="输出值8-还本付息表" sheetId="4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3" l="1"/>
  <c r="C9" i="63"/>
  <c r="C4" i="63"/>
  <c r="C80" i="63"/>
  <c r="C73" i="63"/>
  <c r="C66" i="63"/>
  <c r="C59" i="63"/>
  <c r="C13" i="63" l="1"/>
  <c r="D14" i="46" l="1"/>
  <c r="E43" i="37" l="1"/>
  <c r="E42" i="37"/>
  <c r="D43" i="37"/>
  <c r="D42" i="37"/>
  <c r="E19" i="37"/>
  <c r="E18" i="37"/>
  <c r="E17" i="37"/>
  <c r="E15" i="37"/>
  <c r="E14" i="37"/>
  <c r="E12" i="37"/>
  <c r="E11" i="37"/>
  <c r="E9" i="37"/>
  <c r="E8" i="37"/>
  <c r="E6" i="37"/>
  <c r="E5" i="37"/>
  <c r="D18" i="37"/>
  <c r="D17" i="37"/>
  <c r="D16" i="37"/>
  <c r="D15" i="37"/>
  <c r="D14" i="37"/>
  <c r="D13" i="37"/>
  <c r="F43" i="37" l="1"/>
  <c r="F14" i="37"/>
  <c r="F15" i="37"/>
  <c r="F17" i="37"/>
  <c r="F18" i="37"/>
  <c r="F42" i="37"/>
  <c r="C12" i="44"/>
  <c r="F13" i="37" l="1"/>
  <c r="E13" i="37" s="1"/>
  <c r="F16" i="37"/>
  <c r="E16" i="37" s="1"/>
  <c r="Q7" i="44"/>
  <c r="R7" i="44"/>
  <c r="E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D6" i="46"/>
  <c r="Q10" i="43"/>
  <c r="R10" i="43"/>
  <c r="S10" i="43"/>
  <c r="T10" i="43"/>
  <c r="U10" i="43"/>
  <c r="V10" i="43"/>
  <c r="W10" i="43"/>
  <c r="C13" i="44"/>
  <c r="C3" i="44"/>
  <c r="E13" i="43"/>
  <c r="D13" i="43"/>
  <c r="E12" i="43"/>
  <c r="D12" i="43"/>
  <c r="C6" i="46" l="1"/>
  <c r="D9" i="43" l="1"/>
  <c r="E9" i="43"/>
  <c r="D8" i="43"/>
  <c r="E8" i="43"/>
  <c r="E78" i="64"/>
  <c r="F78" i="64"/>
  <c r="G78" i="64"/>
  <c r="H78" i="64"/>
  <c r="I78" i="64"/>
  <c r="J78" i="64"/>
  <c r="K78" i="64"/>
  <c r="L78" i="64"/>
  <c r="M78" i="64"/>
  <c r="N78" i="64"/>
  <c r="O78" i="64"/>
  <c r="P78" i="64"/>
  <c r="Q78" i="64"/>
  <c r="R78" i="64"/>
  <c r="S78" i="64"/>
  <c r="T78" i="64"/>
  <c r="U78" i="64"/>
  <c r="E70" i="64"/>
  <c r="F70" i="64"/>
  <c r="G70" i="64"/>
  <c r="H70" i="64"/>
  <c r="I70" i="64"/>
  <c r="J70" i="64"/>
  <c r="K70" i="64"/>
  <c r="L70" i="64"/>
  <c r="M70" i="64"/>
  <c r="N70" i="64"/>
  <c r="O70" i="64"/>
  <c r="P70" i="64"/>
  <c r="Q70" i="64"/>
  <c r="R70" i="64"/>
  <c r="S70" i="64"/>
  <c r="T70" i="64"/>
  <c r="U70" i="64"/>
  <c r="D70" i="64"/>
  <c r="F12" i="65"/>
  <c r="G12" i="65"/>
  <c r="H12" i="65"/>
  <c r="I12" i="65"/>
  <c r="J12" i="65"/>
  <c r="K12" i="65"/>
  <c r="L12" i="65"/>
  <c r="M12" i="65"/>
  <c r="N12" i="65"/>
  <c r="O12" i="65"/>
  <c r="P12" i="65"/>
  <c r="Q12" i="65"/>
  <c r="R12" i="65"/>
  <c r="S12" i="65"/>
  <c r="T12" i="65"/>
  <c r="U12" i="65"/>
  <c r="V12" i="65"/>
  <c r="W12" i="65"/>
  <c r="E77" i="64"/>
  <c r="F77" i="64" s="1"/>
  <c r="G77" i="64" s="1"/>
  <c r="H77" i="64" s="1"/>
  <c r="I77" i="64" s="1"/>
  <c r="J77" i="64" s="1"/>
  <c r="K77" i="64" s="1"/>
  <c r="L77" i="64" s="1"/>
  <c r="M77" i="64" s="1"/>
  <c r="N77" i="64" s="1"/>
  <c r="O77" i="64" s="1"/>
  <c r="P77" i="64" s="1"/>
  <c r="Q77" i="64" s="1"/>
  <c r="R77" i="64" s="1"/>
  <c r="S77" i="64" s="1"/>
  <c r="T77" i="64" s="1"/>
  <c r="U77" i="64" s="1"/>
  <c r="E69" i="64"/>
  <c r="F69" i="64" s="1"/>
  <c r="G69" i="64" s="1"/>
  <c r="H69" i="64" s="1"/>
  <c r="I69" i="64" s="1"/>
  <c r="J69" i="64" s="1"/>
  <c r="K69" i="64" s="1"/>
  <c r="L69" i="64" s="1"/>
  <c r="M69" i="64" s="1"/>
  <c r="N69" i="64" s="1"/>
  <c r="O69" i="64" s="1"/>
  <c r="P69" i="64" s="1"/>
  <c r="Q69" i="64" s="1"/>
  <c r="R69" i="64" s="1"/>
  <c r="S69" i="64" s="1"/>
  <c r="T69" i="64" s="1"/>
  <c r="U69" i="64" s="1"/>
  <c r="E31" i="42"/>
  <c r="D31" i="42"/>
  <c r="E30" i="42"/>
  <c r="E29" i="42" s="1"/>
  <c r="E11" i="65" s="1"/>
  <c r="F30" i="42"/>
  <c r="D30" i="42"/>
  <c r="E28" i="42"/>
  <c r="D28" i="42"/>
  <c r="E27" i="42"/>
  <c r="F27" i="42"/>
  <c r="D27" i="42"/>
  <c r="E24" i="42"/>
  <c r="D24" i="42"/>
  <c r="E23" i="42"/>
  <c r="F23" i="42"/>
  <c r="D23" i="42"/>
  <c r="E21" i="42"/>
  <c r="D21" i="42"/>
  <c r="E20" i="42"/>
  <c r="F20" i="42"/>
  <c r="D20" i="42"/>
  <c r="E17" i="42"/>
  <c r="D17" i="42"/>
  <c r="E16" i="42"/>
  <c r="F16" i="42"/>
  <c r="D16" i="42"/>
  <c r="E14" i="42"/>
  <c r="D14" i="42"/>
  <c r="E13" i="42"/>
  <c r="F13" i="42"/>
  <c r="D13" i="42"/>
  <c r="E10" i="42"/>
  <c r="D10" i="42"/>
  <c r="E9" i="42"/>
  <c r="D9" i="42"/>
  <c r="E7" i="42"/>
  <c r="D7" i="42"/>
  <c r="E6" i="42"/>
  <c r="D6" i="42"/>
  <c r="E61" i="64"/>
  <c r="E53" i="64"/>
  <c r="E45" i="64"/>
  <c r="E37" i="64"/>
  <c r="E29" i="64"/>
  <c r="D78" i="64"/>
  <c r="E21" i="64"/>
  <c r="F9" i="42"/>
  <c r="D19" i="42" l="1"/>
  <c r="D8" i="65" s="1"/>
  <c r="E7" i="43"/>
  <c r="D7" i="43"/>
  <c r="D41" i="37"/>
  <c r="D19" i="37"/>
  <c r="F19" i="37" s="1"/>
  <c r="D15" i="42"/>
  <c r="D7" i="65" s="1"/>
  <c r="D29" i="42"/>
  <c r="D11" i="65" s="1"/>
  <c r="E26" i="42"/>
  <c r="E10" i="65" s="1"/>
  <c r="D5" i="42"/>
  <c r="D8" i="42"/>
  <c r="D5" i="65" s="1"/>
  <c r="D26" i="42"/>
  <c r="D10" i="65" s="1"/>
  <c r="D12" i="42"/>
  <c r="D6" i="65" s="1"/>
  <c r="E22" i="42"/>
  <c r="E9" i="65" s="1"/>
  <c r="E15" i="42"/>
  <c r="E7" i="65" s="1"/>
  <c r="D22" i="42"/>
  <c r="D9" i="65" s="1"/>
  <c r="E5" i="42"/>
  <c r="E8" i="42"/>
  <c r="E5" i="65" s="1"/>
  <c r="E19" i="42"/>
  <c r="E12" i="42"/>
  <c r="E13" i="64"/>
  <c r="F6" i="42"/>
  <c r="F21" i="64"/>
  <c r="G16" i="42"/>
  <c r="F37" i="64"/>
  <c r="G23" i="42"/>
  <c r="F53" i="64"/>
  <c r="G30" i="42"/>
  <c r="E5" i="64"/>
  <c r="F29" i="64"/>
  <c r="G13" i="42"/>
  <c r="F45" i="64"/>
  <c r="G20" i="42"/>
  <c r="F61" i="64"/>
  <c r="G27" i="42"/>
  <c r="D4" i="42" l="1"/>
  <c r="C24" i="63"/>
  <c r="C16" i="63" s="1"/>
  <c r="C23" i="63"/>
  <c r="E25" i="42"/>
  <c r="D18" i="42"/>
  <c r="D4" i="65"/>
  <c r="D3" i="65" s="1"/>
  <c r="D5" i="43"/>
  <c r="D4" i="43"/>
  <c r="D25" i="42"/>
  <c r="E5" i="43"/>
  <c r="E4" i="43"/>
  <c r="D11" i="42"/>
  <c r="D23" i="65"/>
  <c r="D24" i="65"/>
  <c r="E4" i="42"/>
  <c r="E23" i="65"/>
  <c r="E4" i="65"/>
  <c r="E11" i="42"/>
  <c r="E6" i="65"/>
  <c r="E18" i="42"/>
  <c r="E8" i="65"/>
  <c r="E24" i="65"/>
  <c r="G37" i="64"/>
  <c r="H23" i="42"/>
  <c r="G61" i="64"/>
  <c r="H27" i="42"/>
  <c r="G29" i="64"/>
  <c r="H13" i="42"/>
  <c r="G9" i="42"/>
  <c r="F5" i="64"/>
  <c r="G53" i="64"/>
  <c r="H30" i="42"/>
  <c r="G21" i="64"/>
  <c r="H16" i="42"/>
  <c r="F13" i="64"/>
  <c r="G6" i="42"/>
  <c r="G45" i="64"/>
  <c r="H20" i="42"/>
  <c r="F41" i="37"/>
  <c r="E3" i="42" l="1"/>
  <c r="D3" i="42"/>
  <c r="E5" i="46"/>
  <c r="D4" i="45"/>
  <c r="C4" i="45"/>
  <c r="D5" i="46"/>
  <c r="D12" i="37"/>
  <c r="F12" i="37" s="1"/>
  <c r="D10" i="37"/>
  <c r="D11" i="37"/>
  <c r="F11" i="37" s="1"/>
  <c r="D22" i="65"/>
  <c r="E3" i="65"/>
  <c r="E22" i="65"/>
  <c r="E41" i="37"/>
  <c r="D21" i="65"/>
  <c r="C21" i="65" s="1"/>
  <c r="D16" i="65"/>
  <c r="H21" i="64"/>
  <c r="I16" i="42"/>
  <c r="H61" i="64"/>
  <c r="I27" i="42"/>
  <c r="H45" i="64"/>
  <c r="I20" i="42"/>
  <c r="H53" i="64"/>
  <c r="I30" i="42"/>
  <c r="G13" i="64"/>
  <c r="H6" i="42"/>
  <c r="H9" i="42"/>
  <c r="G5" i="64"/>
  <c r="H29" i="64"/>
  <c r="I13" i="42"/>
  <c r="H37" i="64"/>
  <c r="I23" i="42"/>
  <c r="D8" i="37"/>
  <c r="F8" i="37" s="1"/>
  <c r="L9" i="37" s="1"/>
  <c r="L10" i="37" l="1"/>
  <c r="L11" i="37"/>
  <c r="C11" i="63"/>
  <c r="C21" i="63"/>
  <c r="C22" i="63" s="1"/>
  <c r="F10" i="37"/>
  <c r="D19" i="65"/>
  <c r="D18" i="65"/>
  <c r="D20" i="65"/>
  <c r="H5" i="64"/>
  <c r="I9" i="42"/>
  <c r="I45" i="64"/>
  <c r="J20" i="42"/>
  <c r="H13" i="64"/>
  <c r="I6" i="42"/>
  <c r="I61" i="64"/>
  <c r="J27" i="42"/>
  <c r="I37" i="64"/>
  <c r="J23" i="42"/>
  <c r="I53" i="64"/>
  <c r="J30" i="42"/>
  <c r="I29" i="64"/>
  <c r="J13" i="42"/>
  <c r="I21" i="64"/>
  <c r="J16" i="42"/>
  <c r="E47" i="64"/>
  <c r="G21" i="42" s="1"/>
  <c r="G19" i="42" s="1"/>
  <c r="G8" i="65" s="1"/>
  <c r="I47" i="64"/>
  <c r="K21" i="42" s="1"/>
  <c r="M47" i="64"/>
  <c r="O21" i="42" s="1"/>
  <c r="Q47" i="64"/>
  <c r="S21" i="42" s="1"/>
  <c r="U47" i="64"/>
  <c r="W21" i="42" s="1"/>
  <c r="H39" i="64"/>
  <c r="J24" i="42" s="1"/>
  <c r="L39" i="64"/>
  <c r="N24" i="42" s="1"/>
  <c r="P39" i="64"/>
  <c r="R24" i="42" s="1"/>
  <c r="T39" i="64"/>
  <c r="V24" i="42" s="1"/>
  <c r="F47" i="64"/>
  <c r="H21" i="42" s="1"/>
  <c r="H19" i="42" s="1"/>
  <c r="H8" i="65" s="1"/>
  <c r="J47" i="64"/>
  <c r="L21" i="42" s="1"/>
  <c r="N47" i="64"/>
  <c r="P21" i="42" s="1"/>
  <c r="R47" i="64"/>
  <c r="T21" i="42" s="1"/>
  <c r="D47" i="64"/>
  <c r="F21" i="42" s="1"/>
  <c r="F19" i="42" s="1"/>
  <c r="F8" i="65" s="1"/>
  <c r="I39" i="64"/>
  <c r="K24" i="42" s="1"/>
  <c r="M39" i="64"/>
  <c r="O24" i="42" s="1"/>
  <c r="Q39" i="64"/>
  <c r="S24" i="42" s="1"/>
  <c r="U39" i="64"/>
  <c r="W24" i="42" s="1"/>
  <c r="P47" i="64"/>
  <c r="R21" i="42" s="1"/>
  <c r="K39" i="64"/>
  <c r="M24" i="42" s="1"/>
  <c r="S39" i="64"/>
  <c r="U24" i="42" s="1"/>
  <c r="G47" i="64"/>
  <c r="I21" i="42" s="1"/>
  <c r="I19" i="42" s="1"/>
  <c r="I8" i="65" s="1"/>
  <c r="K47" i="64"/>
  <c r="M21" i="42" s="1"/>
  <c r="O47" i="64"/>
  <c r="Q21" i="42" s="1"/>
  <c r="S47" i="64"/>
  <c r="U21" i="42" s="1"/>
  <c r="F39" i="64"/>
  <c r="H24" i="42" s="1"/>
  <c r="H22" i="42" s="1"/>
  <c r="H9" i="65" s="1"/>
  <c r="J39" i="64"/>
  <c r="L24" i="42" s="1"/>
  <c r="N39" i="64"/>
  <c r="P24" i="42" s="1"/>
  <c r="R39" i="64"/>
  <c r="T24" i="42" s="1"/>
  <c r="E39" i="64"/>
  <c r="G24" i="42" s="1"/>
  <c r="G22" i="42" s="1"/>
  <c r="G9" i="65" s="1"/>
  <c r="H47" i="64"/>
  <c r="J21" i="42" s="1"/>
  <c r="L47" i="64"/>
  <c r="N21" i="42" s="1"/>
  <c r="T47" i="64"/>
  <c r="V21" i="42" s="1"/>
  <c r="G39" i="64"/>
  <c r="I24" i="42" s="1"/>
  <c r="I22" i="42" s="1"/>
  <c r="I9" i="65" s="1"/>
  <c r="O39" i="64"/>
  <c r="Q24" i="42" s="1"/>
  <c r="D39" i="64"/>
  <c r="F24" i="42" s="1"/>
  <c r="F22" i="42" s="1"/>
  <c r="F9" i="65" s="1"/>
  <c r="H31" i="64"/>
  <c r="J14" i="42" s="1"/>
  <c r="L31" i="64"/>
  <c r="N14" i="42" s="1"/>
  <c r="P31" i="64"/>
  <c r="R14" i="42" s="1"/>
  <c r="T31" i="64"/>
  <c r="V14" i="42" s="1"/>
  <c r="F23" i="64"/>
  <c r="J23" i="64"/>
  <c r="N23" i="64"/>
  <c r="R23" i="64"/>
  <c r="D23" i="64"/>
  <c r="G31" i="64"/>
  <c r="I14" i="42" s="1"/>
  <c r="I12" i="42" s="1"/>
  <c r="I6" i="65" s="1"/>
  <c r="S31" i="64"/>
  <c r="U14" i="42" s="1"/>
  <c r="M23" i="64"/>
  <c r="E31" i="64"/>
  <c r="G14" i="42" s="1"/>
  <c r="G12" i="42" s="1"/>
  <c r="G6" i="65" s="1"/>
  <c r="I31" i="64"/>
  <c r="K14" i="42" s="1"/>
  <c r="M31" i="64"/>
  <c r="O14" i="42" s="1"/>
  <c r="Q31" i="64"/>
  <c r="S14" i="42" s="1"/>
  <c r="U31" i="64"/>
  <c r="W14" i="42" s="1"/>
  <c r="G23" i="64"/>
  <c r="K23" i="64"/>
  <c r="O23" i="64"/>
  <c r="S23" i="64"/>
  <c r="K31" i="64"/>
  <c r="M14" i="42" s="1"/>
  <c r="I23" i="64"/>
  <c r="U23" i="64"/>
  <c r="F31" i="64"/>
  <c r="H14" i="42" s="1"/>
  <c r="H12" i="42" s="1"/>
  <c r="J31" i="64"/>
  <c r="L14" i="42" s="1"/>
  <c r="N31" i="64"/>
  <c r="P14" i="42" s="1"/>
  <c r="R31" i="64"/>
  <c r="T14" i="42" s="1"/>
  <c r="D31" i="64"/>
  <c r="F14" i="42" s="1"/>
  <c r="F12" i="42" s="1"/>
  <c r="F6" i="65" s="1"/>
  <c r="H23" i="64"/>
  <c r="L23" i="64"/>
  <c r="P23" i="64"/>
  <c r="T23" i="64"/>
  <c r="O31" i="64"/>
  <c r="Q14" i="42" s="1"/>
  <c r="E23" i="64"/>
  <c r="Q23" i="64"/>
  <c r="E10" i="37" l="1"/>
  <c r="L6" i="37"/>
  <c r="D6" i="37"/>
  <c r="F6" i="37" s="1"/>
  <c r="D5" i="37"/>
  <c r="F5" i="37" s="1"/>
  <c r="L3" i="37" s="1"/>
  <c r="G17" i="42"/>
  <c r="G15" i="42" s="1"/>
  <c r="G7" i="65" s="1"/>
  <c r="E79" i="64"/>
  <c r="G9" i="43" s="1"/>
  <c r="K17" i="42"/>
  <c r="I79" i="64"/>
  <c r="K9" i="43" s="1"/>
  <c r="J17" i="42"/>
  <c r="H79" i="64"/>
  <c r="J9" i="43" s="1"/>
  <c r="L17" i="42"/>
  <c r="J79" i="64"/>
  <c r="L9" i="43" s="1"/>
  <c r="N17" i="42"/>
  <c r="L79" i="64"/>
  <c r="N9" i="43" s="1"/>
  <c r="M17" i="42"/>
  <c r="K79" i="64"/>
  <c r="M9" i="43" s="1"/>
  <c r="I17" i="42"/>
  <c r="I15" i="42" s="1"/>
  <c r="I7" i="65" s="1"/>
  <c r="G79" i="64"/>
  <c r="I9" i="43" s="1"/>
  <c r="U17" i="42"/>
  <c r="S79" i="64"/>
  <c r="U9" i="43" s="1"/>
  <c r="F17" i="42"/>
  <c r="F15" i="42" s="1"/>
  <c r="F7" i="65" s="1"/>
  <c r="D79" i="64"/>
  <c r="F9" i="43" s="1"/>
  <c r="H17" i="42"/>
  <c r="H15" i="42" s="1"/>
  <c r="H7" i="65" s="1"/>
  <c r="F79" i="64"/>
  <c r="H9" i="43" s="1"/>
  <c r="P17" i="42"/>
  <c r="N79" i="64"/>
  <c r="P9" i="43" s="1"/>
  <c r="V17" i="42"/>
  <c r="T79" i="64"/>
  <c r="V9" i="43" s="1"/>
  <c r="S17" i="42"/>
  <c r="Q79" i="64"/>
  <c r="S9" i="43" s="1"/>
  <c r="R17" i="42"/>
  <c r="P79" i="64"/>
  <c r="R9" i="43" s="1"/>
  <c r="W17" i="42"/>
  <c r="U79" i="64"/>
  <c r="W9" i="43" s="1"/>
  <c r="Q17" i="42"/>
  <c r="O79" i="64"/>
  <c r="Q9" i="43" s="1"/>
  <c r="O17" i="42"/>
  <c r="M79" i="64"/>
  <c r="O9" i="43" s="1"/>
  <c r="T17" i="42"/>
  <c r="R79" i="64"/>
  <c r="T9" i="43" s="1"/>
  <c r="J19" i="42"/>
  <c r="J8" i="65" s="1"/>
  <c r="H6" i="65"/>
  <c r="D17" i="65"/>
  <c r="I18" i="42"/>
  <c r="F18" i="42"/>
  <c r="J15" i="42"/>
  <c r="J7" i="65" s="1"/>
  <c r="J53" i="64"/>
  <c r="K30" i="42"/>
  <c r="G18" i="42"/>
  <c r="J12" i="42"/>
  <c r="J22" i="42"/>
  <c r="J9" i="65" s="1"/>
  <c r="J29" i="64"/>
  <c r="K13" i="42"/>
  <c r="K12" i="42" s="1"/>
  <c r="K6" i="65" s="1"/>
  <c r="J37" i="64"/>
  <c r="K23" i="42"/>
  <c r="K22" i="42" s="1"/>
  <c r="K9" i="65" s="1"/>
  <c r="I13" i="64"/>
  <c r="J6" i="42"/>
  <c r="H18" i="42"/>
  <c r="J61" i="64"/>
  <c r="K27" i="42"/>
  <c r="J21" i="64"/>
  <c r="K16" i="42"/>
  <c r="K15" i="42" s="1"/>
  <c r="K7" i="65" s="1"/>
  <c r="J45" i="64"/>
  <c r="K20" i="42"/>
  <c r="K19" i="42" s="1"/>
  <c r="I5" i="64"/>
  <c r="J9" i="42"/>
  <c r="H15" i="64"/>
  <c r="J7" i="42" s="1"/>
  <c r="L15" i="64"/>
  <c r="N7" i="42" s="1"/>
  <c r="P15" i="64"/>
  <c r="R7" i="42" s="1"/>
  <c r="T15" i="64"/>
  <c r="V7" i="42" s="1"/>
  <c r="G15" i="64"/>
  <c r="I7" i="42" s="1"/>
  <c r="I5" i="42" s="1"/>
  <c r="S15" i="64"/>
  <c r="U7" i="42" s="1"/>
  <c r="E15" i="64"/>
  <c r="G7" i="42" s="1"/>
  <c r="G5" i="42" s="1"/>
  <c r="I15" i="64"/>
  <c r="K7" i="42" s="1"/>
  <c r="M15" i="64"/>
  <c r="O7" i="42" s="1"/>
  <c r="Q15" i="64"/>
  <c r="S7" i="42" s="1"/>
  <c r="U15" i="64"/>
  <c r="W7" i="42" s="1"/>
  <c r="O15" i="64"/>
  <c r="Q7" i="42" s="1"/>
  <c r="F15" i="64"/>
  <c r="H7" i="42" s="1"/>
  <c r="H5" i="42" s="1"/>
  <c r="J15" i="64"/>
  <c r="L7" i="42" s="1"/>
  <c r="N15" i="64"/>
  <c r="P7" i="42" s="1"/>
  <c r="R15" i="64"/>
  <c r="T7" i="42" s="1"/>
  <c r="D15" i="64"/>
  <c r="F7" i="42" s="1"/>
  <c r="F5" i="42" s="1"/>
  <c r="K15" i="64"/>
  <c r="M7" i="42" s="1"/>
  <c r="I7" i="64"/>
  <c r="M7" i="64"/>
  <c r="Q7" i="64"/>
  <c r="U7" i="64"/>
  <c r="F7" i="64"/>
  <c r="P7" i="64"/>
  <c r="J7" i="64"/>
  <c r="N7" i="64"/>
  <c r="R7" i="64"/>
  <c r="G7" i="64"/>
  <c r="D7" i="64"/>
  <c r="E7" i="64"/>
  <c r="K7" i="64"/>
  <c r="O7" i="64"/>
  <c r="S7" i="64"/>
  <c r="H7" i="64"/>
  <c r="L7" i="64"/>
  <c r="T7" i="64"/>
  <c r="L4" i="37" l="1"/>
  <c r="L5" i="37"/>
  <c r="L7" i="37"/>
  <c r="L8" i="37"/>
  <c r="H11" i="42"/>
  <c r="F11" i="42"/>
  <c r="I11" i="42"/>
  <c r="G11" i="42"/>
  <c r="N10" i="42"/>
  <c r="L71" i="64"/>
  <c r="N8" i="43" s="1"/>
  <c r="N7" i="43" s="1"/>
  <c r="T10" i="42"/>
  <c r="R71" i="64"/>
  <c r="T8" i="43" s="1"/>
  <c r="T7" i="43" s="1"/>
  <c r="K10" i="42"/>
  <c r="I71" i="64"/>
  <c r="K8" i="43" s="1"/>
  <c r="K7" i="43" s="1"/>
  <c r="G10" i="42"/>
  <c r="G8" i="42" s="1"/>
  <c r="G4" i="42" s="1"/>
  <c r="E71" i="64"/>
  <c r="G8" i="43" s="1"/>
  <c r="G7" i="43" s="1"/>
  <c r="W10" i="42"/>
  <c r="U71" i="64"/>
  <c r="W8" i="43" s="1"/>
  <c r="W7" i="43" s="1"/>
  <c r="U10" i="42"/>
  <c r="S71" i="64"/>
  <c r="U8" i="43" s="1"/>
  <c r="U7" i="43" s="1"/>
  <c r="L10" i="42"/>
  <c r="J71" i="64"/>
  <c r="L8" i="43" s="1"/>
  <c r="L7" i="43" s="1"/>
  <c r="S10" i="42"/>
  <c r="Q71" i="64"/>
  <c r="S8" i="43" s="1"/>
  <c r="S7" i="43" s="1"/>
  <c r="C9" i="43"/>
  <c r="M10" i="42"/>
  <c r="K71" i="64"/>
  <c r="M8" i="43" s="1"/>
  <c r="M7" i="43" s="1"/>
  <c r="H10" i="42"/>
  <c r="H8" i="42" s="1"/>
  <c r="H5" i="65" s="1"/>
  <c r="F71" i="64"/>
  <c r="H8" i="43" s="1"/>
  <c r="H7" i="43" s="1"/>
  <c r="J10" i="42"/>
  <c r="J8" i="42" s="1"/>
  <c r="H71" i="64"/>
  <c r="J8" i="43" s="1"/>
  <c r="J7" i="43" s="1"/>
  <c r="P10" i="42"/>
  <c r="N71" i="64"/>
  <c r="P8" i="43" s="1"/>
  <c r="P7" i="43" s="1"/>
  <c r="F10" i="42"/>
  <c r="F8" i="42" s="1"/>
  <c r="F5" i="65" s="1"/>
  <c r="D71" i="64"/>
  <c r="F8" i="43" s="1"/>
  <c r="V10" i="42"/>
  <c r="T71" i="64"/>
  <c r="V8" i="43" s="1"/>
  <c r="V7" i="43" s="1"/>
  <c r="Q10" i="42"/>
  <c r="O71" i="64"/>
  <c r="Q8" i="43" s="1"/>
  <c r="Q7" i="43" s="1"/>
  <c r="I10" i="42"/>
  <c r="I8" i="42" s="1"/>
  <c r="I5" i="65" s="1"/>
  <c r="G71" i="64"/>
  <c r="I8" i="43" s="1"/>
  <c r="I7" i="43" s="1"/>
  <c r="R10" i="42"/>
  <c r="P71" i="64"/>
  <c r="R8" i="43" s="1"/>
  <c r="R7" i="43" s="1"/>
  <c r="O10" i="42"/>
  <c r="M71" i="64"/>
  <c r="O8" i="43" s="1"/>
  <c r="O7" i="43" s="1"/>
  <c r="J11" i="42"/>
  <c r="J6" i="65"/>
  <c r="K18" i="42"/>
  <c r="K8" i="65"/>
  <c r="I4" i="65"/>
  <c r="J18" i="42"/>
  <c r="K11" i="42"/>
  <c r="H4" i="65"/>
  <c r="K37" i="64"/>
  <c r="L23" i="42"/>
  <c r="L22" i="42" s="1"/>
  <c r="L9" i="65" s="1"/>
  <c r="J5" i="42"/>
  <c r="G4" i="65"/>
  <c r="K21" i="64"/>
  <c r="L16" i="42"/>
  <c r="L15" i="42" s="1"/>
  <c r="L7" i="65" s="1"/>
  <c r="K61" i="64"/>
  <c r="L27" i="42"/>
  <c r="J13" i="64"/>
  <c r="K6" i="42"/>
  <c r="K5" i="42" s="1"/>
  <c r="K29" i="64"/>
  <c r="L13" i="42"/>
  <c r="L12" i="42" s="1"/>
  <c r="K53" i="64"/>
  <c r="L30" i="42"/>
  <c r="F4" i="65"/>
  <c r="J5" i="64"/>
  <c r="K9" i="42"/>
  <c r="K45" i="64"/>
  <c r="L20" i="42"/>
  <c r="L19" i="42" s="1"/>
  <c r="L8" i="65" s="1"/>
  <c r="C17" i="63"/>
  <c r="F63" i="64"/>
  <c r="H28" i="42" s="1"/>
  <c r="H26" i="42" s="1"/>
  <c r="H10" i="65" s="1"/>
  <c r="J63" i="64"/>
  <c r="L28" i="42" s="1"/>
  <c r="N63" i="64"/>
  <c r="P28" i="42" s="1"/>
  <c r="R63" i="64"/>
  <c r="T28" i="42" s="1"/>
  <c r="E63" i="64"/>
  <c r="G28" i="42" s="1"/>
  <c r="G26" i="42" s="1"/>
  <c r="G10" i="65" s="1"/>
  <c r="J55" i="64"/>
  <c r="L31" i="42" s="1"/>
  <c r="N55" i="64"/>
  <c r="P31" i="42" s="1"/>
  <c r="R55" i="64"/>
  <c r="T31" i="42" s="1"/>
  <c r="F55" i="64"/>
  <c r="H31" i="42" s="1"/>
  <c r="H29" i="42" s="1"/>
  <c r="H11" i="65" s="1"/>
  <c r="M63" i="64"/>
  <c r="O28" i="42" s="1"/>
  <c r="U63" i="64"/>
  <c r="W28" i="42" s="1"/>
  <c r="Q55" i="64"/>
  <c r="S31" i="42" s="1"/>
  <c r="G63" i="64"/>
  <c r="I28" i="42" s="1"/>
  <c r="I26" i="42" s="1"/>
  <c r="I10" i="65" s="1"/>
  <c r="K63" i="64"/>
  <c r="M28" i="42" s="1"/>
  <c r="O63" i="64"/>
  <c r="Q28" i="42" s="1"/>
  <c r="S63" i="64"/>
  <c r="U28" i="42" s="1"/>
  <c r="D63" i="64"/>
  <c r="F28" i="42" s="1"/>
  <c r="F26" i="42" s="1"/>
  <c r="F23" i="65" s="1"/>
  <c r="K55" i="64"/>
  <c r="M31" i="42" s="1"/>
  <c r="O55" i="64"/>
  <c r="Q31" i="42" s="1"/>
  <c r="S55" i="64"/>
  <c r="U31" i="42" s="1"/>
  <c r="G55" i="64"/>
  <c r="I31" i="42" s="1"/>
  <c r="I29" i="42" s="1"/>
  <c r="I11" i="65" s="1"/>
  <c r="I55" i="64"/>
  <c r="K31" i="42" s="1"/>
  <c r="K29" i="42" s="1"/>
  <c r="K11" i="65" s="1"/>
  <c r="D55" i="64"/>
  <c r="F31" i="42" s="1"/>
  <c r="F29" i="42" s="1"/>
  <c r="F11" i="65" s="1"/>
  <c r="H63" i="64"/>
  <c r="J28" i="42" s="1"/>
  <c r="J26" i="42" s="1"/>
  <c r="J10" i="65" s="1"/>
  <c r="L63" i="64"/>
  <c r="N28" i="42" s="1"/>
  <c r="P63" i="64"/>
  <c r="R28" i="42" s="1"/>
  <c r="T63" i="64"/>
  <c r="V28" i="42" s="1"/>
  <c r="H55" i="64"/>
  <c r="J31" i="42" s="1"/>
  <c r="J29" i="42" s="1"/>
  <c r="L55" i="64"/>
  <c r="N31" i="42" s="1"/>
  <c r="P55" i="64"/>
  <c r="R31" i="42" s="1"/>
  <c r="T55" i="64"/>
  <c r="V31" i="42" s="1"/>
  <c r="E55" i="64"/>
  <c r="G31" i="42" s="1"/>
  <c r="G29" i="42" s="1"/>
  <c r="G11" i="65" s="1"/>
  <c r="I63" i="64"/>
  <c r="K28" i="42" s="1"/>
  <c r="K26" i="42" s="1"/>
  <c r="K10" i="65" s="1"/>
  <c r="Q63" i="64"/>
  <c r="S28" i="42" s="1"/>
  <c r="M55" i="64"/>
  <c r="O31" i="42" s="1"/>
  <c r="U55" i="64"/>
  <c r="W31" i="42" s="1"/>
  <c r="C14" i="63" l="1"/>
  <c r="C12" i="63" s="1"/>
  <c r="C15" i="63"/>
  <c r="D9" i="37"/>
  <c r="F9" i="37" s="1"/>
  <c r="K8" i="42"/>
  <c r="K5" i="65" s="1"/>
  <c r="F4" i="42"/>
  <c r="H4" i="42"/>
  <c r="D7" i="37"/>
  <c r="I4" i="42"/>
  <c r="G5" i="65"/>
  <c r="G3" i="65" s="1"/>
  <c r="F7" i="43"/>
  <c r="C7" i="43" s="1"/>
  <c r="C8" i="43"/>
  <c r="H5" i="43"/>
  <c r="I4" i="43"/>
  <c r="J5" i="43"/>
  <c r="J4" i="43"/>
  <c r="G4" i="43"/>
  <c r="I5" i="43"/>
  <c r="G5" i="43"/>
  <c r="F4" i="43"/>
  <c r="K5" i="43"/>
  <c r="K4" i="43"/>
  <c r="H4" i="43"/>
  <c r="F5" i="43"/>
  <c r="H24" i="65"/>
  <c r="J23" i="65"/>
  <c r="G24" i="65"/>
  <c r="I24" i="65"/>
  <c r="I23" i="65"/>
  <c r="F24" i="65"/>
  <c r="J5" i="65"/>
  <c r="J24" i="65"/>
  <c r="K23" i="65"/>
  <c r="G23" i="65"/>
  <c r="H23" i="65"/>
  <c r="H3" i="65"/>
  <c r="L11" i="42"/>
  <c r="L6" i="65"/>
  <c r="F25" i="42"/>
  <c r="F10" i="65"/>
  <c r="F3" i="65" s="1"/>
  <c r="J25" i="42"/>
  <c r="J11" i="65"/>
  <c r="I3" i="65"/>
  <c r="K25" i="42"/>
  <c r="I25" i="42"/>
  <c r="G25" i="42"/>
  <c r="G3" i="42" s="1"/>
  <c r="H25" i="42"/>
  <c r="L18" i="42"/>
  <c r="L26" i="42"/>
  <c r="L10" i="65" s="1"/>
  <c r="L45" i="64"/>
  <c r="M20" i="42"/>
  <c r="M19" i="42" s="1"/>
  <c r="M8" i="65" s="1"/>
  <c r="L29" i="64"/>
  <c r="M13" i="42"/>
  <c r="M12" i="42" s="1"/>
  <c r="M6" i="65" s="1"/>
  <c r="L61" i="64"/>
  <c r="M27" i="42"/>
  <c r="M26" i="42" s="1"/>
  <c r="M10" i="65" s="1"/>
  <c r="L37" i="64"/>
  <c r="M23" i="42"/>
  <c r="M22" i="42" s="1"/>
  <c r="M9" i="65" s="1"/>
  <c r="L29" i="42"/>
  <c r="L11" i="65" s="1"/>
  <c r="K4" i="65"/>
  <c r="K5" i="64"/>
  <c r="L9" i="42"/>
  <c r="L8" i="42" s="1"/>
  <c r="L53" i="64"/>
  <c r="M30" i="42"/>
  <c r="M29" i="42" s="1"/>
  <c r="M11" i="65" s="1"/>
  <c r="K13" i="64"/>
  <c r="L6" i="42"/>
  <c r="L5" i="42" s="1"/>
  <c r="L21" i="64"/>
  <c r="M16" i="42"/>
  <c r="M15" i="42" s="1"/>
  <c r="M7" i="65" s="1"/>
  <c r="J4" i="42"/>
  <c r="J4" i="65"/>
  <c r="F7" i="37" l="1"/>
  <c r="F4" i="37" s="1"/>
  <c r="L12" i="37"/>
  <c r="K24" i="65"/>
  <c r="K22" i="65" s="1"/>
  <c r="K4" i="42"/>
  <c r="K3" i="42" s="1"/>
  <c r="D4" i="37"/>
  <c r="F3" i="42"/>
  <c r="E4" i="45" s="1"/>
  <c r="H3" i="42"/>
  <c r="H5" i="46" s="1"/>
  <c r="F4" i="45"/>
  <c r="G5" i="46"/>
  <c r="J3" i="42"/>
  <c r="I3" i="42"/>
  <c r="L24" i="65"/>
  <c r="L5" i="43"/>
  <c r="L4" i="43"/>
  <c r="J22" i="65"/>
  <c r="H22" i="65"/>
  <c r="G22" i="65"/>
  <c r="I22" i="65"/>
  <c r="K3" i="65"/>
  <c r="L23" i="65"/>
  <c r="F22" i="65"/>
  <c r="J3" i="65"/>
  <c r="L25" i="42"/>
  <c r="M45" i="64"/>
  <c r="N20" i="42"/>
  <c r="N19" i="42" s="1"/>
  <c r="N8" i="65" s="1"/>
  <c r="M21" i="64"/>
  <c r="N16" i="42"/>
  <c r="N15" i="42" s="1"/>
  <c r="N7" i="65" s="1"/>
  <c r="L4" i="65"/>
  <c r="L4" i="42"/>
  <c r="L5" i="65"/>
  <c r="M37" i="64"/>
  <c r="N23" i="42"/>
  <c r="N22" i="42" s="1"/>
  <c r="N9" i="65" s="1"/>
  <c r="M29" i="64"/>
  <c r="N13" i="42"/>
  <c r="N12" i="42" s="1"/>
  <c r="N6" i="65" s="1"/>
  <c r="M61" i="64"/>
  <c r="N27" i="42"/>
  <c r="N26" i="42" s="1"/>
  <c r="N10" i="65" s="1"/>
  <c r="M53" i="64"/>
  <c r="N30" i="42"/>
  <c r="N29" i="42" s="1"/>
  <c r="M11" i="42"/>
  <c r="L13" i="64"/>
  <c r="M6" i="42"/>
  <c r="M5" i="42" s="1"/>
  <c r="L5" i="64"/>
  <c r="M9" i="42"/>
  <c r="M8" i="42" s="1"/>
  <c r="M25" i="42"/>
  <c r="M18" i="42"/>
  <c r="E4" i="37" l="1"/>
  <c r="E7" i="37"/>
  <c r="L14" i="37"/>
  <c r="L13" i="37"/>
  <c r="L16" i="37"/>
  <c r="F5" i="46"/>
  <c r="G4" i="45"/>
  <c r="L3" i="42"/>
  <c r="L5" i="46" s="1"/>
  <c r="I4" i="45"/>
  <c r="J5" i="46"/>
  <c r="I5" i="46"/>
  <c r="H4" i="45"/>
  <c r="K5" i="46"/>
  <c r="J4" i="45"/>
  <c r="L22" i="65"/>
  <c r="M23" i="65"/>
  <c r="M5" i="43"/>
  <c r="M4" i="43"/>
  <c r="M5" i="65"/>
  <c r="M24" i="65"/>
  <c r="N25" i="42"/>
  <c r="N11" i="65"/>
  <c r="L3" i="65"/>
  <c r="N18" i="42"/>
  <c r="N61" i="64"/>
  <c r="O27" i="42"/>
  <c r="O26" i="42" s="1"/>
  <c r="O10" i="65" s="1"/>
  <c r="N37" i="64"/>
  <c r="O23" i="42"/>
  <c r="O22" i="42" s="1"/>
  <c r="O9" i="65" s="1"/>
  <c r="M5" i="64"/>
  <c r="N9" i="42"/>
  <c r="N8" i="42" s="1"/>
  <c r="N11" i="42"/>
  <c r="N45" i="64"/>
  <c r="O20" i="42"/>
  <c r="O19" i="42" s="1"/>
  <c r="O8" i="65" s="1"/>
  <c r="M4" i="42"/>
  <c r="M3" i="42" s="1"/>
  <c r="M4" i="65"/>
  <c r="N53" i="64"/>
  <c r="O30" i="42"/>
  <c r="O29" i="42" s="1"/>
  <c r="O11" i="65" s="1"/>
  <c r="N29" i="64"/>
  <c r="O13" i="42"/>
  <c r="O12" i="42" s="1"/>
  <c r="O6" i="65" s="1"/>
  <c r="M13" i="64"/>
  <c r="N6" i="42"/>
  <c r="N5" i="42" s="1"/>
  <c r="N21" i="64"/>
  <c r="O16" i="42"/>
  <c r="O15" i="42" s="1"/>
  <c r="O7" i="65" s="1"/>
  <c r="M13" i="37" l="1"/>
  <c r="L23" i="37"/>
  <c r="L17" i="37"/>
  <c r="M17" i="37" s="1"/>
  <c r="M16" i="37"/>
  <c r="M9" i="37"/>
  <c r="M10" i="37"/>
  <c r="M11" i="37"/>
  <c r="M3" i="37"/>
  <c r="M6" i="37"/>
  <c r="M8" i="37"/>
  <c r="M5" i="37"/>
  <c r="M7" i="37"/>
  <c r="M4" i="37"/>
  <c r="M12" i="37"/>
  <c r="M14" i="37"/>
  <c r="L24" i="37"/>
  <c r="L18" i="37"/>
  <c r="M18" i="37" s="1"/>
  <c r="M3" i="65"/>
  <c r="K4" i="45"/>
  <c r="M22" i="65"/>
  <c r="M5" i="46"/>
  <c r="L4" i="45"/>
  <c r="N23" i="65"/>
  <c r="N5" i="43"/>
  <c r="N4" i="43"/>
  <c r="N5" i="65"/>
  <c r="N24" i="65"/>
  <c r="O11" i="42"/>
  <c r="O29" i="64"/>
  <c r="P13" i="42"/>
  <c r="P12" i="42" s="1"/>
  <c r="P6" i="65" s="1"/>
  <c r="O37" i="64"/>
  <c r="P23" i="42"/>
  <c r="P22" i="42" s="1"/>
  <c r="P9" i="65" s="1"/>
  <c r="N4" i="42"/>
  <c r="N3" i="42" s="1"/>
  <c r="N4" i="65"/>
  <c r="O21" i="64"/>
  <c r="P16" i="42"/>
  <c r="P15" i="42" s="1"/>
  <c r="P7" i="65" s="1"/>
  <c r="O18" i="42"/>
  <c r="O25" i="42"/>
  <c r="N13" i="64"/>
  <c r="O6" i="42"/>
  <c r="O5" i="42" s="1"/>
  <c r="O53" i="64"/>
  <c r="P30" i="42"/>
  <c r="P29" i="42" s="1"/>
  <c r="P11" i="65" s="1"/>
  <c r="O45" i="64"/>
  <c r="P20" i="42"/>
  <c r="P19" i="42" s="1"/>
  <c r="P8" i="65" s="1"/>
  <c r="N5" i="64"/>
  <c r="O9" i="42"/>
  <c r="O8" i="42" s="1"/>
  <c r="O24" i="65" s="1"/>
  <c r="O61" i="64"/>
  <c r="P27" i="42"/>
  <c r="P26" i="42" s="1"/>
  <c r="P10" i="65" s="1"/>
  <c r="L25" i="37" l="1"/>
  <c r="M25" i="37" s="1"/>
  <c r="N25" i="37" s="1"/>
  <c r="N3" i="65"/>
  <c r="N22" i="65"/>
  <c r="M4" i="45"/>
  <c r="N5" i="46"/>
  <c r="O23" i="65"/>
  <c r="O22" i="65" s="1"/>
  <c r="O5" i="43"/>
  <c r="O4" i="43"/>
  <c r="P61" i="64"/>
  <c r="Q27" i="42"/>
  <c r="Q26" i="42" s="1"/>
  <c r="Q10" i="65" s="1"/>
  <c r="O4" i="42"/>
  <c r="O3" i="42" s="1"/>
  <c r="O4" i="65"/>
  <c r="P21" i="64"/>
  <c r="Q16" i="42"/>
  <c r="Q15" i="42" s="1"/>
  <c r="Q7" i="65" s="1"/>
  <c r="O5" i="64"/>
  <c r="P9" i="42"/>
  <c r="P8" i="42" s="1"/>
  <c r="P11" i="42"/>
  <c r="P45" i="64"/>
  <c r="Q20" i="42"/>
  <c r="Q19" i="42" s="1"/>
  <c r="Q8" i="65" s="1"/>
  <c r="O5" i="65"/>
  <c r="O13" i="64"/>
  <c r="P6" i="42"/>
  <c r="P5" i="42" s="1"/>
  <c r="P37" i="64"/>
  <c r="Q23" i="42"/>
  <c r="Q22" i="42" s="1"/>
  <c r="Q9" i="65" s="1"/>
  <c r="P53" i="64"/>
  <c r="Q30" i="42"/>
  <c r="Q29" i="42" s="1"/>
  <c r="Q11" i="65" s="1"/>
  <c r="P25" i="42"/>
  <c r="P18" i="42"/>
  <c r="P29" i="64"/>
  <c r="Q13" i="42"/>
  <c r="Q12" i="42" s="1"/>
  <c r="M24" i="37" l="1"/>
  <c r="N24" i="37" s="1"/>
  <c r="M23" i="37"/>
  <c r="N23" i="37" s="1"/>
  <c r="N4" i="45"/>
  <c r="O5" i="46"/>
  <c r="P23" i="65"/>
  <c r="P5" i="43"/>
  <c r="P4" i="43"/>
  <c r="P5" i="65"/>
  <c r="P24" i="65"/>
  <c r="Q11" i="42"/>
  <c r="Q6" i="65"/>
  <c r="O3" i="65"/>
  <c r="Q18" i="42"/>
  <c r="P4" i="65"/>
  <c r="P4" i="42"/>
  <c r="P3" i="42" s="1"/>
  <c r="Q53" i="64"/>
  <c r="R30" i="42"/>
  <c r="R29" i="42" s="1"/>
  <c r="R11" i="65" s="1"/>
  <c r="P13" i="64"/>
  <c r="Q6" i="42"/>
  <c r="Q5" i="42" s="1"/>
  <c r="Q45" i="64"/>
  <c r="R20" i="42"/>
  <c r="R19" i="42" s="1"/>
  <c r="R8" i="65" s="1"/>
  <c r="P5" i="64"/>
  <c r="Q9" i="42"/>
  <c r="Q8" i="42" s="1"/>
  <c r="Q24" i="65" s="1"/>
  <c r="Q25" i="42"/>
  <c r="Q29" i="64"/>
  <c r="R13" i="42"/>
  <c r="R12" i="42" s="1"/>
  <c r="R6" i="65" s="1"/>
  <c r="Q37" i="64"/>
  <c r="R23" i="42"/>
  <c r="R22" i="42" s="1"/>
  <c r="R9" i="65" s="1"/>
  <c r="Q21" i="64"/>
  <c r="R16" i="42"/>
  <c r="R15" i="42" s="1"/>
  <c r="R7" i="65" s="1"/>
  <c r="Q61" i="64"/>
  <c r="R27" i="42"/>
  <c r="R26" i="42" s="1"/>
  <c r="R10" i="65" s="1"/>
  <c r="P5" i="46" l="1"/>
  <c r="O4" i="45"/>
  <c r="P22" i="65"/>
  <c r="Q23" i="65"/>
  <c r="Q22" i="65" s="1"/>
  <c r="Q5" i="43"/>
  <c r="Q4" i="43"/>
  <c r="P3" i="65"/>
  <c r="R11" i="42"/>
  <c r="Q5" i="64"/>
  <c r="R9" i="42"/>
  <c r="R8" i="42" s="1"/>
  <c r="Q13" i="64"/>
  <c r="R6" i="42"/>
  <c r="R5" i="42" s="1"/>
  <c r="R21" i="64"/>
  <c r="S16" i="42"/>
  <c r="S15" i="42" s="1"/>
  <c r="S7" i="65" s="1"/>
  <c r="R29" i="64"/>
  <c r="S13" i="42"/>
  <c r="S12" i="42" s="1"/>
  <c r="S6" i="65" s="1"/>
  <c r="R18" i="42"/>
  <c r="R25" i="42"/>
  <c r="R45" i="64"/>
  <c r="S20" i="42"/>
  <c r="S19" i="42" s="1"/>
  <c r="S8" i="65" s="1"/>
  <c r="R53" i="64"/>
  <c r="S30" i="42"/>
  <c r="S29" i="42" s="1"/>
  <c r="S11" i="65" s="1"/>
  <c r="R61" i="64"/>
  <c r="S27" i="42"/>
  <c r="S26" i="42" s="1"/>
  <c r="S10" i="65" s="1"/>
  <c r="R37" i="64"/>
  <c r="S23" i="42"/>
  <c r="S22" i="42" s="1"/>
  <c r="S9" i="65" s="1"/>
  <c r="Q5" i="65"/>
  <c r="Q4" i="42"/>
  <c r="Q3" i="42" s="1"/>
  <c r="Q4" i="65"/>
  <c r="P4" i="45" l="1"/>
  <c r="Q5" i="46"/>
  <c r="R23" i="65"/>
  <c r="R5" i="43"/>
  <c r="R4" i="43"/>
  <c r="R5" i="65"/>
  <c r="R24" i="65"/>
  <c r="Q3" i="65"/>
  <c r="S61" i="64"/>
  <c r="T27" i="42"/>
  <c r="T26" i="42" s="1"/>
  <c r="T10" i="65" s="1"/>
  <c r="S45" i="64"/>
  <c r="T20" i="42"/>
  <c r="T19" i="42" s="1"/>
  <c r="T8" i="65" s="1"/>
  <c r="S11" i="42"/>
  <c r="R4" i="65"/>
  <c r="R4" i="42"/>
  <c r="R3" i="42" s="1"/>
  <c r="S29" i="64"/>
  <c r="T13" i="42"/>
  <c r="T12" i="42" s="1"/>
  <c r="T6" i="65" s="1"/>
  <c r="R13" i="64"/>
  <c r="S6" i="42"/>
  <c r="S5" i="42" s="1"/>
  <c r="S37" i="64"/>
  <c r="T23" i="42"/>
  <c r="T22" i="42" s="1"/>
  <c r="T9" i="65" s="1"/>
  <c r="S53" i="64"/>
  <c r="T30" i="42"/>
  <c r="T29" i="42" s="1"/>
  <c r="T11" i="65" s="1"/>
  <c r="S25" i="42"/>
  <c r="S18" i="42"/>
  <c r="S21" i="64"/>
  <c r="T16" i="42"/>
  <c r="T15" i="42" s="1"/>
  <c r="T7" i="65" s="1"/>
  <c r="R5" i="64"/>
  <c r="S9" i="42"/>
  <c r="S8" i="42" s="1"/>
  <c r="R3" i="65" l="1"/>
  <c r="R22" i="65"/>
  <c r="Q4" i="45"/>
  <c r="R5" i="46"/>
  <c r="S23" i="65"/>
  <c r="S5" i="43"/>
  <c r="S4" i="43"/>
  <c r="S5" i="65"/>
  <c r="S24" i="65"/>
  <c r="T25" i="42"/>
  <c r="T11" i="42"/>
  <c r="T21" i="64"/>
  <c r="U16" i="42"/>
  <c r="U15" i="42" s="1"/>
  <c r="U7" i="65" s="1"/>
  <c r="T53" i="64"/>
  <c r="U30" i="42"/>
  <c r="U29" i="42" s="1"/>
  <c r="U11" i="65" s="1"/>
  <c r="S13" i="64"/>
  <c r="T6" i="42"/>
  <c r="T5" i="42" s="1"/>
  <c r="T61" i="64"/>
  <c r="U27" i="42"/>
  <c r="U26" i="42" s="1"/>
  <c r="S5" i="64"/>
  <c r="T9" i="42"/>
  <c r="T8" i="42" s="1"/>
  <c r="T37" i="64"/>
  <c r="U23" i="42"/>
  <c r="U22" i="42" s="1"/>
  <c r="U9" i="65" s="1"/>
  <c r="T29" i="64"/>
  <c r="U13" i="42"/>
  <c r="U12" i="42" s="1"/>
  <c r="T18" i="42"/>
  <c r="S4" i="42"/>
  <c r="S3" i="42" s="1"/>
  <c r="S4" i="65"/>
  <c r="T45" i="64"/>
  <c r="U20" i="42"/>
  <c r="U19" i="42" s="1"/>
  <c r="U8" i="65" s="1"/>
  <c r="S22" i="65" l="1"/>
  <c r="S3" i="65"/>
  <c r="S5" i="46"/>
  <c r="R4" i="45"/>
  <c r="T23" i="65"/>
  <c r="T5" i="43"/>
  <c r="T4" i="43"/>
  <c r="T5" i="65"/>
  <c r="T24" i="65"/>
  <c r="U11" i="42"/>
  <c r="U6" i="65"/>
  <c r="U25" i="42"/>
  <c r="U10" i="65"/>
  <c r="U18" i="42"/>
  <c r="U37" i="64"/>
  <c r="W23" i="42" s="1"/>
  <c r="W22" i="42" s="1"/>
  <c r="W9" i="65" s="1"/>
  <c r="V23" i="42"/>
  <c r="V22" i="42" s="1"/>
  <c r="V9" i="65" s="1"/>
  <c r="U61" i="64"/>
  <c r="W27" i="42" s="1"/>
  <c r="W26" i="42" s="1"/>
  <c r="W10" i="65" s="1"/>
  <c r="V27" i="42"/>
  <c r="V26" i="42" s="1"/>
  <c r="V10" i="65" s="1"/>
  <c r="U53" i="64"/>
  <c r="W30" i="42" s="1"/>
  <c r="W29" i="42" s="1"/>
  <c r="W11" i="65" s="1"/>
  <c r="V30" i="42"/>
  <c r="V29" i="42" s="1"/>
  <c r="U45" i="64"/>
  <c r="W20" i="42" s="1"/>
  <c r="W19" i="42" s="1"/>
  <c r="W8" i="65" s="1"/>
  <c r="V20" i="42"/>
  <c r="V19" i="42" s="1"/>
  <c r="V8" i="65" s="1"/>
  <c r="T4" i="65"/>
  <c r="T4" i="42"/>
  <c r="T3" i="42" s="1"/>
  <c r="U29" i="64"/>
  <c r="W13" i="42" s="1"/>
  <c r="W12" i="42" s="1"/>
  <c r="W6" i="65" s="1"/>
  <c r="V13" i="42"/>
  <c r="V12" i="42" s="1"/>
  <c r="V6" i="65" s="1"/>
  <c r="T5" i="64"/>
  <c r="U9" i="42"/>
  <c r="U8" i="42" s="1"/>
  <c r="T13" i="64"/>
  <c r="U6" i="42"/>
  <c r="U5" i="42" s="1"/>
  <c r="U21" i="64"/>
  <c r="W16" i="42" s="1"/>
  <c r="W15" i="42" s="1"/>
  <c r="W7" i="65" s="1"/>
  <c r="V16" i="42"/>
  <c r="V15" i="42" s="1"/>
  <c r="V7" i="65" s="1"/>
  <c r="T22" i="65" l="1"/>
  <c r="T5" i="46"/>
  <c r="S4" i="45"/>
  <c r="T3" i="65"/>
  <c r="U23" i="65"/>
  <c r="U5" i="43"/>
  <c r="U4" i="43"/>
  <c r="C6" i="65"/>
  <c r="C8" i="65"/>
  <c r="C10" i="65"/>
  <c r="U5" i="65"/>
  <c r="U24" i="65"/>
  <c r="V25" i="42"/>
  <c r="V11" i="65"/>
  <c r="C11" i="65" s="1"/>
  <c r="C7" i="65"/>
  <c r="C9" i="65"/>
  <c r="C15" i="42"/>
  <c r="C29" i="42"/>
  <c r="C22" i="42"/>
  <c r="V18" i="42"/>
  <c r="U13" i="64"/>
  <c r="W6" i="42" s="1"/>
  <c r="W5" i="42" s="1"/>
  <c r="V6" i="42"/>
  <c r="V5" i="42" s="1"/>
  <c r="W11" i="42"/>
  <c r="C12" i="42"/>
  <c r="W18" i="42"/>
  <c r="C19" i="42"/>
  <c r="W25" i="42"/>
  <c r="C26" i="42"/>
  <c r="U5" i="64"/>
  <c r="W9" i="42" s="1"/>
  <c r="W8" i="42" s="1"/>
  <c r="W24" i="65" s="1"/>
  <c r="V9" i="42"/>
  <c r="V8" i="42" s="1"/>
  <c r="U4" i="42"/>
  <c r="U3" i="42" s="1"/>
  <c r="U4" i="65"/>
  <c r="V11" i="42"/>
  <c r="U5" i="46" l="1"/>
  <c r="T4" i="45"/>
  <c r="U22" i="65"/>
  <c r="V23" i="65"/>
  <c r="V5" i="43"/>
  <c r="V4" i="43"/>
  <c r="W23" i="65"/>
  <c r="W5" i="43"/>
  <c r="W4" i="43"/>
  <c r="U3" i="65"/>
  <c r="V5" i="65"/>
  <c r="V24" i="65"/>
  <c r="C25" i="42"/>
  <c r="C18" i="42"/>
  <c r="V4" i="42"/>
  <c r="V3" i="42" s="1"/>
  <c r="V4" i="65"/>
  <c r="W5" i="65"/>
  <c r="C8" i="42"/>
  <c r="W4" i="42"/>
  <c r="W3" i="42" s="1"/>
  <c r="W4" i="65"/>
  <c r="C5" i="42"/>
  <c r="C30" i="65" s="1"/>
  <c r="C31" i="65" s="1"/>
  <c r="V22" i="65" l="1"/>
  <c r="V4" i="45"/>
  <c r="W5" i="46"/>
  <c r="U4" i="45"/>
  <c r="V5" i="46"/>
  <c r="C4" i="43"/>
  <c r="C5" i="43"/>
  <c r="C23" i="65"/>
  <c r="W22" i="65"/>
  <c r="C24" i="65"/>
  <c r="C5" i="65"/>
  <c r="V3" i="65"/>
  <c r="W3" i="65"/>
  <c r="C4" i="65"/>
  <c r="C22" i="65" l="1"/>
  <c r="C5" i="46"/>
  <c r="C3" i="65"/>
  <c r="F3" i="37" l="1"/>
  <c r="C35" i="37" l="1"/>
  <c r="C29" i="37" l="1"/>
  <c r="F30" i="37"/>
  <c r="F35" i="37"/>
  <c r="C31" i="37"/>
  <c r="F24" i="37"/>
  <c r="F23" i="37"/>
  <c r="F36" i="37"/>
  <c r="F29" i="37"/>
  <c r="C24" i="37"/>
  <c r="F25" i="37"/>
  <c r="F38" i="37" s="1"/>
  <c r="F31" i="37"/>
  <c r="C25" i="37"/>
  <c r="C30" i="37"/>
  <c r="F37" i="37"/>
  <c r="F32" i="37"/>
  <c r="F33" i="37"/>
  <c r="F39" i="37"/>
  <c r="C34" i="37"/>
  <c r="C22" i="37"/>
  <c r="F34" i="37"/>
  <c r="F22" i="37"/>
  <c r="C11" i="42"/>
  <c r="C4" i="42"/>
  <c r="F28" i="37" l="1"/>
  <c r="G9" i="46"/>
  <c r="T9" i="46"/>
  <c r="I9" i="46"/>
  <c r="Q9" i="46"/>
  <c r="U9" i="46"/>
  <c r="J9" i="46"/>
  <c r="R9" i="46"/>
  <c r="S9" i="46"/>
  <c r="V9" i="46"/>
  <c r="P9" i="46"/>
  <c r="H9" i="46"/>
  <c r="K9" i="46"/>
  <c r="L9" i="46"/>
  <c r="M9" i="46"/>
  <c r="N9" i="46"/>
  <c r="O9" i="46"/>
  <c r="F26" i="37"/>
  <c r="F27" i="37" s="1"/>
  <c r="F9" i="46"/>
  <c r="C3" i="42"/>
  <c r="C13" i="66" l="1"/>
  <c r="F21" i="37"/>
  <c r="F40" i="37" s="1"/>
  <c r="J14" i="66" l="1"/>
  <c r="J13" i="43" s="1"/>
  <c r="N14" i="66"/>
  <c r="N13" i="43" s="1"/>
  <c r="R14" i="66"/>
  <c r="R13" i="43" s="1"/>
  <c r="V14" i="66"/>
  <c r="V13" i="43" s="1"/>
  <c r="M14" i="66"/>
  <c r="M13" i="43" s="1"/>
  <c r="G14" i="66"/>
  <c r="G13" i="43" s="1"/>
  <c r="K14" i="66"/>
  <c r="K13" i="43" s="1"/>
  <c r="O14" i="66"/>
  <c r="O13" i="43" s="1"/>
  <c r="S14" i="66"/>
  <c r="S13" i="43" s="1"/>
  <c r="W14" i="66"/>
  <c r="W13" i="43" s="1"/>
  <c r="U14" i="66"/>
  <c r="U13" i="43" s="1"/>
  <c r="H14" i="66"/>
  <c r="H13" i="43" s="1"/>
  <c r="L14" i="66"/>
  <c r="L13" i="43" s="1"/>
  <c r="P14" i="66"/>
  <c r="P13" i="43" s="1"/>
  <c r="T14" i="66"/>
  <c r="T13" i="43" s="1"/>
  <c r="F14" i="66"/>
  <c r="I14" i="66"/>
  <c r="I13" i="43" s="1"/>
  <c r="Q14" i="66"/>
  <c r="Q13" i="43" s="1"/>
  <c r="C34" i="65"/>
  <c r="C35" i="65"/>
  <c r="F44" i="37"/>
  <c r="N7" i="37" l="1"/>
  <c r="N18" i="37"/>
  <c r="C4" i="66" s="1"/>
  <c r="N3" i="37"/>
  <c r="N11" i="37"/>
  <c r="N16" i="37"/>
  <c r="N5" i="37"/>
  <c r="N6" i="37"/>
  <c r="N13" i="37"/>
  <c r="N12" i="37"/>
  <c r="N10" i="37"/>
  <c r="N4" i="37"/>
  <c r="N8" i="37"/>
  <c r="N9" i="37"/>
  <c r="N14" i="37"/>
  <c r="N17" i="37"/>
  <c r="C37" i="65" s="1"/>
  <c r="E11" i="46"/>
  <c r="D11" i="46"/>
  <c r="F46" i="37"/>
  <c r="F47" i="37" s="1"/>
  <c r="D13" i="65"/>
  <c r="E13" i="65"/>
  <c r="E12" i="65" s="1"/>
  <c r="E5" i="44"/>
  <c r="D5" i="44"/>
  <c r="F13" i="43"/>
  <c r="C13" i="43" s="1"/>
  <c r="C14" i="66"/>
  <c r="F15" i="66"/>
  <c r="G15" i="66" s="1"/>
  <c r="H15" i="66" s="1"/>
  <c r="I15" i="66" s="1"/>
  <c r="J15" i="66" s="1"/>
  <c r="K15" i="66" s="1"/>
  <c r="L15" i="66" s="1"/>
  <c r="M15" i="66" s="1"/>
  <c r="N15" i="66" s="1"/>
  <c r="O15" i="66" s="1"/>
  <c r="P15" i="66" s="1"/>
  <c r="Q15" i="66" s="1"/>
  <c r="R15" i="66" s="1"/>
  <c r="S15" i="66" s="1"/>
  <c r="T15" i="66" s="1"/>
  <c r="U15" i="66" s="1"/>
  <c r="V15" i="66" s="1"/>
  <c r="W15" i="66" s="1"/>
  <c r="W16" i="66" s="1"/>
  <c r="C36" i="65"/>
  <c r="C33" i="65" s="1"/>
  <c r="F49" i="37" l="1"/>
  <c r="F48" i="37"/>
  <c r="D6" i="43"/>
  <c r="P6" i="43"/>
  <c r="H6" i="43"/>
  <c r="W6" i="43"/>
  <c r="W3" i="43" s="1"/>
  <c r="W11" i="43" s="1"/>
  <c r="W12" i="46" s="1"/>
  <c r="O6" i="43"/>
  <c r="O3" i="43" s="1"/>
  <c r="G6" i="43"/>
  <c r="G3" i="43" s="1"/>
  <c r="E6" i="43"/>
  <c r="E3" i="43" s="1"/>
  <c r="V6" i="43"/>
  <c r="V3" i="43" s="1"/>
  <c r="V11" i="43" s="1"/>
  <c r="V12" i="46" s="1"/>
  <c r="N6" i="43"/>
  <c r="N3" i="43" s="1"/>
  <c r="F6" i="43"/>
  <c r="F3" i="43" s="1"/>
  <c r="U6" i="43"/>
  <c r="U3" i="43" s="1"/>
  <c r="U11" i="43" s="1"/>
  <c r="U12" i="46" s="1"/>
  <c r="M6" i="43"/>
  <c r="M3" i="43" s="1"/>
  <c r="T6" i="43"/>
  <c r="T3" i="43" s="1"/>
  <c r="T11" i="43" s="1"/>
  <c r="T12" i="46" s="1"/>
  <c r="L6" i="43"/>
  <c r="L3" i="43" s="1"/>
  <c r="S6" i="43"/>
  <c r="S3" i="43" s="1"/>
  <c r="S11" i="43" s="1"/>
  <c r="S12" i="46" s="1"/>
  <c r="K6" i="43"/>
  <c r="K3" i="43" s="1"/>
  <c r="J6" i="43"/>
  <c r="Q6" i="43"/>
  <c r="Q3" i="43" s="1"/>
  <c r="Q11" i="43" s="1"/>
  <c r="Q12" i="46" s="1"/>
  <c r="R6" i="43"/>
  <c r="R3" i="43" s="1"/>
  <c r="R11" i="43" s="1"/>
  <c r="R12" i="46" s="1"/>
  <c r="I6" i="43"/>
  <c r="I3" i="43" s="1"/>
  <c r="G5" i="66"/>
  <c r="G12" i="43" s="1"/>
  <c r="V5" i="66"/>
  <c r="V12" i="43" s="1"/>
  <c r="F5" i="66"/>
  <c r="H5" i="66"/>
  <c r="H12" i="43" s="1"/>
  <c r="O5" i="66"/>
  <c r="O12" i="43" s="1"/>
  <c r="T5" i="66"/>
  <c r="T12" i="43" s="1"/>
  <c r="R5" i="66"/>
  <c r="R12" i="43" s="1"/>
  <c r="M5" i="66"/>
  <c r="M12" i="43" s="1"/>
  <c r="P5" i="66"/>
  <c r="P12" i="43" s="1"/>
  <c r="Q5" i="66"/>
  <c r="Q12" i="43" s="1"/>
  <c r="N5" i="66"/>
  <c r="N12" i="43" s="1"/>
  <c r="K5" i="66"/>
  <c r="K12" i="43" s="1"/>
  <c r="J5" i="66"/>
  <c r="J12" i="43" s="1"/>
  <c r="W5" i="66"/>
  <c r="W12" i="43" s="1"/>
  <c r="I5" i="66"/>
  <c r="I12" i="43" s="1"/>
  <c r="L5" i="66"/>
  <c r="L12" i="43" s="1"/>
  <c r="S5" i="66"/>
  <c r="S12" i="43" s="1"/>
  <c r="U5" i="66"/>
  <c r="U12" i="43" s="1"/>
  <c r="D8" i="46"/>
  <c r="D9" i="46" s="1"/>
  <c r="C5" i="44"/>
  <c r="D6" i="44"/>
  <c r="D8" i="44" s="1"/>
  <c r="E8" i="46"/>
  <c r="C38" i="65"/>
  <c r="P3" i="43"/>
  <c r="H3" i="43"/>
  <c r="J3" i="43"/>
  <c r="C11" i="46"/>
  <c r="D12" i="65"/>
  <c r="C13" i="65"/>
  <c r="C40" i="65" l="1"/>
  <c r="U14" i="43"/>
  <c r="T7" i="45" s="1"/>
  <c r="S14" i="43"/>
  <c r="R7" i="45" s="1"/>
  <c r="I9" i="44"/>
  <c r="I14" i="46" s="1"/>
  <c r="J9" i="44"/>
  <c r="J14" i="46" s="1"/>
  <c r="G9" i="44"/>
  <c r="G14" i="46" s="1"/>
  <c r="F9" i="44"/>
  <c r="H9" i="44"/>
  <c r="H14" i="46" s="1"/>
  <c r="V14" i="43"/>
  <c r="U7" i="45" s="1"/>
  <c r="W14" i="43"/>
  <c r="V7" i="45" s="1"/>
  <c r="Q14" i="43"/>
  <c r="P7" i="45" s="1"/>
  <c r="C6" i="43"/>
  <c r="D3" i="43"/>
  <c r="F6" i="66"/>
  <c r="G6" i="66" s="1"/>
  <c r="H6" i="66" s="1"/>
  <c r="I6" i="66" s="1"/>
  <c r="J6" i="66" s="1"/>
  <c r="K6" i="66" s="1"/>
  <c r="L6" i="66" s="1"/>
  <c r="M6" i="66" s="1"/>
  <c r="N6" i="66" s="1"/>
  <c r="O6" i="66" s="1"/>
  <c r="P6" i="66" s="1"/>
  <c r="Q6" i="66" s="1"/>
  <c r="R6" i="66" s="1"/>
  <c r="S6" i="66" s="1"/>
  <c r="T6" i="66" s="1"/>
  <c r="U6" i="66" s="1"/>
  <c r="V6" i="66" s="1"/>
  <c r="W6" i="66" s="1"/>
  <c r="W7" i="66" s="1"/>
  <c r="W7" i="46" s="1"/>
  <c r="F12" i="43"/>
  <c r="C12" i="43" s="1"/>
  <c r="C5" i="66"/>
  <c r="R14" i="43"/>
  <c r="Q7" i="45" s="1"/>
  <c r="C8" i="46"/>
  <c r="E9" i="46"/>
  <c r="T14" i="43"/>
  <c r="S7" i="45" s="1"/>
  <c r="D10" i="43"/>
  <c r="D7" i="44"/>
  <c r="D15" i="65"/>
  <c r="C12" i="65"/>
  <c r="C7" i="46" l="1"/>
  <c r="W9" i="46"/>
  <c r="F14" i="46"/>
  <c r="C14" i="46" s="1"/>
  <c r="C9" i="44"/>
  <c r="D11" i="43"/>
  <c r="D12" i="46" s="1"/>
  <c r="C3" i="43"/>
  <c r="D10" i="44"/>
  <c r="E4" i="44" s="1"/>
  <c r="E6" i="44" s="1"/>
  <c r="E8" i="44" s="1"/>
  <c r="E14" i="65"/>
  <c r="E16" i="65" s="1"/>
  <c r="D14" i="43" l="1"/>
  <c r="C9" i="46"/>
  <c r="E10" i="43"/>
  <c r="E7" i="44"/>
  <c r="E15" i="65"/>
  <c r="F14" i="65" s="1"/>
  <c r="E18" i="65"/>
  <c r="E19" i="65"/>
  <c r="E20" i="65"/>
  <c r="E11" i="43" l="1"/>
  <c r="E12" i="46" s="1"/>
  <c r="C7" i="45"/>
  <c r="E10" i="44"/>
  <c r="F4" i="44" s="1"/>
  <c r="F6" i="44" s="1"/>
  <c r="F8" i="44" s="1"/>
  <c r="F16" i="65"/>
  <c r="F15" i="65"/>
  <c r="G14" i="65" s="1"/>
  <c r="G16" i="65" s="1"/>
  <c r="E17" i="65"/>
  <c r="F10" i="43" l="1"/>
  <c r="F7" i="44"/>
  <c r="E14" i="43"/>
  <c r="F18" i="65"/>
  <c r="F19" i="65"/>
  <c r="F20" i="65"/>
  <c r="G15" i="65"/>
  <c r="H14" i="65" s="1"/>
  <c r="H16" i="65" s="1"/>
  <c r="G20" i="65"/>
  <c r="G18" i="65"/>
  <c r="G19" i="65"/>
  <c r="D7" i="45" l="1"/>
  <c r="F10" i="44"/>
  <c r="G4" i="44" s="1"/>
  <c r="F11" i="43"/>
  <c r="F12" i="46" s="1"/>
  <c r="F17" i="65"/>
  <c r="G17" i="65"/>
  <c r="H15" i="65"/>
  <c r="I14" i="65" s="1"/>
  <c r="H19" i="65"/>
  <c r="H20" i="65"/>
  <c r="H18" i="65"/>
  <c r="F14" i="43" l="1"/>
  <c r="E7" i="45" s="1"/>
  <c r="G6" i="44"/>
  <c r="G8" i="44" s="1"/>
  <c r="I16" i="65"/>
  <c r="I15" i="65"/>
  <c r="J14" i="65" s="1"/>
  <c r="H17" i="65"/>
  <c r="G7" i="44" l="1"/>
  <c r="G10" i="43"/>
  <c r="I18" i="65"/>
  <c r="I20" i="65"/>
  <c r="J16" i="65"/>
  <c r="J15" i="65"/>
  <c r="K14" i="65" s="1"/>
  <c r="K16" i="65" s="1"/>
  <c r="I19" i="65"/>
  <c r="G10" i="44" l="1"/>
  <c r="H4" i="44" s="1"/>
  <c r="G11" i="43"/>
  <c r="G12" i="46" s="1"/>
  <c r="J19" i="65"/>
  <c r="I17" i="65"/>
  <c r="J20" i="65"/>
  <c r="J18" i="65"/>
  <c r="K18" i="65"/>
  <c r="K19" i="65"/>
  <c r="K20" i="65"/>
  <c r="K15" i="65"/>
  <c r="G14" i="43" l="1"/>
  <c r="H6" i="44"/>
  <c r="H8" i="44" s="1"/>
  <c r="J17" i="65"/>
  <c r="L14" i="65"/>
  <c r="L16" i="65" s="1"/>
  <c r="K17" i="65"/>
  <c r="H10" i="43" l="1"/>
  <c r="H11" i="43" s="1"/>
  <c r="H12" i="46" s="1"/>
  <c r="H7" i="44"/>
  <c r="H10" i="44" s="1"/>
  <c r="I4" i="44" s="1"/>
  <c r="I6" i="44" s="1"/>
  <c r="I8" i="44" s="1"/>
  <c r="F7" i="45"/>
  <c r="L15" i="65"/>
  <c r="M14" i="65" s="1"/>
  <c r="L19" i="65"/>
  <c r="L18" i="65"/>
  <c r="L20" i="65"/>
  <c r="I10" i="43" l="1"/>
  <c r="I11" i="43" s="1"/>
  <c r="I12" i="46" s="1"/>
  <c r="I7" i="44"/>
  <c r="I10" i="44" s="1"/>
  <c r="J4" i="44" s="1"/>
  <c r="H14" i="43"/>
  <c r="M16" i="65"/>
  <c r="M15" i="65"/>
  <c r="N14" i="65" s="1"/>
  <c r="N16" i="65" s="1"/>
  <c r="L17" i="65"/>
  <c r="G7" i="45" l="1"/>
  <c r="J6" i="44"/>
  <c r="J8" i="44" s="1"/>
  <c r="I14" i="43"/>
  <c r="H7" i="45" s="1"/>
  <c r="M19" i="65"/>
  <c r="M20" i="65"/>
  <c r="M18" i="65"/>
  <c r="N15" i="65"/>
  <c r="N18" i="65"/>
  <c r="N20" i="65"/>
  <c r="N19" i="65"/>
  <c r="J10" i="43" l="1"/>
  <c r="J11" i="43" s="1"/>
  <c r="J12" i="46" s="1"/>
  <c r="J7" i="44"/>
  <c r="J10" i="44" s="1"/>
  <c r="K4" i="44" s="1"/>
  <c r="M17" i="65"/>
  <c r="O14" i="65"/>
  <c r="O16" i="65" s="1"/>
  <c r="N17" i="65"/>
  <c r="K6" i="44" l="1"/>
  <c r="K8" i="44" s="1"/>
  <c r="J14" i="43"/>
  <c r="I7" i="45" s="1"/>
  <c r="O18" i="65"/>
  <c r="O20" i="65"/>
  <c r="O19" i="65"/>
  <c r="O15" i="65"/>
  <c r="K7" i="44" l="1"/>
  <c r="K10" i="44" s="1"/>
  <c r="L4" i="44" s="1"/>
  <c r="L6" i="44" s="1"/>
  <c r="L8" i="44" s="1"/>
  <c r="K10" i="43"/>
  <c r="K11" i="43" s="1"/>
  <c r="K12" i="46" s="1"/>
  <c r="O17" i="65"/>
  <c r="P14" i="65"/>
  <c r="P16" i="65" s="1"/>
  <c r="L7" i="44" l="1"/>
  <c r="L10" i="44" s="1"/>
  <c r="M4" i="44" s="1"/>
  <c r="L10" i="43"/>
  <c r="L11" i="43" s="1"/>
  <c r="L12" i="46" s="1"/>
  <c r="K14" i="43"/>
  <c r="J7" i="45" s="1"/>
  <c r="P20" i="65"/>
  <c r="P18" i="65"/>
  <c r="P19" i="65"/>
  <c r="P15" i="65"/>
  <c r="L14" i="43" l="1"/>
  <c r="K7" i="45" s="1"/>
  <c r="M6" i="44"/>
  <c r="M8" i="44" s="1"/>
  <c r="Q14" i="65"/>
  <c r="Q16" i="65" s="1"/>
  <c r="P17" i="65"/>
  <c r="M10" i="43" l="1"/>
  <c r="M11" i="43" s="1"/>
  <c r="M12" i="46" s="1"/>
  <c r="M7" i="44"/>
  <c r="M10" i="44" s="1"/>
  <c r="N4" i="44" s="1"/>
  <c r="N6" i="44" s="1"/>
  <c r="N8" i="44" s="1"/>
  <c r="Q15" i="65"/>
  <c r="R14" i="65" s="1"/>
  <c r="R16" i="65" s="1"/>
  <c r="Q19" i="65"/>
  <c r="Q18" i="65"/>
  <c r="Q20" i="65"/>
  <c r="N10" i="43" l="1"/>
  <c r="N11" i="43" s="1"/>
  <c r="N12" i="46" s="1"/>
  <c r="N7" i="44"/>
  <c r="N10" i="44" s="1"/>
  <c r="O4" i="44" s="1"/>
  <c r="O6" i="44" s="1"/>
  <c r="O8" i="44" s="1"/>
  <c r="M14" i="43"/>
  <c r="L7" i="45" s="1"/>
  <c r="R15" i="65"/>
  <c r="S14" i="65" s="1"/>
  <c r="Q17" i="65"/>
  <c r="R20" i="65"/>
  <c r="R19" i="65"/>
  <c r="R18" i="65"/>
  <c r="O7" i="44" l="1"/>
  <c r="O10" i="44" s="1"/>
  <c r="P4" i="44" s="1"/>
  <c r="O10" i="43"/>
  <c r="O11" i="43" s="1"/>
  <c r="O12" i="46" s="1"/>
  <c r="N14" i="43"/>
  <c r="M7" i="45" s="1"/>
  <c r="S16" i="65"/>
  <c r="S15" i="65"/>
  <c r="T14" i="65" s="1"/>
  <c r="R17" i="65"/>
  <c r="P6" i="44" l="1"/>
  <c r="P8" i="44" s="1"/>
  <c r="O14" i="43"/>
  <c r="N7" i="45" s="1"/>
  <c r="S18" i="65"/>
  <c r="S19" i="65"/>
  <c r="S20" i="65"/>
  <c r="T16" i="65"/>
  <c r="T15" i="65"/>
  <c r="U14" i="65" s="1"/>
  <c r="U15" i="65" s="1"/>
  <c r="V14" i="65" s="1"/>
  <c r="P7" i="44" l="1"/>
  <c r="P10" i="43"/>
  <c r="C8" i="44"/>
  <c r="T18" i="65"/>
  <c r="S17" i="65"/>
  <c r="T19" i="65"/>
  <c r="T20" i="65"/>
  <c r="V15" i="65"/>
  <c r="V16" i="65"/>
  <c r="U16" i="65"/>
  <c r="P11" i="43" l="1"/>
  <c r="P12" i="46" s="1"/>
  <c r="C10" i="43"/>
  <c r="C7" i="44"/>
  <c r="P10" i="44"/>
  <c r="Q4" i="44" s="1"/>
  <c r="T17" i="65"/>
  <c r="U20" i="65"/>
  <c r="U18" i="65"/>
  <c r="U19" i="65"/>
  <c r="V20" i="65"/>
  <c r="V19" i="65"/>
  <c r="V18" i="65"/>
  <c r="W14" i="65"/>
  <c r="Q6" i="44" l="1"/>
  <c r="Q10" i="44" s="1"/>
  <c r="R4" i="44" s="1"/>
  <c r="C12" i="46"/>
  <c r="P14" i="43"/>
  <c r="C11" i="43"/>
  <c r="V17" i="65"/>
  <c r="W16" i="65"/>
  <c r="C14" i="65"/>
  <c r="U17" i="65"/>
  <c r="W15" i="65"/>
  <c r="C15" i="65" s="1"/>
  <c r="O7" i="45" l="1"/>
  <c r="C14" i="43"/>
  <c r="R6" i="44"/>
  <c r="R10" i="44" s="1"/>
  <c r="S4" i="44" s="1"/>
  <c r="W18" i="65"/>
  <c r="W19" i="65"/>
  <c r="C19" i="65" s="1"/>
  <c r="W20" i="65"/>
  <c r="C20" i="65" s="1"/>
  <c r="C16" i="65"/>
  <c r="S6" i="44" l="1"/>
  <c r="S10" i="44" s="1"/>
  <c r="T4" i="44" s="1"/>
  <c r="W17" i="65"/>
  <c r="C18" i="65"/>
  <c r="T6" i="44" l="1"/>
  <c r="T10" i="44" s="1"/>
  <c r="U4" i="44" s="1"/>
  <c r="C17" i="65"/>
  <c r="C39" i="65" s="1"/>
  <c r="C32" i="65" s="1"/>
  <c r="C41" i="65" s="1"/>
  <c r="C42" i="65" s="1"/>
  <c r="C43" i="65" s="1"/>
  <c r="F25" i="65" s="1"/>
  <c r="U6" i="44" l="1"/>
  <c r="U10" i="44" s="1"/>
  <c r="V4" i="44" s="1"/>
  <c r="C44" i="65"/>
  <c r="K25" i="65"/>
  <c r="K26" i="65" s="1"/>
  <c r="O25" i="65"/>
  <c r="O26" i="65" s="1"/>
  <c r="S25" i="65"/>
  <c r="S26" i="65" s="1"/>
  <c r="W25" i="65"/>
  <c r="W26" i="65" s="1"/>
  <c r="H25" i="65"/>
  <c r="H26" i="65" s="1"/>
  <c r="L25" i="65"/>
  <c r="L26" i="65" s="1"/>
  <c r="P25" i="65"/>
  <c r="P26" i="65" s="1"/>
  <c r="T25" i="65"/>
  <c r="T26" i="65" s="1"/>
  <c r="G25" i="65"/>
  <c r="G26" i="65" s="1"/>
  <c r="J25" i="65"/>
  <c r="J26" i="65" s="1"/>
  <c r="V25" i="65"/>
  <c r="V26" i="65" s="1"/>
  <c r="I25" i="65"/>
  <c r="I26" i="65" s="1"/>
  <c r="M25" i="65"/>
  <c r="M26" i="65" s="1"/>
  <c r="Q25" i="65"/>
  <c r="Q26" i="65" s="1"/>
  <c r="U25" i="65"/>
  <c r="U26" i="65" s="1"/>
  <c r="D25" i="65"/>
  <c r="D26" i="65" s="1"/>
  <c r="D13" i="46" s="1"/>
  <c r="N25" i="65"/>
  <c r="N26" i="65" s="1"/>
  <c r="R25" i="65"/>
  <c r="R26" i="65" s="1"/>
  <c r="E25" i="65"/>
  <c r="E26" i="65" s="1"/>
  <c r="K6" i="45" l="1"/>
  <c r="K8" i="45" s="1"/>
  <c r="K9" i="45" s="1"/>
  <c r="K10" i="45" s="1"/>
  <c r="L15" i="46" s="1"/>
  <c r="L13" i="46"/>
  <c r="G6" i="45"/>
  <c r="G8" i="45" s="1"/>
  <c r="G9" i="45" s="1"/>
  <c r="G10" i="45" s="1"/>
  <c r="H15" i="46" s="1"/>
  <c r="H13" i="46"/>
  <c r="H6" i="45"/>
  <c r="H8" i="45" s="1"/>
  <c r="H9" i="45" s="1"/>
  <c r="H10" i="45" s="1"/>
  <c r="I15" i="46" s="1"/>
  <c r="I13" i="46"/>
  <c r="V6" i="45"/>
  <c r="V8" i="45" s="1"/>
  <c r="V9" i="45" s="1"/>
  <c r="V10" i="45" s="1"/>
  <c r="W15" i="46" s="1"/>
  <c r="W13" i="46"/>
  <c r="D6" i="45"/>
  <c r="D8" i="45" s="1"/>
  <c r="D9" i="45" s="1"/>
  <c r="D10" i="45" s="1"/>
  <c r="E15" i="46" s="1"/>
  <c r="E13" i="46"/>
  <c r="U6" i="45"/>
  <c r="U8" i="45" s="1"/>
  <c r="U9" i="45" s="1"/>
  <c r="U10" i="45" s="1"/>
  <c r="V15" i="46" s="1"/>
  <c r="V13" i="46"/>
  <c r="R6" i="45"/>
  <c r="R8" i="45" s="1"/>
  <c r="R9" i="45" s="1"/>
  <c r="R10" i="45" s="1"/>
  <c r="S15" i="46" s="1"/>
  <c r="S13" i="46"/>
  <c r="I6" i="45"/>
  <c r="I8" i="45" s="1"/>
  <c r="I9" i="45" s="1"/>
  <c r="I10" i="45" s="1"/>
  <c r="J15" i="46" s="1"/>
  <c r="J13" i="46"/>
  <c r="N6" i="45"/>
  <c r="N8" i="45" s="1"/>
  <c r="N9" i="45" s="1"/>
  <c r="N10" i="45" s="1"/>
  <c r="O15" i="46" s="1"/>
  <c r="O13" i="46"/>
  <c r="Q6" i="45"/>
  <c r="Q8" i="45" s="1"/>
  <c r="Q9" i="45" s="1"/>
  <c r="Q10" i="45" s="1"/>
  <c r="R15" i="46" s="1"/>
  <c r="R13" i="46"/>
  <c r="J6" i="45"/>
  <c r="J8" i="45" s="1"/>
  <c r="J9" i="45" s="1"/>
  <c r="J10" i="45" s="1"/>
  <c r="K15" i="46" s="1"/>
  <c r="K13" i="46"/>
  <c r="L6" i="45"/>
  <c r="L8" i="45" s="1"/>
  <c r="L9" i="45" s="1"/>
  <c r="L10" i="45" s="1"/>
  <c r="M15" i="46" s="1"/>
  <c r="M13" i="46"/>
  <c r="C6" i="45"/>
  <c r="C8" i="45" s="1"/>
  <c r="C9" i="45" s="1"/>
  <c r="C10" i="45" s="1"/>
  <c r="D15" i="46" s="1"/>
  <c r="P6" i="45"/>
  <c r="P8" i="45" s="1"/>
  <c r="P9" i="45" s="1"/>
  <c r="P10" i="45" s="1"/>
  <c r="Q15" i="46" s="1"/>
  <c r="Q13" i="46"/>
  <c r="M6" i="45"/>
  <c r="M8" i="45" s="1"/>
  <c r="M9" i="45" s="1"/>
  <c r="M10" i="45" s="1"/>
  <c r="N15" i="46" s="1"/>
  <c r="N13" i="46"/>
  <c r="F6" i="45"/>
  <c r="F8" i="45" s="1"/>
  <c r="F9" i="45" s="1"/>
  <c r="F10" i="45" s="1"/>
  <c r="G15" i="46" s="1"/>
  <c r="G13" i="46"/>
  <c r="S6" i="45"/>
  <c r="S8" i="45" s="1"/>
  <c r="S9" i="45" s="1"/>
  <c r="S10" i="45" s="1"/>
  <c r="T15" i="46" s="1"/>
  <c r="T13" i="46"/>
  <c r="T6" i="45"/>
  <c r="T8" i="45" s="1"/>
  <c r="T9" i="45" s="1"/>
  <c r="T10" i="45" s="1"/>
  <c r="U15" i="46" s="1"/>
  <c r="U13" i="46"/>
  <c r="O6" i="45"/>
  <c r="O8" i="45" s="1"/>
  <c r="O9" i="45" s="1"/>
  <c r="O10" i="45" s="1"/>
  <c r="P15" i="46" s="1"/>
  <c r="P13" i="46"/>
  <c r="V6" i="44"/>
  <c r="V10" i="44" s="1"/>
  <c r="W4" i="44" s="1"/>
  <c r="W6" i="44" s="1"/>
  <c r="W10" i="44" s="1"/>
  <c r="C25" i="65"/>
  <c r="F26" i="65"/>
  <c r="F13" i="46" s="1"/>
  <c r="O16" i="46" l="1"/>
  <c r="O17" i="46" s="1"/>
  <c r="T16" i="46"/>
  <c r="T17" i="46" s="1"/>
  <c r="U16" i="46"/>
  <c r="U17" i="46" s="1"/>
  <c r="Q16" i="46"/>
  <c r="Q17" i="46" s="1"/>
  <c r="L16" i="46"/>
  <c r="L17" i="46" s="1"/>
  <c r="H16" i="46"/>
  <c r="H17" i="46" s="1"/>
  <c r="C13" i="46"/>
  <c r="D11" i="45"/>
  <c r="D12" i="45" s="1"/>
  <c r="D13" i="45" s="1"/>
  <c r="N16" i="46"/>
  <c r="N17" i="46" s="1"/>
  <c r="V16" i="46"/>
  <c r="V17" i="46" s="1"/>
  <c r="K16" i="46"/>
  <c r="K17" i="46" s="1"/>
  <c r="I16" i="46"/>
  <c r="I17" i="46" s="1"/>
  <c r="C11" i="45"/>
  <c r="C12" i="45" s="1"/>
  <c r="C13" i="45" s="1"/>
  <c r="C14" i="45" s="1"/>
  <c r="G16" i="46"/>
  <c r="G17" i="46" s="1"/>
  <c r="J16" i="46"/>
  <c r="J17" i="46" s="1"/>
  <c r="W16" i="46"/>
  <c r="W17" i="46" s="1"/>
  <c r="P16" i="46"/>
  <c r="P17" i="46" s="1"/>
  <c r="M16" i="46"/>
  <c r="M17" i="46" s="1"/>
  <c r="S16" i="46"/>
  <c r="S17" i="46" s="1"/>
  <c r="R16" i="46"/>
  <c r="R17" i="46" s="1"/>
  <c r="E16" i="46"/>
  <c r="E17" i="46" s="1"/>
  <c r="V11" i="45"/>
  <c r="V12" i="45" s="1"/>
  <c r="V13" i="45" s="1"/>
  <c r="M11" i="45"/>
  <c r="M12" i="45" s="1"/>
  <c r="M13" i="45" s="1"/>
  <c r="J11" i="45"/>
  <c r="J12" i="45" s="1"/>
  <c r="J13" i="45" s="1"/>
  <c r="F11" i="45"/>
  <c r="F12" i="45" s="1"/>
  <c r="F13" i="45" s="1"/>
  <c r="I11" i="45"/>
  <c r="I12" i="45" s="1"/>
  <c r="I13" i="45" s="1"/>
  <c r="U11" i="45"/>
  <c r="U12" i="45" s="1"/>
  <c r="U13" i="45" s="1"/>
  <c r="H11" i="45"/>
  <c r="H12" i="45" s="1"/>
  <c r="H13" i="45" s="1"/>
  <c r="N11" i="45"/>
  <c r="N12" i="45" s="1"/>
  <c r="N13" i="45" s="1"/>
  <c r="K11" i="45"/>
  <c r="K12" i="45" s="1"/>
  <c r="K13" i="45" s="1"/>
  <c r="L11" i="45"/>
  <c r="L12" i="45" s="1"/>
  <c r="L13" i="45" s="1"/>
  <c r="Q11" i="45"/>
  <c r="Q12" i="45" s="1"/>
  <c r="Q13" i="45" s="1"/>
  <c r="G11" i="45"/>
  <c r="G12" i="45" s="1"/>
  <c r="G13" i="45" s="1"/>
  <c r="R11" i="45"/>
  <c r="R12" i="45" s="1"/>
  <c r="R13" i="45" s="1"/>
  <c r="C26" i="65"/>
  <c r="E6" i="45"/>
  <c r="E8" i="45" s="1"/>
  <c r="O11" i="45"/>
  <c r="O12" i="45" s="1"/>
  <c r="O13" i="45" s="1"/>
  <c r="T11" i="45"/>
  <c r="T12" i="45" s="1"/>
  <c r="T13" i="45" s="1"/>
  <c r="P11" i="45"/>
  <c r="P12" i="45" s="1"/>
  <c r="P13" i="45" s="1"/>
  <c r="S11" i="45"/>
  <c r="S12" i="45" s="1"/>
  <c r="S13" i="45" s="1"/>
  <c r="D16" i="46"/>
  <c r="D14" i="45" l="1"/>
  <c r="E9" i="45"/>
  <c r="E10" i="45" s="1"/>
  <c r="F15" i="46" s="1"/>
  <c r="D17" i="46"/>
  <c r="D18" i="46" l="1"/>
  <c r="E18" i="46" s="1"/>
  <c r="E11" i="45"/>
  <c r="E12" i="45" s="1"/>
  <c r="E13" i="45" s="1"/>
  <c r="E14" i="45" s="1"/>
  <c r="F14" i="45" s="1"/>
  <c r="G14" i="45" s="1"/>
  <c r="H14" i="45" s="1"/>
  <c r="I14" i="45" s="1"/>
  <c r="J14" i="45" s="1"/>
  <c r="K14" i="45" s="1"/>
  <c r="L14" i="45" s="1"/>
  <c r="M14" i="45" s="1"/>
  <c r="N14" i="45" s="1"/>
  <c r="O14" i="45" s="1"/>
  <c r="P14" i="45" s="1"/>
  <c r="Q14" i="45" s="1"/>
  <c r="R14" i="45" s="1"/>
  <c r="S14" i="45" s="1"/>
  <c r="T14" i="45" s="1"/>
  <c r="U14" i="45" s="1"/>
  <c r="V14" i="45" s="1"/>
  <c r="F16" i="46"/>
  <c r="C15" i="46"/>
  <c r="C26" i="46" s="1"/>
  <c r="F17" i="46" l="1"/>
  <c r="F22" i="46" s="1"/>
  <c r="C16" i="46"/>
  <c r="C17" i="46" l="1"/>
  <c r="F18" i="46"/>
  <c r="G18" i="46" s="1"/>
  <c r="H18" i="46" s="1"/>
  <c r="I18" i="46" s="1"/>
  <c r="J18" i="46" s="1"/>
  <c r="K18" i="46" s="1"/>
  <c r="L18" i="46" s="1"/>
  <c r="M18" i="46" s="1"/>
  <c r="N18" i="46" s="1"/>
  <c r="O18" i="46" s="1"/>
  <c r="P18" i="46" s="1"/>
  <c r="Q18" i="46" s="1"/>
  <c r="R18" i="46" s="1"/>
  <c r="S18" i="46" s="1"/>
  <c r="T18" i="46" s="1"/>
  <c r="U18" i="46" s="1"/>
  <c r="V18" i="46" s="1"/>
  <c r="W18" i="46" s="1"/>
  <c r="E23" i="46"/>
</calcChain>
</file>

<file path=xl/sharedStrings.xml><?xml version="1.0" encoding="utf-8"?>
<sst xmlns="http://schemas.openxmlformats.org/spreadsheetml/2006/main" count="1280" uniqueCount="480">
  <si>
    <t>序号</t>
  </si>
  <si>
    <t>单位</t>
  </si>
  <si>
    <t>备注</t>
  </si>
  <si>
    <t>一</t>
  </si>
  <si>
    <t>施工图审查费</t>
  </si>
  <si>
    <t>预备费</t>
  </si>
  <si>
    <t>项目</t>
  </si>
  <si>
    <t>增值税</t>
  </si>
  <si>
    <t>折旧费</t>
  </si>
  <si>
    <t>摊销费</t>
  </si>
  <si>
    <t>总成本费用</t>
  </si>
  <si>
    <t>所得税</t>
  </si>
  <si>
    <t>累计未分配利润</t>
  </si>
  <si>
    <t>现金流入</t>
  </si>
  <si>
    <t>现金流出</t>
  </si>
  <si>
    <t>项目名称</t>
  </si>
  <si>
    <t>面积</t>
    <phoneticPr fontId="2" type="noConversion"/>
  </si>
  <si>
    <t>单价(元）</t>
    <phoneticPr fontId="2" type="noConversion"/>
  </si>
  <si>
    <t>投资额（万元）</t>
    <phoneticPr fontId="2" type="noConversion"/>
  </si>
  <si>
    <t>建安工程费</t>
    <phoneticPr fontId="2" type="noConversion"/>
  </si>
  <si>
    <t>㎡</t>
  </si>
  <si>
    <t>工程建设其他费</t>
  </si>
  <si>
    <t>计算公式</t>
  </si>
  <si>
    <t>依据</t>
  </si>
  <si>
    <t>建设单位管理费</t>
  </si>
  <si>
    <t>财建[2016]504号</t>
  </si>
  <si>
    <t>建设单位临时设施费</t>
  </si>
  <si>
    <t>建安费*1%</t>
  </si>
  <si>
    <t>建标[2007]164号</t>
  </si>
  <si>
    <t>工程监理费</t>
  </si>
  <si>
    <t>发改价格[2007]670号</t>
  </si>
  <si>
    <t>工程设计费</t>
  </si>
  <si>
    <t>深价规[2009]号</t>
  </si>
  <si>
    <t>工程勘察费</t>
  </si>
  <si>
    <t>工程设计费*30%</t>
  </si>
  <si>
    <t>计价格[2002]10号文</t>
  </si>
  <si>
    <t>(设计费+勘察费）*6.5%</t>
  </si>
  <si>
    <t>粤建设函[2004]353号</t>
  </si>
  <si>
    <t>工程造价咨询费</t>
  </si>
  <si>
    <t>工程概算编制费</t>
  </si>
  <si>
    <t>粤价函[2011]742号文</t>
  </si>
  <si>
    <t>工程预算编制费</t>
  </si>
  <si>
    <t>工程结算编制费</t>
  </si>
  <si>
    <t>工程保险费</t>
  </si>
  <si>
    <t>建安费*0.1%</t>
  </si>
  <si>
    <t>深建价[2013]57号</t>
  </si>
  <si>
    <t>施工安全监督费</t>
  </si>
  <si>
    <t>深府[2004]159号文</t>
  </si>
  <si>
    <t>前期咨询费</t>
  </si>
  <si>
    <t>计价格(1999)1283号</t>
  </si>
  <si>
    <t>委托招标代理费</t>
  </si>
  <si>
    <t>计价格[2002]1980号文</t>
  </si>
  <si>
    <t>建设环境影响咨询费</t>
  </si>
  <si>
    <t>23.5+(51-23.5)/80000*(建安费-20000)</t>
  </si>
  <si>
    <t>深发改[2016]1066号</t>
  </si>
  <si>
    <t>工程交易服务费</t>
  </si>
  <si>
    <t>计价格[2002]125号文</t>
  </si>
  <si>
    <t>竣工图编制费</t>
  </si>
  <si>
    <t>工程设计费*8%</t>
  </si>
  <si>
    <t>粤价（2002）370号文</t>
  </si>
  <si>
    <t>水土保持服务费</t>
  </si>
  <si>
    <t>深水保【2017】362号</t>
  </si>
  <si>
    <t>三</t>
    <phoneticPr fontId="2" type="noConversion"/>
  </si>
  <si>
    <t>（一+二）*5%</t>
    <phoneticPr fontId="2" type="noConversion"/>
  </si>
  <si>
    <t>一+二+三+四</t>
    <phoneticPr fontId="2" type="noConversion"/>
  </si>
  <si>
    <t>销项税</t>
  </si>
  <si>
    <t>进项税当年取得额</t>
  </si>
  <si>
    <t>进项税当年抵扣额</t>
  </si>
  <si>
    <t>年末进项税未抵扣额</t>
  </si>
  <si>
    <t>工程建设</t>
    <phoneticPr fontId="7" type="noConversion"/>
  </si>
  <si>
    <t>增值税及其他税金估算表</t>
    <phoneticPr fontId="7" type="noConversion"/>
  </si>
  <si>
    <t>增值税附加</t>
    <phoneticPr fontId="7" type="noConversion"/>
  </si>
  <si>
    <t>城市维护建设税</t>
    <phoneticPr fontId="7" type="noConversion"/>
  </si>
  <si>
    <t>教育费附加</t>
    <phoneticPr fontId="7" type="noConversion"/>
  </si>
  <si>
    <t>地方教育费附加</t>
    <phoneticPr fontId="7" type="noConversion"/>
  </si>
  <si>
    <t>建设期</t>
  </si>
  <si>
    <t>总成本费用</t>
    <phoneticPr fontId="7" type="noConversion"/>
  </si>
  <si>
    <t>运营期</t>
    <phoneticPr fontId="7" type="noConversion"/>
  </si>
  <si>
    <t>利润总额</t>
  </si>
  <si>
    <t>应纳税所得额</t>
  </si>
  <si>
    <t>所得税（25%）</t>
  </si>
  <si>
    <t>净利润</t>
  </si>
  <si>
    <t>盈余公积（10%）</t>
  </si>
  <si>
    <t>未分配利润</t>
  </si>
  <si>
    <t>融资流入</t>
    <phoneticPr fontId="11" type="noConversion"/>
  </si>
  <si>
    <t>现金流入合计</t>
  </si>
  <si>
    <t>固定资产投资</t>
  </si>
  <si>
    <t>还本</t>
    <phoneticPr fontId="11" type="noConversion"/>
  </si>
  <si>
    <t>现金流出合计</t>
  </si>
  <si>
    <t>净现金流量</t>
  </si>
  <si>
    <t>累计净现金流量</t>
  </si>
  <si>
    <t>所得税前净现金流量</t>
  </si>
  <si>
    <t>所得税前累计净现金流量</t>
  </si>
  <si>
    <t>计算指标</t>
  </si>
  <si>
    <t>所得税后</t>
  </si>
  <si>
    <t>所得税前</t>
  </si>
  <si>
    <t>财务内部收益率</t>
  </si>
  <si>
    <t>财务净现值</t>
  </si>
  <si>
    <t>投资回收期(含建设期）</t>
  </si>
  <si>
    <t>2.2.1</t>
    <phoneticPr fontId="7" type="noConversion"/>
  </si>
  <si>
    <t>二</t>
    <phoneticPr fontId="7" type="noConversion"/>
  </si>
  <si>
    <t>四</t>
    <phoneticPr fontId="7" type="noConversion"/>
  </si>
  <si>
    <t>五</t>
    <phoneticPr fontId="2" type="noConversion"/>
  </si>
  <si>
    <t>土地费</t>
    <phoneticPr fontId="7" type="noConversion"/>
  </si>
  <si>
    <t>财政补贴</t>
    <phoneticPr fontId="7" type="noConversion"/>
  </si>
  <si>
    <t>第N年</t>
    <phoneticPr fontId="7" type="noConversion"/>
  </si>
  <si>
    <t>合计</t>
    <phoneticPr fontId="7" type="noConversion"/>
  </si>
  <si>
    <t>银行贷款/利率</t>
    <phoneticPr fontId="11" type="noConversion"/>
  </si>
  <si>
    <t>年初借款本金</t>
    <phoneticPr fontId="11" type="noConversion"/>
  </si>
  <si>
    <t>本年借款</t>
    <phoneticPr fontId="11" type="noConversion"/>
  </si>
  <si>
    <t>本年应计利息</t>
    <phoneticPr fontId="11" type="noConversion"/>
  </si>
  <si>
    <t>本年还本付息（现金流出）</t>
    <phoneticPr fontId="11" type="noConversion"/>
  </si>
  <si>
    <t>1.4.1</t>
    <phoneticPr fontId="11" type="noConversion"/>
  </si>
  <si>
    <t>本年付息（财务费）</t>
    <phoneticPr fontId="11" type="noConversion"/>
  </si>
  <si>
    <t>1.4.2</t>
    <phoneticPr fontId="11" type="noConversion"/>
  </si>
  <si>
    <t>本年还本</t>
    <phoneticPr fontId="11" type="noConversion"/>
  </si>
  <si>
    <t>年末借款本金</t>
    <phoneticPr fontId="11" type="noConversion"/>
  </si>
  <si>
    <t>资本金比例</t>
    <phoneticPr fontId="11" type="noConversion"/>
  </si>
  <si>
    <t>还本付息表</t>
    <phoneticPr fontId="7" type="noConversion"/>
  </si>
  <si>
    <t>营业收入</t>
    <phoneticPr fontId="7" type="noConversion"/>
  </si>
  <si>
    <t>财政补贴收入</t>
    <phoneticPr fontId="7" type="noConversion"/>
  </si>
  <si>
    <t>容积率</t>
    <phoneticPr fontId="7" type="noConversion"/>
  </si>
  <si>
    <t>住宅</t>
    <phoneticPr fontId="7" type="noConversion"/>
  </si>
  <si>
    <t>幼儿园</t>
    <phoneticPr fontId="7" type="noConversion"/>
  </si>
  <si>
    <t>配套商业</t>
    <phoneticPr fontId="7" type="noConversion"/>
  </si>
  <si>
    <t>总投资</t>
    <phoneticPr fontId="7" type="noConversion"/>
  </si>
  <si>
    <t>建筑基底面积</t>
    <phoneticPr fontId="7" type="noConversion"/>
  </si>
  <si>
    <t>地下停车位销售单价（元/个）</t>
    <phoneticPr fontId="7" type="noConversion"/>
  </si>
  <si>
    <t>销售费用</t>
    <phoneticPr fontId="7" type="noConversion"/>
  </si>
  <si>
    <t>管理费用</t>
    <phoneticPr fontId="7" type="noConversion"/>
  </si>
  <si>
    <t>土增税</t>
    <phoneticPr fontId="7" type="noConversion"/>
  </si>
  <si>
    <t>土地增值税</t>
    <phoneticPr fontId="7" type="noConversion"/>
  </si>
  <si>
    <t>不含税收入</t>
    <phoneticPr fontId="7" type="noConversion"/>
  </si>
  <si>
    <t>含税收入</t>
    <phoneticPr fontId="7" type="noConversion"/>
  </si>
  <si>
    <t>扣除项目</t>
    <phoneticPr fontId="7" type="noConversion"/>
  </si>
  <si>
    <t>地价</t>
    <phoneticPr fontId="7" type="noConversion"/>
  </si>
  <si>
    <t>配建视同</t>
    <phoneticPr fontId="7" type="noConversion"/>
  </si>
  <si>
    <t>取得土地使用权支付金额</t>
    <phoneticPr fontId="7" type="noConversion"/>
  </si>
  <si>
    <t>房地产开发费用</t>
    <phoneticPr fontId="7" type="noConversion"/>
  </si>
  <si>
    <t>与转让房地产有关税金</t>
    <phoneticPr fontId="7" type="noConversion"/>
  </si>
  <si>
    <t>加计扣除项目</t>
    <phoneticPr fontId="7" type="noConversion"/>
  </si>
  <si>
    <t>增值额</t>
    <phoneticPr fontId="7" type="noConversion"/>
  </si>
  <si>
    <t>增值额/扣除项目</t>
    <phoneticPr fontId="7" type="noConversion"/>
  </si>
  <si>
    <t>房地产开发成本(不含税)</t>
    <phoneticPr fontId="7" type="noConversion"/>
  </si>
  <si>
    <t>土增税税率</t>
    <phoneticPr fontId="7" type="noConversion"/>
  </si>
  <si>
    <t>借款年限</t>
    <phoneticPr fontId="7" type="noConversion"/>
  </si>
  <si>
    <t>增值税及其他税金</t>
    <phoneticPr fontId="7" type="noConversion"/>
  </si>
  <si>
    <t>社区配套用房</t>
    <phoneticPr fontId="7" type="noConversion"/>
  </si>
  <si>
    <t>基础设施及其他</t>
    <phoneticPr fontId="7" type="noConversion"/>
  </si>
  <si>
    <t>地下建筑面积（m²）</t>
    <phoneticPr fontId="7" type="noConversion"/>
  </si>
  <si>
    <t>备注</t>
    <phoneticPr fontId="7" type="noConversion"/>
  </si>
  <si>
    <t>1.2.1</t>
    <phoneticPr fontId="7" type="noConversion"/>
  </si>
  <si>
    <t>1.2.2</t>
    <phoneticPr fontId="7" type="noConversion"/>
  </si>
  <si>
    <t>序号</t>
    <phoneticPr fontId="7" type="noConversion"/>
  </si>
  <si>
    <t>指标</t>
    <phoneticPr fontId="7" type="noConversion"/>
  </si>
  <si>
    <t>取值</t>
    <phoneticPr fontId="7" type="noConversion"/>
  </si>
  <si>
    <t>依据</t>
    <phoneticPr fontId="7" type="noConversion"/>
  </si>
  <si>
    <t>地块面积（m²）</t>
    <phoneticPr fontId="7" type="noConversion"/>
  </si>
  <si>
    <t>根据项目实际情况确定</t>
    <phoneticPr fontId="7" type="noConversion"/>
  </si>
  <si>
    <t>住宅自持自用、不租不售比例</t>
    <phoneticPr fontId="7" type="noConversion"/>
  </si>
  <si>
    <t>一般可取1.5~3.0（低于0.3，高档独栋别墅项目；0.3~0.5，一般独栋别墅项目；0.5~0.8，一般双拼、联排别墅项目；0.8~1.2，低密度多层项目；1.2~1.5，正常多层项目；1.5~2.0，正常多层+小高层项目；2.0~2.5，正常小高层项目；2.5~3.0，小高层+二类高层项目（18层以内）；3.0~6.0，高层项目（楼高100米以内）；6.0以上，摩天大楼项目）多层：1~6层；小高层：7~11层；高层：12层及以上</t>
    <phoneticPr fontId="7" type="noConversion"/>
  </si>
  <si>
    <t>住宅出租比例</t>
    <phoneticPr fontId="7" type="noConversion"/>
  </si>
  <si>
    <t>一般可取20%~40%（根据1980年版国家建委《城市规划定额指标暂行规定》，居住建筑密度：四层一般可按26%左右，五层一般可按23%左右，六层不低于20%）</t>
    <phoneticPr fontId="7" type="noConversion"/>
  </si>
  <si>
    <t>住宅出售比例</t>
    <phoneticPr fontId="7" type="noConversion"/>
  </si>
  <si>
    <t>=地块面积×建筑密度</t>
    <phoneticPr fontId="7" type="noConversion"/>
  </si>
  <si>
    <t>可居住户数</t>
    <phoneticPr fontId="7" type="noConversion"/>
  </si>
  <si>
    <t>=住宅地上建筑面积/100，并取整</t>
    <phoneticPr fontId="7" type="noConversion"/>
  </si>
  <si>
    <t>可居住人数</t>
    <phoneticPr fontId="7" type="noConversion"/>
  </si>
  <si>
    <t>=可居住户数×3</t>
    <phoneticPr fontId="7" type="noConversion"/>
  </si>
  <si>
    <t>总建筑面积</t>
    <phoneticPr fontId="7" type="noConversion"/>
  </si>
  <si>
    <t>=地上建筑面积+地下建筑面积</t>
    <phoneticPr fontId="7" type="noConversion"/>
  </si>
  <si>
    <r>
      <t>其中，地上建筑面积（</t>
    </r>
    <r>
      <rPr>
        <sz val="10"/>
        <rFont val="Arial"/>
        <family val="3"/>
      </rPr>
      <t>m²</t>
    </r>
    <r>
      <rPr>
        <sz val="10"/>
        <rFont val="宋体"/>
        <family val="3"/>
        <charset val="134"/>
      </rPr>
      <t>）</t>
    </r>
    <phoneticPr fontId="7" type="noConversion"/>
  </si>
  <si>
    <t>=地块面积×容积率</t>
    <phoneticPr fontId="7" type="noConversion"/>
  </si>
  <si>
    <t>=住宅建筑面积地下部分</t>
    <phoneticPr fontId="7" type="noConversion"/>
  </si>
  <si>
    <t>住宅建筑面积（m²）</t>
    <phoneticPr fontId="7" type="noConversion"/>
  </si>
  <si>
    <t>=住宅建筑面积地上部分+住宅建筑面积地下部分</t>
    <phoneticPr fontId="7" type="noConversion"/>
  </si>
  <si>
    <t>其中，地上部分（m²）</t>
    <phoneticPr fontId="7" type="noConversion"/>
  </si>
  <si>
    <t>=地上建筑面积-配套商业建筑面积-配套幼儿园建筑面积-社区配套用房建筑面积</t>
    <phoneticPr fontId="7" type="noConversion"/>
  </si>
  <si>
    <t>地下部分（m²）</t>
    <phoneticPr fontId="7" type="noConversion"/>
  </si>
  <si>
    <t>=地下停车位建筑面积+地下室建筑面积</t>
    <phoneticPr fontId="7" type="noConversion"/>
  </si>
  <si>
    <t>8.2.1</t>
    <phoneticPr fontId="7" type="noConversion"/>
  </si>
  <si>
    <t>经验值</t>
    <phoneticPr fontId="7" type="noConversion"/>
  </si>
  <si>
    <t>8.2.2</t>
    <phoneticPr fontId="7" type="noConversion"/>
  </si>
  <si>
    <t>地下停车位建筑面积（m²）</t>
    <phoneticPr fontId="7" type="noConversion"/>
  </si>
  <si>
    <t>8.2.3</t>
    <phoneticPr fontId="7" type="noConversion"/>
  </si>
  <si>
    <t>地下室建筑面积（m²）</t>
    <phoneticPr fontId="7" type="noConversion"/>
  </si>
  <si>
    <t>配套商业建筑面积（m²）</t>
    <phoneticPr fontId="7" type="noConversion"/>
  </si>
  <si>
    <t>配套幼儿园（m²）</t>
    <phoneticPr fontId="7" type="noConversion"/>
  </si>
  <si>
    <t>可按地上总建筑面积的1.5%~2%进行估算，并适当取整</t>
    <phoneticPr fontId="7" type="noConversion"/>
  </si>
  <si>
    <t>社区配套用房（m²）</t>
    <phoneticPr fontId="7" type="noConversion"/>
  </si>
  <si>
    <t>可按地上总建筑面积的1%进行估算，并适当取整</t>
    <phoneticPr fontId="7" type="noConversion"/>
  </si>
  <si>
    <t>住宅地上部分主体建安综合单价（元/m²）</t>
    <phoneticPr fontId="7" type="noConversion"/>
  </si>
  <si>
    <t>住宅地上部分精装修综合单价（元/m²）</t>
    <phoneticPr fontId="7" type="noConversion"/>
  </si>
  <si>
    <t>配套商业主体建安综合单价（元/m²）</t>
    <phoneticPr fontId="7" type="noConversion"/>
  </si>
  <si>
    <t>配套商业精装修综合单价（元/m²）</t>
    <phoneticPr fontId="7" type="noConversion"/>
  </si>
  <si>
    <t>配套幼儿园主体建安综合单价（元/m²）</t>
    <phoneticPr fontId="7" type="noConversion"/>
  </si>
  <si>
    <t>配套幼儿园精装修综合单价（元/m²）</t>
    <phoneticPr fontId="7" type="noConversion"/>
  </si>
  <si>
    <t>社区配套用房主体建安综合单价（元/m²）</t>
    <phoneticPr fontId="7" type="noConversion"/>
  </si>
  <si>
    <t>社区配套用房精装修综合单价（元/m²）</t>
    <phoneticPr fontId="7" type="noConversion"/>
  </si>
  <si>
    <t>小区绿化及配套基础设施综合单价（元/m²）</t>
    <phoneticPr fontId="7" type="noConversion"/>
  </si>
  <si>
    <t>根据项目实际情况确定，一般住宅项目建设周期为2年</t>
    <phoneticPr fontId="7" type="noConversion"/>
  </si>
  <si>
    <t>次年开发进度</t>
    <phoneticPr fontId="7" type="noConversion"/>
  </si>
  <si>
    <t>—</t>
    <phoneticPr fontId="7" type="noConversion"/>
  </si>
  <si>
    <t>住宅租售比例</t>
    <phoneticPr fontId="7" type="noConversion"/>
  </si>
  <si>
    <t>1.1.1</t>
    <phoneticPr fontId="7" type="noConversion"/>
  </si>
  <si>
    <t>1.1.2</t>
    <phoneticPr fontId="7" type="noConversion"/>
  </si>
  <si>
    <t>1.1.3</t>
    <phoneticPr fontId="7" type="noConversion"/>
  </si>
  <si>
    <t>住宅出租收入模型</t>
    <phoneticPr fontId="7" type="noConversion"/>
  </si>
  <si>
    <t>住宅出售收入模型</t>
    <phoneticPr fontId="7" type="noConversion"/>
  </si>
  <si>
    <t>2.1.1</t>
    <phoneticPr fontId="7" type="noConversion"/>
  </si>
  <si>
    <t>2.1.2</t>
    <phoneticPr fontId="7" type="noConversion"/>
  </si>
  <si>
    <t>2.1.3</t>
    <phoneticPr fontId="7" type="noConversion"/>
  </si>
  <si>
    <t>配套商业租售比例</t>
    <phoneticPr fontId="7" type="noConversion"/>
  </si>
  <si>
    <t>配套商业自持自用、不租不售比例</t>
    <phoneticPr fontId="7" type="noConversion"/>
  </si>
  <si>
    <t>配套商业出租比例</t>
    <phoneticPr fontId="7" type="noConversion"/>
  </si>
  <si>
    <t>配套商业出售比例</t>
    <phoneticPr fontId="7" type="noConversion"/>
  </si>
  <si>
    <t>配套商业出租收入模型</t>
    <phoneticPr fontId="7" type="noConversion"/>
  </si>
  <si>
    <t>2.2.2</t>
    <phoneticPr fontId="7" type="noConversion"/>
  </si>
  <si>
    <t>配套商业出售收入模型</t>
    <phoneticPr fontId="7" type="noConversion"/>
  </si>
  <si>
    <t>地下室</t>
    <phoneticPr fontId="7" type="noConversion"/>
  </si>
  <si>
    <t>3.1.1</t>
    <phoneticPr fontId="7" type="noConversion"/>
  </si>
  <si>
    <t>3.1.2</t>
  </si>
  <si>
    <t>3.1.3</t>
  </si>
  <si>
    <t>地下室租售比例</t>
    <phoneticPr fontId="7" type="noConversion"/>
  </si>
  <si>
    <t>地下室自持自用、不租不售比例</t>
    <phoneticPr fontId="7" type="noConversion"/>
  </si>
  <si>
    <t>地下室出租比例</t>
    <phoneticPr fontId="7" type="noConversion"/>
  </si>
  <si>
    <t>地下室出售比例</t>
    <phoneticPr fontId="7" type="noConversion"/>
  </si>
  <si>
    <t>地下室出售收入模型</t>
  </si>
  <si>
    <t>地下室出租收入模型</t>
    <phoneticPr fontId="7" type="noConversion"/>
  </si>
  <si>
    <t>3.2.1</t>
    <phoneticPr fontId="7" type="noConversion"/>
  </si>
  <si>
    <t>3.2.2</t>
    <phoneticPr fontId="7" type="noConversion"/>
  </si>
  <si>
    <t>地下停车位</t>
    <phoneticPr fontId="7" type="noConversion"/>
  </si>
  <si>
    <t>地下停车位租售比例</t>
    <phoneticPr fontId="7" type="noConversion"/>
  </si>
  <si>
    <t>地下停车位出租比例</t>
  </si>
  <si>
    <t>地下停车位出售比例</t>
  </si>
  <si>
    <t>地下停车位出租收入模型</t>
  </si>
  <si>
    <t>地下停车位出售收入模型</t>
  </si>
  <si>
    <t>地下停车位自持自用、不租不售比例</t>
    <phoneticPr fontId="7" type="noConversion"/>
  </si>
  <si>
    <t>4.1.1</t>
    <phoneticPr fontId="7" type="noConversion"/>
  </si>
  <si>
    <t>4.1.2</t>
    <phoneticPr fontId="7" type="noConversion"/>
  </si>
  <si>
    <t>4.1.3</t>
    <phoneticPr fontId="7" type="noConversion"/>
  </si>
  <si>
    <t>销售费用/销售收入</t>
    <phoneticPr fontId="7" type="noConversion"/>
  </si>
  <si>
    <t>管理费用/销售收入</t>
    <phoneticPr fontId="7" type="noConversion"/>
  </si>
  <si>
    <t>经验值</t>
    <phoneticPr fontId="7" type="noConversion"/>
  </si>
  <si>
    <t>住宅租赁</t>
    <phoneticPr fontId="7" type="noConversion"/>
  </si>
  <si>
    <t>商业租赁</t>
    <phoneticPr fontId="7" type="noConversion"/>
  </si>
  <si>
    <t>固定资产折旧</t>
    <phoneticPr fontId="7" type="noConversion"/>
  </si>
  <si>
    <t>折旧年限</t>
    <phoneticPr fontId="7" type="noConversion"/>
  </si>
  <si>
    <t>残值率</t>
    <phoneticPr fontId="7" type="noConversion"/>
  </si>
  <si>
    <t>无形资产摊销</t>
    <phoneticPr fontId="7" type="noConversion"/>
  </si>
  <si>
    <t>摊销年限</t>
    <phoneticPr fontId="7" type="noConversion"/>
  </si>
  <si>
    <r>
      <rPr>
        <sz val="10"/>
        <rFont val="宋体"/>
        <family val="3"/>
        <charset val="134"/>
      </rPr>
      <t>根据《中华人民共和国企业所得税法实施条例》，最低折旧年限为：（一）房屋、建筑物，为</t>
    </r>
    <r>
      <rPr>
        <sz val="10"/>
        <rFont val="Arial"/>
        <family val="2"/>
      </rPr>
      <t>20</t>
    </r>
    <r>
      <rPr>
        <sz val="10"/>
        <rFont val="宋体"/>
        <family val="3"/>
        <charset val="134"/>
      </rPr>
      <t>年；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>（二）飞机、火车、轮船、机器、机械和其他生产设备，为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年；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>（三）与生产经营活动有关的器具、工具、家具等，为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年；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>（四）飞机、火车、轮船以外的运输工具，为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年；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>（五）电子设备，为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年</t>
    </r>
    <phoneticPr fontId="7" type="noConversion"/>
  </si>
  <si>
    <r>
      <rPr>
        <sz val="10"/>
        <rFont val="宋体"/>
        <family val="3"/>
        <charset val="134"/>
      </rPr>
      <t>一般可设为</t>
    </r>
    <r>
      <rPr>
        <sz val="10"/>
        <rFont val="Arial"/>
        <family val="3"/>
      </rPr>
      <t>0%~5%</t>
    </r>
    <phoneticPr fontId="7" type="noConversion"/>
  </si>
  <si>
    <r>
      <rPr>
        <sz val="10"/>
        <rFont val="宋体"/>
        <family val="3"/>
        <charset val="134"/>
      </rPr>
      <t>根据《中华人民共和国企业所得税法实施条例》，无形资产的摊销年限不得低于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年（特殊情况除外）</t>
    </r>
    <phoneticPr fontId="7" type="noConversion"/>
  </si>
  <si>
    <t>增值税</t>
    <phoneticPr fontId="7" type="noConversion"/>
  </si>
  <si>
    <t>工程建设进项税税率</t>
    <phoneticPr fontId="7" type="noConversion"/>
  </si>
  <si>
    <t>可根据税法变动调整</t>
    <phoneticPr fontId="7" type="noConversion"/>
  </si>
  <si>
    <t>物业销售销项税率</t>
    <phoneticPr fontId="7" type="noConversion"/>
  </si>
  <si>
    <t>物业租赁销项税率</t>
    <phoneticPr fontId="7" type="noConversion"/>
  </si>
  <si>
    <t>城市维护建设税</t>
    <phoneticPr fontId="7" type="noConversion"/>
  </si>
  <si>
    <t>教育费附加</t>
    <phoneticPr fontId="7" type="noConversion"/>
  </si>
  <si>
    <t>地方教育费附加</t>
    <phoneticPr fontId="7" type="noConversion"/>
  </si>
  <si>
    <t>物业销售部分经营成本</t>
    <phoneticPr fontId="7" type="noConversion"/>
  </si>
  <si>
    <t>物业租赁部分经营成本</t>
    <phoneticPr fontId="7" type="noConversion"/>
  </si>
  <si>
    <r>
      <rPr>
        <sz val="10"/>
        <rFont val="宋体"/>
        <family val="2"/>
        <charset val="134"/>
      </rPr>
      <t>根据《中华人民共和国城市维护建设税法》：（一）纳税人所在地在市区的，税率为百分之七；</t>
    </r>
    <r>
      <rPr>
        <sz val="10"/>
        <rFont val="Arial"/>
        <family val="2"/>
      </rPr>
      <t xml:space="preserve">
</t>
    </r>
    <r>
      <rPr>
        <sz val="10"/>
        <rFont val="宋体"/>
        <family val="2"/>
        <charset val="134"/>
      </rPr>
      <t>（二）纳税人所在地在县城、镇的，税率为百分之五；</t>
    </r>
    <r>
      <rPr>
        <sz val="10"/>
        <rFont val="Arial"/>
        <family val="2"/>
      </rPr>
      <t xml:space="preserve">
</t>
    </r>
    <r>
      <rPr>
        <sz val="10"/>
        <rFont val="宋体"/>
        <family val="2"/>
        <charset val="134"/>
      </rPr>
      <t>（三）纳税人所在地不在市区、县城或者镇的，税率为百分之一。（可根据税法变动调整）</t>
    </r>
    <phoneticPr fontId="7" type="noConversion"/>
  </si>
  <si>
    <t>地上部分主体建安</t>
    <phoneticPr fontId="7" type="noConversion"/>
  </si>
  <si>
    <t>地上部分精装修</t>
    <phoneticPr fontId="7" type="noConversion"/>
  </si>
  <si>
    <t>地下部分主体建安</t>
    <phoneticPr fontId="7" type="noConversion"/>
  </si>
  <si>
    <t>精装修</t>
    <phoneticPr fontId="7" type="noConversion"/>
  </si>
  <si>
    <t>主体建安</t>
    <phoneticPr fontId="7" type="noConversion"/>
  </si>
  <si>
    <t>按5%考虑</t>
    <phoneticPr fontId="2" type="noConversion"/>
  </si>
  <si>
    <t>居住用地</t>
    <phoneticPr fontId="7" type="noConversion"/>
  </si>
  <si>
    <t>商业用地</t>
    <phoneticPr fontId="7" type="noConversion"/>
  </si>
  <si>
    <t>居住用地面积（m²）</t>
    <phoneticPr fontId="7" type="noConversion"/>
  </si>
  <si>
    <t>商业用地面积（m²）</t>
    <phoneticPr fontId="7" type="noConversion"/>
  </si>
  <si>
    <t>居住用地地面地价（元/m²）</t>
    <phoneticPr fontId="7" type="noConversion"/>
  </si>
  <si>
    <t>商业用地地面地价（元/m²）</t>
    <phoneticPr fontId="7" type="noConversion"/>
  </si>
  <si>
    <t>根据项目实际情况确定，注意此栏为地面地价，不是楼面地价</t>
    <phoneticPr fontId="7" type="noConversion"/>
  </si>
  <si>
    <t>总投资估算表</t>
    <phoneticPr fontId="7" type="noConversion"/>
  </si>
  <si>
    <t>一</t>
    <phoneticPr fontId="7" type="noConversion"/>
  </si>
  <si>
    <t>年份</t>
    <phoneticPr fontId="7" type="noConversion"/>
  </si>
  <si>
    <t>出租率</t>
    <phoneticPr fontId="7" type="noConversion"/>
  </si>
  <si>
    <t>出租单价（元/m²/天）</t>
    <phoneticPr fontId="7" type="noConversion"/>
  </si>
  <si>
    <t>出租面积（m²）</t>
    <phoneticPr fontId="7" type="noConversion"/>
  </si>
  <si>
    <t>见“输入值【2】”</t>
    <phoneticPr fontId="7" type="noConversion"/>
  </si>
  <si>
    <t>建设期</t>
    <phoneticPr fontId="7" type="noConversion"/>
  </si>
  <si>
    <t>阶段</t>
    <phoneticPr fontId="7" type="noConversion"/>
  </si>
  <si>
    <t>去化率</t>
    <phoneticPr fontId="7" type="noConversion"/>
  </si>
  <si>
    <t>销售面积（m²）</t>
    <phoneticPr fontId="7" type="noConversion"/>
  </si>
  <si>
    <t>销售单价（元/m²）</t>
    <phoneticPr fontId="7" type="noConversion"/>
  </si>
  <si>
    <t>出租单价（元/个/月）</t>
    <phoneticPr fontId="7" type="noConversion"/>
  </si>
  <si>
    <t>销售单价（元/个）</t>
    <phoneticPr fontId="7" type="noConversion"/>
  </si>
  <si>
    <t>出租个数（个）</t>
    <phoneticPr fontId="7" type="noConversion"/>
  </si>
  <si>
    <t>销售个数（个）</t>
    <phoneticPr fontId="7" type="noConversion"/>
  </si>
  <si>
    <t>住宅销售单价（元/m²）</t>
    <phoneticPr fontId="7" type="noConversion"/>
  </si>
  <si>
    <t>住宅销售面积（m²）</t>
    <phoneticPr fontId="7" type="noConversion"/>
  </si>
  <si>
    <t>营业收入(万元)</t>
    <phoneticPr fontId="7" type="noConversion"/>
  </si>
  <si>
    <t>住宅（万元）</t>
    <phoneticPr fontId="7" type="noConversion"/>
  </si>
  <si>
    <t>住宅销售收入（万元）</t>
    <phoneticPr fontId="7" type="noConversion"/>
  </si>
  <si>
    <t>住宅出租单价（元/m²/天）</t>
    <phoneticPr fontId="7" type="noConversion"/>
  </si>
  <si>
    <t>住宅出租面积（m²）</t>
    <phoneticPr fontId="7" type="noConversion"/>
  </si>
  <si>
    <t>住宅出租收入（万元）</t>
    <phoneticPr fontId="7" type="noConversion"/>
  </si>
  <si>
    <t>配套商业销售收入（万元）</t>
    <phoneticPr fontId="7" type="noConversion"/>
  </si>
  <si>
    <t>配套商业销售单价（元/m²）</t>
    <phoneticPr fontId="7" type="noConversion"/>
  </si>
  <si>
    <t>配套商业销售面积（m²）</t>
    <phoneticPr fontId="7" type="noConversion"/>
  </si>
  <si>
    <t>配套商业出租收入（万元）</t>
    <phoneticPr fontId="7" type="noConversion"/>
  </si>
  <si>
    <t>配套商业出租单价（元/m²/天）</t>
    <phoneticPr fontId="7" type="noConversion"/>
  </si>
  <si>
    <t>配套商业出租面积（m²）</t>
    <phoneticPr fontId="7" type="noConversion"/>
  </si>
  <si>
    <t>配套商业（万元）</t>
    <phoneticPr fontId="7" type="noConversion"/>
  </si>
  <si>
    <t>地下室（万元）</t>
    <phoneticPr fontId="7" type="noConversion"/>
  </si>
  <si>
    <t>3.1.2</t>
    <phoneticPr fontId="7" type="noConversion"/>
  </si>
  <si>
    <t>地下停车位（万元）</t>
    <phoneticPr fontId="7" type="noConversion"/>
  </si>
  <si>
    <t>地下室销售收入（万元）</t>
    <phoneticPr fontId="7" type="noConversion"/>
  </si>
  <si>
    <t>地下室销售单价（元/m²）</t>
    <phoneticPr fontId="7" type="noConversion"/>
  </si>
  <si>
    <t>地下室销售面积（m²）</t>
    <phoneticPr fontId="7" type="noConversion"/>
  </si>
  <si>
    <t>地下室出租收入（万元）</t>
    <phoneticPr fontId="7" type="noConversion"/>
  </si>
  <si>
    <t>地下室出租单价（元/m²/天）</t>
    <phoneticPr fontId="7" type="noConversion"/>
  </si>
  <si>
    <t>地下室出租面积（m²）</t>
    <phoneticPr fontId="7" type="noConversion"/>
  </si>
  <si>
    <t>地下停车位销售收入（万元）</t>
    <phoneticPr fontId="7" type="noConversion"/>
  </si>
  <si>
    <t>地下停车位出租收入（万元）</t>
    <phoneticPr fontId="7" type="noConversion"/>
  </si>
  <si>
    <t>地下停车位销售数量（个）</t>
    <phoneticPr fontId="7" type="noConversion"/>
  </si>
  <si>
    <t>地下停车位出租数量（个）</t>
    <phoneticPr fontId="7" type="noConversion"/>
  </si>
  <si>
    <t>地下停车位出租单价（元/个/月）</t>
    <phoneticPr fontId="7" type="noConversion"/>
  </si>
  <si>
    <t>营业收入估算表</t>
    <phoneticPr fontId="7" type="noConversion"/>
  </si>
  <si>
    <t>住宅销售销项税</t>
    <phoneticPr fontId="7" type="noConversion"/>
  </si>
  <si>
    <t>住宅出租销项税</t>
    <phoneticPr fontId="7" type="noConversion"/>
  </si>
  <si>
    <t>配套商业销售销项税</t>
    <phoneticPr fontId="7" type="noConversion"/>
  </si>
  <si>
    <t>配套商业出租销项税</t>
    <phoneticPr fontId="7" type="noConversion"/>
  </si>
  <si>
    <t>地下室销售销项税</t>
    <phoneticPr fontId="7" type="noConversion"/>
  </si>
  <si>
    <t>地下室出租销项税</t>
    <phoneticPr fontId="7" type="noConversion"/>
  </si>
  <si>
    <t>地下停车位出租销项税</t>
    <phoneticPr fontId="7" type="noConversion"/>
  </si>
  <si>
    <t>地下停车位销售销项税</t>
    <phoneticPr fontId="7" type="noConversion"/>
  </si>
  <si>
    <t>运营维护费用单价（元/m²/月）</t>
    <phoneticPr fontId="7" type="noConversion"/>
  </si>
  <si>
    <t>运营维护面积（m²）</t>
    <phoneticPr fontId="7" type="noConversion"/>
  </si>
  <si>
    <t>契税</t>
    <phoneticPr fontId="7" type="noConversion"/>
  </si>
  <si>
    <t>印花税</t>
    <phoneticPr fontId="7" type="noConversion"/>
  </si>
  <si>
    <t>契税</t>
    <phoneticPr fontId="7" type="noConversion"/>
  </si>
  <si>
    <t>印花税</t>
    <phoneticPr fontId="7" type="noConversion"/>
  </si>
  <si>
    <t>可根据税法变动调整</t>
    <phoneticPr fontId="7" type="noConversion"/>
  </si>
  <si>
    <t>根据不同地方规定，可取3%~5%，可根据税法变动调整</t>
    <phoneticPr fontId="7" type="noConversion"/>
  </si>
  <si>
    <t>产权转移书据（物业销售部分）</t>
    <phoneticPr fontId="7" type="noConversion"/>
  </si>
  <si>
    <t>租赁合同（物业租赁部分）</t>
    <phoneticPr fontId="7" type="noConversion"/>
  </si>
  <si>
    <t>产权转移书据</t>
    <phoneticPr fontId="7" type="noConversion"/>
  </si>
  <si>
    <t>租赁合同</t>
    <phoneticPr fontId="7" type="noConversion"/>
  </si>
  <si>
    <t>合计应纳税额</t>
    <phoneticPr fontId="7" type="noConversion"/>
  </si>
  <si>
    <t>序号</t>
    <phoneticPr fontId="7" type="noConversion"/>
  </si>
  <si>
    <t>项目</t>
    <phoneticPr fontId="7" type="noConversion"/>
  </si>
  <si>
    <t>建安成本占比</t>
    <phoneticPr fontId="7" type="noConversion"/>
  </si>
  <si>
    <t>分配总投资（万元）</t>
    <phoneticPr fontId="7" type="noConversion"/>
  </si>
  <si>
    <t>建安成本（万元）</t>
    <phoneticPr fontId="7" type="noConversion"/>
  </si>
  <si>
    <t>销售部分</t>
    <phoneticPr fontId="7" type="noConversion"/>
  </si>
  <si>
    <t>租赁部分</t>
    <phoneticPr fontId="7" type="noConversion"/>
  </si>
  <si>
    <t>配套商业</t>
    <phoneticPr fontId="7" type="noConversion"/>
  </si>
  <si>
    <t>地上住宅</t>
    <phoneticPr fontId="7" type="noConversion"/>
  </si>
  <si>
    <t>地下停车位</t>
    <phoneticPr fontId="7" type="noConversion"/>
  </si>
  <si>
    <t>1.3.1</t>
    <phoneticPr fontId="7" type="noConversion"/>
  </si>
  <si>
    <t>1.3.2</t>
    <phoneticPr fontId="7" type="noConversion"/>
  </si>
  <si>
    <t>地下室</t>
    <phoneticPr fontId="7" type="noConversion"/>
  </si>
  <si>
    <t>地下室主体建安综合单价（元/m²）</t>
    <phoneticPr fontId="7" type="noConversion"/>
  </si>
  <si>
    <t>地下停车位主体建安综合单价（元/m²）</t>
    <phoneticPr fontId="7" type="noConversion"/>
  </si>
  <si>
    <t>3.1.3</t>
    <phoneticPr fontId="7" type="noConversion"/>
  </si>
  <si>
    <t>土地增值税计算表</t>
    <phoneticPr fontId="7" type="noConversion"/>
  </si>
  <si>
    <t>合计</t>
    <phoneticPr fontId="7" type="noConversion"/>
  </si>
  <si>
    <t>其中，所有物业销售部分</t>
    <phoneticPr fontId="7" type="noConversion"/>
  </si>
  <si>
    <t>所有物业租赁部分</t>
    <phoneticPr fontId="7" type="noConversion"/>
  </si>
  <si>
    <t>分配地价（万元）</t>
    <phoneticPr fontId="7" type="noConversion"/>
  </si>
  <si>
    <t>所有物业销售部分</t>
    <phoneticPr fontId="7" type="noConversion"/>
  </si>
  <si>
    <t>建议与住宅地上部分主体建安综合单价一致或略低</t>
    <phoneticPr fontId="7" type="noConversion"/>
  </si>
  <si>
    <t>建议与住宅地上部分精装修综合单价一致或略低</t>
    <phoneticPr fontId="7" type="noConversion"/>
  </si>
  <si>
    <r>
      <rPr>
        <sz val="10"/>
        <rFont val="宋体"/>
        <family val="3"/>
        <charset val="134"/>
      </rPr>
      <t>根据项目实际情况确定，如产品为毛坯可取</t>
    </r>
    <r>
      <rPr>
        <sz val="10"/>
        <rFont val="Arial"/>
        <family val="3"/>
      </rPr>
      <t>0</t>
    </r>
    <phoneticPr fontId="7" type="noConversion"/>
  </si>
  <si>
    <t>根据项目实际情况确定，一般需要比住宅地上部分主体建安综合单价略高</t>
    <phoneticPr fontId="7" type="noConversion"/>
  </si>
  <si>
    <t>根据项目实际情况确定，建议与住宅地上部分主体建安综合单价一致</t>
    <phoneticPr fontId="7" type="noConversion"/>
  </si>
  <si>
    <r>
      <rPr>
        <sz val="10"/>
        <rFont val="宋体"/>
        <family val="3"/>
        <charset val="134"/>
      </rPr>
      <t>一般在</t>
    </r>
    <r>
      <rPr>
        <sz val="10"/>
        <rFont val="Arial"/>
        <family val="3"/>
      </rPr>
      <t>2%~5%</t>
    </r>
    <r>
      <rPr>
        <sz val="10"/>
        <rFont val="宋体"/>
        <family val="3"/>
        <charset val="134"/>
      </rPr>
      <t>左右较为合理</t>
    </r>
    <phoneticPr fontId="7" type="noConversion"/>
  </si>
  <si>
    <t>物业销售部分</t>
    <phoneticPr fontId="7" type="noConversion"/>
  </si>
  <si>
    <t>物业租赁部分</t>
    <phoneticPr fontId="7" type="noConversion"/>
  </si>
  <si>
    <t>住宅租赁成本</t>
    <phoneticPr fontId="7" type="noConversion"/>
  </si>
  <si>
    <t>商业租赁成本</t>
    <phoneticPr fontId="7" type="noConversion"/>
  </si>
  <si>
    <t>总投资分配表（用于计算土增税和折旧摊销，一般不需在报告中呈现）</t>
    <phoneticPr fontId="7" type="noConversion"/>
  </si>
  <si>
    <t>地价分配表（用于计算土增税和折旧摊销，一般不需在报告中呈现）</t>
    <phoneticPr fontId="7" type="noConversion"/>
  </si>
  <si>
    <t>财务费用</t>
    <phoneticPr fontId="7" type="noConversion"/>
  </si>
  <si>
    <r>
      <t>经营成本（</t>
    </r>
    <r>
      <rPr>
        <sz val="12"/>
        <color rgb="FF000000"/>
        <rFont val="宋体"/>
        <family val="1"/>
        <charset val="134"/>
      </rPr>
      <t>1+2+3</t>
    </r>
    <r>
      <rPr>
        <sz val="12"/>
        <color rgb="FF000000"/>
        <rFont val="宋体"/>
        <family val="3"/>
        <charset val="134"/>
      </rPr>
      <t>）</t>
    </r>
    <phoneticPr fontId="7" type="noConversion"/>
  </si>
  <si>
    <r>
      <t>总成本费用合计（4+5+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宋体"/>
        <family val="3"/>
        <charset val="134"/>
      </rPr>
      <t>）</t>
    </r>
    <phoneticPr fontId="7" type="noConversion"/>
  </si>
  <si>
    <t>固定资产折旧费用估算表</t>
    <phoneticPr fontId="7" type="noConversion"/>
  </si>
  <si>
    <t>房屋、建筑物</t>
    <phoneticPr fontId="7" type="noConversion"/>
  </si>
  <si>
    <t>原值</t>
    <phoneticPr fontId="7" type="noConversion"/>
  </si>
  <si>
    <t>本年折旧费</t>
    <phoneticPr fontId="7" type="noConversion"/>
  </si>
  <si>
    <t>净值</t>
    <phoneticPr fontId="7" type="noConversion"/>
  </si>
  <si>
    <t>残值回收</t>
    <phoneticPr fontId="7" type="noConversion"/>
  </si>
  <si>
    <t>无形资产摊销费用估算表</t>
    <phoneticPr fontId="7" type="noConversion"/>
  </si>
  <si>
    <t>土地使用权</t>
    <phoneticPr fontId="7" type="noConversion"/>
  </si>
  <si>
    <t>本年摊销费</t>
    <phoneticPr fontId="7" type="noConversion"/>
  </si>
  <si>
    <t>第N年</t>
    <phoneticPr fontId="7" type="noConversion"/>
  </si>
  <si>
    <t>融资利率</t>
    <phoneticPr fontId="7" type="noConversion"/>
  </si>
  <si>
    <t>融资期限（年）</t>
    <phoneticPr fontId="7" type="noConversion"/>
  </si>
  <si>
    <t>保障房最低资本金比例为投资总额20%，其他房地产项目最低资本金比例为25%</t>
    <phoneticPr fontId="7" type="noConversion"/>
  </si>
  <si>
    <t>利润表</t>
    <phoneticPr fontId="7" type="noConversion"/>
  </si>
  <si>
    <t>现金流量表</t>
    <phoneticPr fontId="7" type="noConversion"/>
  </si>
  <si>
    <t>回收资产余值</t>
    <phoneticPr fontId="7" type="noConversion"/>
  </si>
  <si>
    <t>还款方式</t>
    <phoneticPr fontId="7" type="noConversion"/>
  </si>
  <si>
    <t>等额本金还款</t>
    <phoneticPr fontId="7" type="noConversion"/>
  </si>
  <si>
    <t>如需调整还款方式，需要手动调整</t>
    <phoneticPr fontId="7" type="noConversion"/>
  </si>
  <si>
    <t>税费</t>
    <phoneticPr fontId="7" type="noConversion"/>
  </si>
  <si>
    <t>一、建筑方案指标</t>
    <phoneticPr fontId="7" type="noConversion"/>
  </si>
  <si>
    <t>二、开发成本指标</t>
    <phoneticPr fontId="7" type="noConversion"/>
  </si>
  <si>
    <t>三、开发进度指标</t>
    <phoneticPr fontId="7" type="noConversion"/>
  </si>
  <si>
    <t>四、销售收入指标</t>
    <phoneticPr fontId="7" type="noConversion"/>
  </si>
  <si>
    <t>五、经营费用指标</t>
    <phoneticPr fontId="7" type="noConversion"/>
  </si>
  <si>
    <t>六、税费指标</t>
    <phoneticPr fontId="7" type="noConversion"/>
  </si>
  <si>
    <t>七、融资及还款计划指标</t>
    <phoneticPr fontId="7" type="noConversion"/>
  </si>
  <si>
    <t>一、住宅出租收入模型</t>
    <phoneticPr fontId="7" type="noConversion"/>
  </si>
  <si>
    <t>二、住宅销售收入模型</t>
    <phoneticPr fontId="7" type="noConversion"/>
  </si>
  <si>
    <t>三、配套商业出租收入模型</t>
    <phoneticPr fontId="7" type="noConversion"/>
  </si>
  <si>
    <t>四、配套商业销售收入模型</t>
    <phoneticPr fontId="7" type="noConversion"/>
  </si>
  <si>
    <t>五、地下室出租收入模型</t>
    <phoneticPr fontId="7" type="noConversion"/>
  </si>
  <si>
    <t>六、地下室销售收入模型</t>
    <phoneticPr fontId="7" type="noConversion"/>
  </si>
  <si>
    <t>七、地下停车位出租收入模型</t>
    <phoneticPr fontId="7" type="noConversion"/>
  </si>
  <si>
    <t>九、住宅租赁运营成本模型</t>
    <phoneticPr fontId="7" type="noConversion"/>
  </si>
  <si>
    <t>十、商业租赁运营成本模型</t>
    <phoneticPr fontId="7" type="noConversion"/>
  </si>
  <si>
    <t>根据项目实际情况确定，一般可取300~1000，另外，此处的“m²”为占地面积</t>
    <phoneticPr fontId="7" type="noConversion"/>
  </si>
  <si>
    <t>根据项目实际情况确定，建议与住宅地上部分精装修综合单价一致，如产品为毛坯可取0</t>
    <phoneticPr fontId="7" type="noConversion"/>
  </si>
  <si>
    <t>——</t>
    <phoneticPr fontId="7" type="noConversion"/>
  </si>
  <si>
    <t>自动计算</t>
    <phoneticPr fontId="7" type="noConversion"/>
  </si>
  <si>
    <t>不含地价总投资</t>
    <phoneticPr fontId="7" type="noConversion"/>
  </si>
  <si>
    <t>不含地价总投资/总建筑面积</t>
    <phoneticPr fontId="7" type="noConversion"/>
  </si>
  <si>
    <t>建设成本结转</t>
    <phoneticPr fontId="7" type="noConversion"/>
  </si>
  <si>
    <t>经营成本（扣除建设成本结转）</t>
    <phoneticPr fontId="7" type="noConversion"/>
  </si>
  <si>
    <t>不含地价总投资/(住宅+商业建筑面积)</t>
    <phoneticPr fontId="7" type="noConversion"/>
  </si>
  <si>
    <t>不含地价总投资/(住宅+商业地上建筑面积)</t>
    <phoneticPr fontId="7" type="noConversion"/>
  </si>
  <si>
    <t>一般可取1%~4%</t>
    <phoneticPr fontId="7" type="noConversion"/>
  </si>
  <si>
    <t>融资比例（融资额/总投资）</t>
    <phoneticPr fontId="7" type="noConversion"/>
  </si>
  <si>
    <t>8.2.4</t>
    <phoneticPr fontId="7" type="noConversion"/>
  </si>
  <si>
    <t>8.2.5</t>
    <phoneticPr fontId="7" type="noConversion"/>
  </si>
  <si>
    <t>8.2.6</t>
    <phoneticPr fontId="7" type="noConversion"/>
  </si>
  <si>
    <t>配套商业建面-系数</t>
    <phoneticPr fontId="7" type="noConversion"/>
  </si>
  <si>
    <t>建议可取0~1.5</t>
  </si>
  <si>
    <t>每户车位数建议可取0.5~1.2</t>
    <phoneticPr fontId="7" type="noConversion"/>
  </si>
  <si>
    <t>车位平均建筑面积（m²）</t>
    <phoneticPr fontId="7" type="noConversion"/>
  </si>
  <si>
    <t>可根据情况定为30~35之间</t>
    <phoneticPr fontId="7" type="noConversion"/>
  </si>
  <si>
    <t>一般可取1~2</t>
    <phoneticPr fontId="7" type="noConversion"/>
  </si>
  <si>
    <t>必填</t>
    <phoneticPr fontId="7" type="noConversion"/>
  </si>
  <si>
    <t>不填</t>
    <phoneticPr fontId="7" type="noConversion"/>
  </si>
  <si>
    <t>=可居住户数×每户车位数</t>
    <phoneticPr fontId="7" type="noConversion"/>
  </si>
  <si>
    <t>=地下停车位数量×车位平均建筑面积</t>
    <phoneticPr fontId="7" type="noConversion"/>
  </si>
  <si>
    <t>=建筑基底面积×平均地下室层数</t>
    <phoneticPr fontId="7" type="noConversion"/>
  </si>
  <si>
    <t>=建筑基底面积×1×系数（“1”表示住宅一层为商业;“系数”为在此基础上进行放大或缩小）</t>
    <phoneticPr fontId="7" type="noConversion"/>
  </si>
  <si>
    <t>回正时间，插值法计算，所有值输出</t>
    <phoneticPr fontId="7" type="noConversion"/>
  </si>
  <si>
    <t>（结束）</t>
    <phoneticPr fontId="7" type="noConversion"/>
  </si>
  <si>
    <t>（开始）</t>
    <phoneticPr fontId="7" type="noConversion"/>
  </si>
  <si>
    <t>八、地下停车位销售收入模型</t>
    <phoneticPr fontId="7" type="noConversion"/>
  </si>
  <si>
    <t>第1年</t>
    <phoneticPr fontId="7" type="noConversion"/>
  </si>
  <si>
    <t>第2年</t>
    <phoneticPr fontId="7" type="noConversion"/>
  </si>
  <si>
    <t>第3年</t>
  </si>
  <si>
    <t>第4年</t>
  </si>
  <si>
    <t>第5年</t>
  </si>
  <si>
    <t>第6年</t>
  </si>
  <si>
    <t>第7年</t>
  </si>
  <si>
    <t>第8年</t>
  </si>
  <si>
    <t>第9年</t>
  </si>
  <si>
    <t>第10年</t>
  </si>
  <si>
    <t>第11年</t>
  </si>
  <si>
    <t>第12年</t>
  </si>
  <si>
    <t>第13年</t>
  </si>
  <si>
    <t>第14年</t>
  </si>
  <si>
    <t>第15年</t>
  </si>
  <si>
    <t>第16年</t>
  </si>
  <si>
    <t>第17年</t>
  </si>
  <si>
    <t>第18年</t>
  </si>
  <si>
    <t>第19年</t>
  </si>
  <si>
    <t>第20年</t>
  </si>
  <si>
    <t>-</t>
    <phoneticPr fontId="7" type="noConversion"/>
  </si>
  <si>
    <t>《中华人民共和国城市维护建设税法》</t>
    <phoneticPr fontId="7" type="noConversion"/>
  </si>
  <si>
    <t>建筑密度（%）</t>
    <phoneticPr fontId="7" type="noConversion"/>
  </si>
  <si>
    <t>每户车位数（个）</t>
    <phoneticPr fontId="7" type="noConversion"/>
  </si>
  <si>
    <t>平均地下室层数（层）</t>
    <phoneticPr fontId="7" type="noConversion"/>
  </si>
  <si>
    <t>地下停车位数量（个）</t>
    <phoneticPr fontId="7" type="noConversion"/>
  </si>
  <si>
    <t>首年开发进度（0~1）</t>
    <phoneticPr fontId="7" type="noConversion"/>
  </si>
  <si>
    <t>《住宅容积率是什么？》-知乎</t>
    <phoneticPr fontId="7" type="noConversion"/>
  </si>
  <si>
    <r>
      <rPr>
        <sz val="10"/>
        <rFont val="宋体"/>
        <family val="3"/>
        <charset val="134"/>
      </rPr>
      <t>《中华人民共和国企业所得税法实施条例（2019）》:第</t>
    </r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条</t>
    </r>
    <phoneticPr fontId="7" type="noConversion"/>
  </si>
  <si>
    <r>
      <rPr>
        <sz val="10"/>
        <rFont val="宋体"/>
        <family val="3"/>
        <charset val="134"/>
      </rPr>
      <t>《中华人民共和国企业所得税法实施条例（2019）》</t>
    </r>
    <r>
      <rPr>
        <sz val="10"/>
        <rFont val="Arial"/>
        <family val="3"/>
      </rPr>
      <t>: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67</t>
    </r>
    <r>
      <rPr>
        <sz val="10"/>
        <rFont val="宋体"/>
        <family val="3"/>
        <charset val="134"/>
      </rPr>
      <t>条</t>
    </r>
    <phoneticPr fontId="7" type="noConversion"/>
  </si>
  <si>
    <t>《国务院关于加强固定资产投资项目资本金管理的通知-国发〔2019〕26号》;《固定资产投资项目资本金制度的通知》国发〔2015〕:51号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</si>
</sst>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;[Red]&quot;¥&quot;\-#,##0.00"/>
    <numFmt numFmtId="176" formatCode="0.00_ "/>
    <numFmt numFmtId="177" formatCode="0.0_);[Red]\(0.0\)"/>
    <numFmt numFmtId="178" formatCode="0.0_ ;[Red]\-0.0\ "/>
    <numFmt numFmtId="179" formatCode="#,##0.0_ "/>
    <numFmt numFmtId="180" formatCode="0.00_ ;[Red]\-0.00\ "/>
    <numFmt numFmtId="181" formatCode="0.0%"/>
  </numFmts>
  <fonts count="39">
    <font>
      <sz val="10"/>
      <name val="Arial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.5"/>
      <color rgb="FF000000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宋体"/>
      <family val="3"/>
      <charset val="134"/>
    </font>
    <font>
      <sz val="8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name val="Arial"/>
      <family val="3"/>
    </font>
    <font>
      <sz val="10"/>
      <name val="Arial"/>
      <family val="3"/>
      <charset val="134"/>
    </font>
    <font>
      <sz val="12"/>
      <name val="Arial"/>
      <family val="2"/>
    </font>
    <font>
      <b/>
      <sz val="10"/>
      <name val="宋体"/>
      <family val="3"/>
      <charset val="134"/>
    </font>
    <font>
      <sz val="10"/>
      <color rgb="FF000000"/>
      <name val="Times New Roman"/>
      <family val="1"/>
    </font>
    <font>
      <sz val="1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  <charset val="134"/>
    </font>
    <font>
      <sz val="10"/>
      <color rgb="FFFF0000"/>
      <name val="宋体"/>
      <family val="3"/>
      <charset val="134"/>
    </font>
    <font>
      <sz val="10"/>
      <name val="FangSong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rgb="FF000000"/>
      <name val="Times New Roman"/>
      <family val="1"/>
    </font>
    <font>
      <sz val="12"/>
      <color rgb="FF000000"/>
      <name val="宋体"/>
      <family val="1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7" fillId="0" borderId="0"/>
    <xf numFmtId="0" fontId="10" fillId="0" borderId="0"/>
    <xf numFmtId="0" fontId="10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12"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6" fontId="9" fillId="0" borderId="0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25" fillId="0" borderId="0" xfId="0" applyFo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176" fontId="28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justify" vertical="center"/>
    </xf>
    <xf numFmtId="0" fontId="28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right" vertical="center"/>
    </xf>
    <xf numFmtId="0" fontId="30" fillId="0" borderId="1" xfId="0" applyFont="1" applyBorder="1" applyAlignment="1">
      <alignment horizontal="right" vertical="center" wrapText="1"/>
    </xf>
    <xf numFmtId="0" fontId="29" fillId="0" borderId="1" xfId="0" applyFont="1" applyBorder="1" applyAlignment="1">
      <alignment horizontal="justify" vertical="center"/>
    </xf>
    <xf numFmtId="0" fontId="29" fillId="0" borderId="5" xfId="0" applyFont="1" applyBorder="1" applyAlignment="1">
      <alignment horizontal="justify" vertical="center" wrapText="1"/>
    </xf>
    <xf numFmtId="0" fontId="29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176" fontId="28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28" fillId="0" borderId="1" xfId="0" applyFont="1" applyBorder="1">
      <alignment vertical="center"/>
    </xf>
    <xf numFmtId="0" fontId="29" fillId="0" borderId="1" xfId="0" applyFont="1" applyBorder="1">
      <alignment vertical="center"/>
    </xf>
    <xf numFmtId="176" fontId="31" fillId="2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/>
    <xf numFmtId="0" fontId="31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176" fontId="30" fillId="0" borderId="1" xfId="0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176" fontId="30" fillId="0" borderId="0" xfId="0" applyNumberFormat="1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9" fontId="18" fillId="0" borderId="1" xfId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2" fontId="30" fillId="0" borderId="1" xfId="0" applyNumberFormat="1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/>
    </xf>
    <xf numFmtId="10" fontId="6" fillId="0" borderId="1" xfId="0" applyNumberFormat="1" applyFont="1" applyBorder="1" applyAlignment="1">
      <alignment horizontal="center" vertical="center"/>
    </xf>
    <xf numFmtId="0" fontId="29" fillId="0" borderId="0" xfId="0" applyFont="1" applyBorder="1">
      <alignment vertical="center"/>
    </xf>
    <xf numFmtId="0" fontId="29" fillId="0" borderId="5" xfId="0" applyFont="1" applyBorder="1" applyAlignment="1">
      <alignment horizontal="justify" vertical="center"/>
    </xf>
    <xf numFmtId="2" fontId="8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5" fillId="0" borderId="1" xfId="0" applyFont="1" applyBorder="1" applyAlignment="1"/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center"/>
    </xf>
    <xf numFmtId="10" fontId="8" fillId="0" borderId="1" xfId="1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2" fontId="10" fillId="0" borderId="1" xfId="0" applyNumberFormat="1" applyFont="1" applyBorder="1">
      <alignment vertical="center"/>
    </xf>
    <xf numFmtId="10" fontId="10" fillId="0" borderId="1" xfId="1" applyNumberFormat="1" applyFont="1" applyBorder="1">
      <alignment vertical="center"/>
    </xf>
    <xf numFmtId="2" fontId="10" fillId="0" borderId="1" xfId="0" applyNumberFormat="1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30" fillId="0" borderId="1" xfId="0" applyFont="1" applyBorder="1" applyAlignment="1">
      <alignment horizontal="center" vertical="center"/>
    </xf>
    <xf numFmtId="2" fontId="30" fillId="0" borderId="1" xfId="0" applyNumberFormat="1" applyFont="1" applyBorder="1" applyAlignment="1">
      <alignment horizontal="center" vertical="center"/>
    </xf>
    <xf numFmtId="9" fontId="30" fillId="0" borderId="1" xfId="0" applyNumberFormat="1" applyFont="1" applyBorder="1" applyAlignment="1">
      <alignment horizontal="center" vertical="center"/>
    </xf>
    <xf numFmtId="176" fontId="30" fillId="0" borderId="1" xfId="0" applyNumberFormat="1" applyFont="1" applyBorder="1" applyAlignment="1">
      <alignment vertical="center"/>
    </xf>
    <xf numFmtId="176" fontId="30" fillId="0" borderId="1" xfId="0" applyNumberFormat="1" applyFont="1" applyBorder="1" applyAlignment="1">
      <alignment horizontal="center" vertical="center"/>
    </xf>
    <xf numFmtId="176" fontId="29" fillId="0" borderId="1" xfId="0" applyNumberFormat="1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76" fontId="30" fillId="0" borderId="0" xfId="0" applyNumberFormat="1" applyFont="1" applyBorder="1" applyAlignment="1">
      <alignment horizontal="center" vertical="center"/>
    </xf>
    <xf numFmtId="176" fontId="29" fillId="0" borderId="0" xfId="0" applyNumberFormat="1" applyFont="1" applyBorder="1">
      <alignment vertical="center"/>
    </xf>
    <xf numFmtId="0" fontId="29" fillId="0" borderId="1" xfId="0" applyFont="1" applyBorder="1" applyAlignment="1"/>
    <xf numFmtId="0" fontId="29" fillId="0" borderId="1" xfId="0" applyFont="1" applyBorder="1" applyAlignment="1">
      <alignment horizontal="center"/>
    </xf>
    <xf numFmtId="0" fontId="28" fillId="0" borderId="1" xfId="4" applyFont="1" applyBorder="1" applyAlignment="1">
      <alignment horizontal="center" vertical="center"/>
    </xf>
    <xf numFmtId="10" fontId="29" fillId="0" borderId="1" xfId="4" applyNumberFormat="1" applyFont="1" applyBorder="1" applyAlignment="1">
      <alignment horizontal="center" vertical="center"/>
    </xf>
    <xf numFmtId="0" fontId="29" fillId="0" borderId="1" xfId="4" applyFont="1" applyBorder="1" applyAlignment="1">
      <alignment horizontal="center" vertical="center"/>
    </xf>
    <xf numFmtId="177" fontId="29" fillId="0" borderId="1" xfId="4" applyNumberFormat="1" applyFont="1" applyBorder="1" applyAlignment="1">
      <alignment horizontal="center" vertical="center"/>
    </xf>
    <xf numFmtId="177" fontId="28" fillId="0" borderId="1" xfId="4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 wrapText="1"/>
    </xf>
    <xf numFmtId="0" fontId="29" fillId="4" borderId="1" xfId="4" applyFont="1" applyFill="1" applyBorder="1" applyAlignment="1">
      <alignment horizontal="center" vertical="center"/>
    </xf>
    <xf numFmtId="0" fontId="28" fillId="4" borderId="1" xfId="4" applyFont="1" applyFill="1" applyBorder="1" applyAlignment="1">
      <alignment horizontal="center" vertical="center"/>
    </xf>
    <xf numFmtId="177" fontId="28" fillId="4" borderId="1" xfId="4" applyNumberFormat="1" applyFont="1" applyFill="1" applyBorder="1" applyAlignment="1">
      <alignment horizontal="center" vertical="center"/>
    </xf>
    <xf numFmtId="0" fontId="29" fillId="0" borderId="0" xfId="0" applyFont="1" applyAlignment="1"/>
    <xf numFmtId="9" fontId="29" fillId="0" borderId="1" xfId="0" applyNumberFormat="1" applyFont="1" applyBorder="1" applyAlignment="1">
      <alignment horizontal="center"/>
    </xf>
    <xf numFmtId="180" fontId="29" fillId="0" borderId="1" xfId="5" applyNumberFormat="1" applyFont="1" applyBorder="1" applyAlignment="1">
      <alignment horizontal="center" vertical="center" wrapText="1"/>
    </xf>
    <xf numFmtId="178" fontId="29" fillId="0" borderId="1" xfId="5" applyNumberFormat="1" applyFont="1" applyBorder="1" applyAlignment="1">
      <alignment horizontal="center" vertical="center" wrapText="1"/>
    </xf>
    <xf numFmtId="178" fontId="29" fillId="4" borderId="1" xfId="5" applyNumberFormat="1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5" fillId="0" borderId="0" xfId="0" applyFont="1" applyAlignment="1"/>
    <xf numFmtId="8" fontId="12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36" fillId="4" borderId="0" xfId="0" applyFont="1" applyFill="1">
      <alignment vertical="center"/>
    </xf>
    <xf numFmtId="0" fontId="29" fillId="0" borderId="1" xfId="0" applyFont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/>
    </xf>
    <xf numFmtId="0" fontId="23" fillId="0" borderId="1" xfId="0" applyFont="1" applyBorder="1">
      <alignment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>
      <alignment vertical="center"/>
    </xf>
    <xf numFmtId="0" fontId="37" fillId="0" borderId="0" xfId="0" applyFont="1">
      <alignment vertical="center"/>
    </xf>
    <xf numFmtId="49" fontId="23" fillId="0" borderId="1" xfId="0" applyNumberFormat="1" applyFont="1" applyBorder="1" applyAlignment="1">
      <alignment horizontal="left" vertical="center" wrapText="1"/>
    </xf>
    <xf numFmtId="176" fontId="0" fillId="0" borderId="0" xfId="0" applyNumberFormat="1" applyFont="1">
      <alignment vertical="center"/>
    </xf>
    <xf numFmtId="2" fontId="0" fillId="0" borderId="0" xfId="0" applyNumberFormat="1" applyFont="1">
      <alignment vertical="center"/>
    </xf>
    <xf numFmtId="2" fontId="29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 wrapText="1"/>
    </xf>
    <xf numFmtId="176" fontId="30" fillId="0" borderId="1" xfId="0" applyNumberFormat="1" applyFont="1" applyFill="1" applyBorder="1" applyAlignment="1">
      <alignment horizontal="center" vertical="center" wrapText="1"/>
    </xf>
    <xf numFmtId="176" fontId="29" fillId="0" borderId="1" xfId="0" applyNumberFormat="1" applyFont="1" applyFill="1" applyBorder="1" applyAlignment="1">
      <alignment horizontal="center" vertical="center" wrapText="1"/>
    </xf>
    <xf numFmtId="176" fontId="29" fillId="0" borderId="1" xfId="0" applyNumberFormat="1" applyFont="1" applyFill="1" applyBorder="1" applyAlignment="1">
      <alignment vertical="center" wrapText="1"/>
    </xf>
    <xf numFmtId="176" fontId="31" fillId="0" borderId="1" xfId="0" applyNumberFormat="1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81" fontId="8" fillId="0" borderId="1" xfId="0" applyNumberFormat="1" applyFont="1" applyBorder="1" applyAlignment="1">
      <alignment horizontal="center" vertical="center"/>
    </xf>
    <xf numFmtId="181" fontId="20" fillId="0" borderId="1" xfId="0" applyNumberFormat="1" applyFont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35" fillId="0" borderId="2" xfId="0" applyFont="1" applyBorder="1" applyAlignment="1">
      <alignment vertical="center" wrapText="1"/>
    </xf>
    <xf numFmtId="0" fontId="38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8" xfId="0" applyFont="1" applyFill="1" applyBorder="1">
      <alignment vertical="center"/>
    </xf>
    <xf numFmtId="0" fontId="26" fillId="0" borderId="2" xfId="0" applyFont="1" applyBorder="1" applyAlignment="1">
      <alignment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</cellXfs>
  <cellStyles count="11">
    <cellStyle name="Jun 3 2" xfId="4" xr:uid="{9F18AC97-3540-48CD-885F-74F614527045}"/>
    <cellStyle name="百分比" xfId="1" builtinId="5"/>
    <cellStyle name="常规" xfId="0" builtinId="0"/>
    <cellStyle name="常规 12 2" xfId="6" xr:uid="{98521E28-9AD3-4D0D-83C0-F2753C84178E}"/>
    <cellStyle name="常规 2" xfId="2" xr:uid="{2DFE9E43-995E-44DB-9C4B-27EC46141B72}"/>
    <cellStyle name="常规 2 10" xfId="10" xr:uid="{160D7E0E-8594-43DD-844A-EE1A89E1C2D1}"/>
    <cellStyle name="常规 2 2" xfId="8" xr:uid="{42D0966F-B400-4639-896A-884BFC6447D5}"/>
    <cellStyle name="常规 3" xfId="3" xr:uid="{8A10AE73-BBDE-42FE-8F92-4F5D7F5ED128}"/>
    <cellStyle name="常规 4" xfId="5" xr:uid="{972F0DBA-7F54-4F61-BC72-7CE86DC487C5}"/>
    <cellStyle name="常规 5 2" xfId="9" xr:uid="{68903E4C-B8D6-4431-A6E2-4800322548C6}"/>
    <cellStyle name="常规 7" xfId="7" xr:uid="{6C71CC32-EAED-4528-ABA5-4D69A0CE553B}"/>
  </cellStyles>
  <dxfs count="0"/>
  <tableStyles count="0" defaultTableStyle="TableStyleMedium2" defaultPivotStyle="PivotStyleLight16"/>
  <colors>
    <mruColors>
      <color rgb="FFFF77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192406</xdr:colOff>
      <xdr:row>0</xdr:row>
      <xdr:rowOff>11906</xdr:rowOff>
    </xdr:from>
    <xdr:to>
      <xdr:col>30</xdr:col>
      <xdr:colOff>325366</xdr:colOff>
      <xdr:row>16</xdr:row>
      <xdr:rowOff>50006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6FF711A-3A6D-4D89-856F-CC41073E6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56844" y="11906"/>
          <a:ext cx="3776272" cy="3205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0389-B893-47E3-9556-FE19A8111FAA}">
  <dimension ref="A1:E123"/>
  <sheetViews>
    <sheetView tabSelected="1" workbookViewId="0">
      <selection activeCell="E119" sqref="E119"/>
    </sheetView>
  </sheetViews>
  <sheetFormatPr defaultColWidth="8.81640625" defaultRowHeight="12.5"/>
  <cols>
    <col min="1" max="1" width="8.81640625" style="25"/>
    <col min="2" max="2" width="40.81640625" style="25" bestFit="1" customWidth="1"/>
    <col min="3" max="3" width="17.1796875" style="25" bestFit="1" customWidth="1"/>
    <col min="4" max="4" width="64.81640625" style="25" customWidth="1"/>
    <col min="5" max="5" width="27.08984375" style="25" customWidth="1"/>
    <col min="6" max="6" width="12.453125" style="25" bestFit="1" customWidth="1"/>
    <col min="7" max="16384" width="8.81640625" style="25"/>
  </cols>
  <sheetData>
    <row r="1" spans="1:5" ht="13">
      <c r="A1" s="2" t="s">
        <v>447</v>
      </c>
    </row>
    <row r="2" spans="1:5" ht="13">
      <c r="A2" s="187" t="s">
        <v>402</v>
      </c>
      <c r="B2" s="188"/>
      <c r="C2" s="188"/>
      <c r="D2" s="188"/>
      <c r="E2" s="189"/>
    </row>
    <row r="3" spans="1:5" ht="13">
      <c r="A3" s="23" t="s">
        <v>153</v>
      </c>
      <c r="B3" s="23" t="s">
        <v>154</v>
      </c>
      <c r="C3" s="23" t="s">
        <v>155</v>
      </c>
      <c r="D3" s="23" t="s">
        <v>150</v>
      </c>
      <c r="E3" s="23" t="s">
        <v>156</v>
      </c>
    </row>
    <row r="4" spans="1:5" ht="13">
      <c r="A4" s="26">
        <v>1</v>
      </c>
      <c r="B4" s="22" t="s">
        <v>157</v>
      </c>
      <c r="C4" s="33" t="str">
        <f>IFERROR((C5+C6),"由必填项计算可得")</f>
        <v>由必填项计算可得</v>
      </c>
      <c r="D4" s="3" t="s">
        <v>158</v>
      </c>
      <c r="E4" s="184" t="s">
        <v>469</v>
      </c>
    </row>
    <row r="5" spans="1:5" ht="13">
      <c r="A5" s="35">
        <v>1.1000000000000001</v>
      </c>
      <c r="B5" s="33" t="s">
        <v>273</v>
      </c>
      <c r="C5" s="33" t="s">
        <v>439</v>
      </c>
      <c r="D5" s="3" t="s">
        <v>158</v>
      </c>
      <c r="E5" s="184" t="s">
        <v>469</v>
      </c>
    </row>
    <row r="6" spans="1:5" ht="13">
      <c r="A6" s="35">
        <v>1.2</v>
      </c>
      <c r="B6" s="33" t="s">
        <v>274</v>
      </c>
      <c r="C6" s="33" t="s">
        <v>439</v>
      </c>
      <c r="D6" s="3" t="s">
        <v>158</v>
      </c>
      <c r="E6" s="184" t="s">
        <v>469</v>
      </c>
    </row>
    <row r="7" spans="1:5" ht="78">
      <c r="A7" s="26">
        <v>2</v>
      </c>
      <c r="B7" s="22" t="s">
        <v>121</v>
      </c>
      <c r="C7" s="33" t="s">
        <v>439</v>
      </c>
      <c r="D7" s="27" t="s">
        <v>160</v>
      </c>
      <c r="E7" s="27" t="s">
        <v>476</v>
      </c>
    </row>
    <row r="8" spans="1:5" ht="26">
      <c r="A8" s="26">
        <v>3</v>
      </c>
      <c r="B8" s="22" t="s">
        <v>471</v>
      </c>
      <c r="C8" s="33" t="s">
        <v>439</v>
      </c>
      <c r="D8" s="27" t="s">
        <v>162</v>
      </c>
      <c r="E8" s="27" t="s">
        <v>469</v>
      </c>
    </row>
    <row r="9" spans="1:5" ht="13">
      <c r="A9" s="26">
        <v>4</v>
      </c>
      <c r="B9" s="22" t="s">
        <v>126</v>
      </c>
      <c r="C9" s="33" t="str">
        <f>IFERROR(C4*C8/100,"由必填项计算可得")</f>
        <v>由必填项计算可得</v>
      </c>
      <c r="D9" s="28" t="s">
        <v>164</v>
      </c>
      <c r="E9" s="27" t="s">
        <v>469</v>
      </c>
    </row>
    <row r="10" spans="1:5" ht="13">
      <c r="A10" s="26">
        <v>5</v>
      </c>
      <c r="B10" s="22" t="s">
        <v>165</v>
      </c>
      <c r="C10" s="33" t="str">
        <f>IFERROR(INT(C16/100),"由必填项计算可得")</f>
        <v>由必填项计算可得</v>
      </c>
      <c r="D10" s="28" t="s">
        <v>166</v>
      </c>
      <c r="E10" s="27" t="s">
        <v>469</v>
      </c>
    </row>
    <row r="11" spans="1:5" ht="13">
      <c r="A11" s="26">
        <v>6</v>
      </c>
      <c r="B11" s="22" t="s">
        <v>167</v>
      </c>
      <c r="C11" s="33" t="str">
        <f>IFERROR(C10*3,"由必填项计算可得")</f>
        <v>由必填项计算可得</v>
      </c>
      <c r="D11" s="28" t="s">
        <v>168</v>
      </c>
      <c r="E11" s="27" t="s">
        <v>469</v>
      </c>
    </row>
    <row r="12" spans="1:5" ht="13">
      <c r="A12" s="26">
        <v>7</v>
      </c>
      <c r="B12" s="22" t="s">
        <v>169</v>
      </c>
      <c r="C12" s="33" t="str">
        <f>IFERROR(C13+C14,"由必填项计算可得")</f>
        <v>由必填项计算可得</v>
      </c>
      <c r="D12" s="28" t="s">
        <v>170</v>
      </c>
      <c r="E12" s="27" t="s">
        <v>469</v>
      </c>
    </row>
    <row r="13" spans="1:5" ht="13">
      <c r="A13" s="24">
        <v>7.1</v>
      </c>
      <c r="B13" s="22" t="s">
        <v>171</v>
      </c>
      <c r="C13" s="33" t="str">
        <f>IFERROR(C4*C7,"由必填项计算可得")</f>
        <v>由必填项计算可得</v>
      </c>
      <c r="D13" s="28" t="s">
        <v>172</v>
      </c>
      <c r="E13" s="27" t="s">
        <v>469</v>
      </c>
    </row>
    <row r="14" spans="1:5" ht="13">
      <c r="A14" s="24">
        <v>7.2</v>
      </c>
      <c r="B14" s="22" t="s">
        <v>149</v>
      </c>
      <c r="C14" s="33" t="str">
        <f>IFERROR(C17,"由必填项计算可得")</f>
        <v>由必填项计算可得</v>
      </c>
      <c r="D14" s="28" t="s">
        <v>173</v>
      </c>
      <c r="E14" s="27" t="s">
        <v>469</v>
      </c>
    </row>
    <row r="15" spans="1:5" ht="13">
      <c r="A15" s="29">
        <v>8</v>
      </c>
      <c r="B15" s="22" t="s">
        <v>174</v>
      </c>
      <c r="C15" s="33" t="str">
        <f>IFERROR(C16+C17,"由必填项计算可得")</f>
        <v>由必填项计算可得</v>
      </c>
      <c r="D15" s="28" t="s">
        <v>175</v>
      </c>
      <c r="E15" s="27" t="s">
        <v>469</v>
      </c>
    </row>
    <row r="16" spans="1:5" ht="13">
      <c r="A16" s="24">
        <v>8.1</v>
      </c>
      <c r="B16" s="13" t="s">
        <v>176</v>
      </c>
      <c r="C16" s="33" t="str">
        <f>IFERROR(C13-C24-C26-C27,"由必填项计算可得")</f>
        <v>由必填项计算可得</v>
      </c>
      <c r="D16" s="28" t="s">
        <v>177</v>
      </c>
      <c r="E16" s="27" t="s">
        <v>469</v>
      </c>
    </row>
    <row r="17" spans="1:5" ht="13">
      <c r="A17" s="24">
        <v>8.1999999999999993</v>
      </c>
      <c r="B17" s="13" t="s">
        <v>178</v>
      </c>
      <c r="C17" s="33" t="str">
        <f>IFERROR(C22+C23,"由必填项计算可得")</f>
        <v>由必填项计算可得</v>
      </c>
      <c r="D17" s="28" t="s">
        <v>179</v>
      </c>
      <c r="E17" s="27" t="s">
        <v>469</v>
      </c>
    </row>
    <row r="18" spans="1:5" ht="13">
      <c r="A18" s="21" t="s">
        <v>180</v>
      </c>
      <c r="B18" s="13" t="s">
        <v>472</v>
      </c>
      <c r="C18" s="33" t="s">
        <v>439</v>
      </c>
      <c r="D18" s="28" t="s">
        <v>435</v>
      </c>
      <c r="E18" s="27" t="s">
        <v>469</v>
      </c>
    </row>
    <row r="19" spans="1:5" ht="13">
      <c r="A19" s="21" t="s">
        <v>182</v>
      </c>
      <c r="B19" s="13" t="s">
        <v>436</v>
      </c>
      <c r="C19" s="33" t="s">
        <v>439</v>
      </c>
      <c r="D19" s="28" t="s">
        <v>437</v>
      </c>
      <c r="E19" s="27" t="s">
        <v>469</v>
      </c>
    </row>
    <row r="20" spans="1:5" ht="13">
      <c r="A20" s="21" t="s">
        <v>184</v>
      </c>
      <c r="B20" s="13" t="s">
        <v>473</v>
      </c>
      <c r="C20" s="33" t="s">
        <v>439</v>
      </c>
      <c r="D20" s="28" t="s">
        <v>438</v>
      </c>
      <c r="E20" s="27" t="s">
        <v>469</v>
      </c>
    </row>
    <row r="21" spans="1:5" ht="13">
      <c r="A21" s="21" t="s">
        <v>430</v>
      </c>
      <c r="B21" s="13" t="s">
        <v>474</v>
      </c>
      <c r="C21" s="33" t="str">
        <f>IFERROR(C10*C18,"由必填项计算可得")</f>
        <v>由必填项计算可得</v>
      </c>
      <c r="D21" s="28" t="s">
        <v>441</v>
      </c>
      <c r="E21" s="22" t="s">
        <v>181</v>
      </c>
    </row>
    <row r="22" spans="1:5" ht="13">
      <c r="A22" s="21" t="s">
        <v>431</v>
      </c>
      <c r="B22" s="13" t="s">
        <v>183</v>
      </c>
      <c r="C22" s="33" t="str">
        <f>IFERROR(C21*C19,"由必填项计算可得")</f>
        <v>由必填项计算可得</v>
      </c>
      <c r="D22" s="28" t="s">
        <v>442</v>
      </c>
      <c r="E22" s="22" t="s">
        <v>181</v>
      </c>
    </row>
    <row r="23" spans="1:5" ht="13">
      <c r="A23" s="21" t="s">
        <v>432</v>
      </c>
      <c r="B23" s="13" t="s">
        <v>185</v>
      </c>
      <c r="C23" s="33" t="str">
        <f>IFERROR(C9*C20,"由必填项计算可得")</f>
        <v>由必填项计算可得</v>
      </c>
      <c r="D23" s="28" t="s">
        <v>443</v>
      </c>
      <c r="E23" s="22" t="s">
        <v>469</v>
      </c>
    </row>
    <row r="24" spans="1:5" ht="26">
      <c r="A24" s="26">
        <v>9</v>
      </c>
      <c r="B24" s="22" t="s">
        <v>186</v>
      </c>
      <c r="C24" s="33" t="str">
        <f>IFERROR(C9*C25,"由必填项计算可得")</f>
        <v>由必填项计算可得</v>
      </c>
      <c r="D24" s="160" t="s">
        <v>444</v>
      </c>
      <c r="E24" s="22" t="s">
        <v>181</v>
      </c>
    </row>
    <row r="25" spans="1:5" ht="13">
      <c r="A25" s="35">
        <v>9.1</v>
      </c>
      <c r="B25" s="33" t="s">
        <v>433</v>
      </c>
      <c r="C25" s="33" t="s">
        <v>439</v>
      </c>
      <c r="D25" s="160" t="s">
        <v>434</v>
      </c>
      <c r="E25" s="33" t="s">
        <v>181</v>
      </c>
    </row>
    <row r="26" spans="1:5" ht="13">
      <c r="A26" s="26">
        <v>10</v>
      </c>
      <c r="B26" s="22" t="s">
        <v>187</v>
      </c>
      <c r="C26" s="33" t="s">
        <v>439</v>
      </c>
      <c r="D26" s="14" t="s">
        <v>188</v>
      </c>
      <c r="E26" s="22" t="s">
        <v>181</v>
      </c>
    </row>
    <row r="27" spans="1:5" ht="13">
      <c r="A27" s="26">
        <v>11</v>
      </c>
      <c r="B27" s="33" t="s">
        <v>189</v>
      </c>
      <c r="C27" s="33" t="s">
        <v>439</v>
      </c>
      <c r="D27" s="14" t="s">
        <v>190</v>
      </c>
      <c r="E27" s="33" t="s">
        <v>181</v>
      </c>
    </row>
    <row r="28" spans="1:5" ht="13">
      <c r="A28" s="2" t="s">
        <v>446</v>
      </c>
    </row>
    <row r="29" spans="1:5" ht="13">
      <c r="A29" s="2" t="s">
        <v>447</v>
      </c>
    </row>
    <row r="30" spans="1:5" ht="13">
      <c r="A30" s="187" t="s">
        <v>403</v>
      </c>
      <c r="B30" s="188"/>
      <c r="C30" s="188"/>
      <c r="D30" s="188"/>
      <c r="E30" s="189"/>
    </row>
    <row r="31" spans="1:5" ht="13">
      <c r="A31" s="23" t="s">
        <v>153</v>
      </c>
      <c r="B31" s="23" t="s">
        <v>154</v>
      </c>
      <c r="C31" s="23" t="s">
        <v>155</v>
      </c>
      <c r="D31" s="23" t="s">
        <v>150</v>
      </c>
      <c r="E31" s="23" t="s">
        <v>156</v>
      </c>
    </row>
    <row r="32" spans="1:5" ht="13">
      <c r="A32" s="24">
        <v>1</v>
      </c>
      <c r="B32" s="22" t="s">
        <v>191</v>
      </c>
      <c r="C32" s="33" t="s">
        <v>439</v>
      </c>
      <c r="D32" s="3" t="s">
        <v>158</v>
      </c>
      <c r="E32" s="22" t="s">
        <v>469</v>
      </c>
    </row>
    <row r="33" spans="1:5" ht="13">
      <c r="A33" s="24">
        <v>2</v>
      </c>
      <c r="B33" s="22" t="s">
        <v>192</v>
      </c>
      <c r="C33" s="33" t="s">
        <v>439</v>
      </c>
      <c r="D33" s="16" t="s">
        <v>369</v>
      </c>
      <c r="E33" s="4" t="s">
        <v>469</v>
      </c>
    </row>
    <row r="34" spans="1:5" ht="13">
      <c r="A34" s="24">
        <v>3</v>
      </c>
      <c r="B34" s="22" t="s">
        <v>358</v>
      </c>
      <c r="C34" s="33" t="s">
        <v>439</v>
      </c>
      <c r="D34" s="3" t="s">
        <v>370</v>
      </c>
      <c r="E34" s="4" t="s">
        <v>181</v>
      </c>
    </row>
    <row r="35" spans="1:5" ht="13">
      <c r="A35" s="35">
        <v>4</v>
      </c>
      <c r="B35" s="33" t="s">
        <v>359</v>
      </c>
      <c r="C35" s="33" t="s">
        <v>439</v>
      </c>
      <c r="D35" s="48" t="s">
        <v>370</v>
      </c>
      <c r="E35" s="4" t="s">
        <v>469</v>
      </c>
    </row>
    <row r="36" spans="1:5" ht="13">
      <c r="A36" s="35">
        <v>5</v>
      </c>
      <c r="B36" s="22" t="s">
        <v>193</v>
      </c>
      <c r="C36" s="33" t="s">
        <v>439</v>
      </c>
      <c r="D36" s="48" t="s">
        <v>371</v>
      </c>
      <c r="E36" s="4" t="s">
        <v>181</v>
      </c>
    </row>
    <row r="37" spans="1:5" ht="13">
      <c r="A37" s="35">
        <v>6</v>
      </c>
      <c r="B37" s="22" t="s">
        <v>194</v>
      </c>
      <c r="C37" s="33" t="s">
        <v>439</v>
      </c>
      <c r="D37" s="48" t="s">
        <v>419</v>
      </c>
      <c r="E37" s="4" t="s">
        <v>181</v>
      </c>
    </row>
    <row r="38" spans="1:5" ht="13">
      <c r="A38" s="35">
        <v>7</v>
      </c>
      <c r="B38" s="22" t="s">
        <v>195</v>
      </c>
      <c r="C38" s="33" t="s">
        <v>439</v>
      </c>
      <c r="D38" s="3" t="s">
        <v>367</v>
      </c>
      <c r="E38" s="4" t="s">
        <v>181</v>
      </c>
    </row>
    <row r="39" spans="1:5" ht="13">
      <c r="A39" s="35">
        <v>8</v>
      </c>
      <c r="B39" s="22" t="s">
        <v>196</v>
      </c>
      <c r="C39" s="33" t="s">
        <v>439</v>
      </c>
      <c r="D39" s="28" t="s">
        <v>368</v>
      </c>
      <c r="E39" s="4" t="s">
        <v>181</v>
      </c>
    </row>
    <row r="40" spans="1:5" ht="13">
      <c r="A40" s="35">
        <v>9</v>
      </c>
      <c r="B40" s="22" t="s">
        <v>197</v>
      </c>
      <c r="C40" s="33" t="s">
        <v>439</v>
      </c>
      <c r="D40" s="3" t="s">
        <v>367</v>
      </c>
      <c r="E40" s="4" t="s">
        <v>181</v>
      </c>
    </row>
    <row r="41" spans="1:5" ht="13">
      <c r="A41" s="35">
        <v>10</v>
      </c>
      <c r="B41" s="22" t="s">
        <v>198</v>
      </c>
      <c r="C41" s="33" t="s">
        <v>439</v>
      </c>
      <c r="D41" s="3" t="s">
        <v>367</v>
      </c>
      <c r="E41" s="4" t="s">
        <v>181</v>
      </c>
    </row>
    <row r="42" spans="1:5" ht="13">
      <c r="A42" s="35">
        <v>11</v>
      </c>
      <c r="B42" s="22" t="s">
        <v>199</v>
      </c>
      <c r="C42" s="33" t="s">
        <v>439</v>
      </c>
      <c r="D42" s="48" t="s">
        <v>418</v>
      </c>
      <c r="E42" s="4" t="s">
        <v>181</v>
      </c>
    </row>
    <row r="43" spans="1:5" ht="13">
      <c r="A43" s="35">
        <v>12</v>
      </c>
      <c r="B43" s="33" t="s">
        <v>275</v>
      </c>
      <c r="C43" s="33" t="s">
        <v>439</v>
      </c>
      <c r="D43" s="3" t="s">
        <v>277</v>
      </c>
      <c r="E43" s="4" t="s">
        <v>469</v>
      </c>
    </row>
    <row r="44" spans="1:5" ht="13">
      <c r="A44" s="35">
        <v>13</v>
      </c>
      <c r="B44" s="33" t="s">
        <v>276</v>
      </c>
      <c r="C44" s="33" t="s">
        <v>439</v>
      </c>
      <c r="D44" s="3" t="s">
        <v>277</v>
      </c>
      <c r="E44" s="184" t="s">
        <v>469</v>
      </c>
    </row>
    <row r="45" spans="1:5" ht="13">
      <c r="A45" s="2" t="s">
        <v>446</v>
      </c>
    </row>
    <row r="46" spans="1:5" ht="13">
      <c r="A46" s="2" t="s">
        <v>447</v>
      </c>
    </row>
    <row r="47" spans="1:5" ht="13">
      <c r="A47" s="187" t="s">
        <v>404</v>
      </c>
      <c r="B47" s="188"/>
      <c r="C47" s="188"/>
      <c r="D47" s="188"/>
      <c r="E47" s="189"/>
    </row>
    <row r="48" spans="1:5" ht="13">
      <c r="A48" s="23" t="s">
        <v>153</v>
      </c>
      <c r="B48" s="23" t="s">
        <v>154</v>
      </c>
      <c r="C48" s="23" t="s">
        <v>155</v>
      </c>
      <c r="D48" s="23" t="s">
        <v>150</v>
      </c>
      <c r="E48" s="23" t="s">
        <v>156</v>
      </c>
    </row>
    <row r="49" spans="1:5" ht="13">
      <c r="A49" s="24">
        <v>1</v>
      </c>
      <c r="B49" s="22" t="s">
        <v>475</v>
      </c>
      <c r="C49" s="81" t="s">
        <v>439</v>
      </c>
      <c r="D49" s="3" t="s">
        <v>200</v>
      </c>
      <c r="E49" s="22" t="s">
        <v>469</v>
      </c>
    </row>
    <row r="50" spans="1:5" ht="13">
      <c r="A50" s="24">
        <v>2</v>
      </c>
      <c r="B50" s="22" t="s">
        <v>201</v>
      </c>
      <c r="C50" s="81">
        <v>1</v>
      </c>
      <c r="D50" s="3" t="s">
        <v>200</v>
      </c>
      <c r="E50" s="4" t="s">
        <v>469</v>
      </c>
    </row>
    <row r="51" spans="1:5" ht="13">
      <c r="A51" s="2" t="s">
        <v>446</v>
      </c>
    </row>
    <row r="52" spans="1:5" ht="13">
      <c r="A52" s="2" t="s">
        <v>447</v>
      </c>
    </row>
    <row r="53" spans="1:5" ht="13">
      <c r="A53" s="187" t="s">
        <v>405</v>
      </c>
      <c r="B53" s="188"/>
      <c r="C53" s="188"/>
      <c r="D53" s="188"/>
      <c r="E53" s="189"/>
    </row>
    <row r="54" spans="1:5" ht="13">
      <c r="A54" s="23" t="s">
        <v>153</v>
      </c>
      <c r="B54" s="23" t="s">
        <v>154</v>
      </c>
      <c r="C54" s="23" t="s">
        <v>155</v>
      </c>
      <c r="D54" s="23" t="s">
        <v>150</v>
      </c>
      <c r="E54" s="23" t="s">
        <v>156</v>
      </c>
    </row>
    <row r="55" spans="1:5" ht="13">
      <c r="A55" s="36">
        <v>1</v>
      </c>
      <c r="B55" s="37" t="s">
        <v>122</v>
      </c>
      <c r="C55" s="23" t="s">
        <v>440</v>
      </c>
      <c r="D55" s="23"/>
      <c r="E55" s="23" t="s">
        <v>202</v>
      </c>
    </row>
    <row r="56" spans="1:5" ht="13">
      <c r="A56" s="24">
        <v>1.1000000000000001</v>
      </c>
      <c r="B56" s="22" t="s">
        <v>203</v>
      </c>
      <c r="C56" s="34" t="s">
        <v>440</v>
      </c>
      <c r="D56" s="23"/>
      <c r="E56" s="23" t="s">
        <v>469</v>
      </c>
    </row>
    <row r="57" spans="1:5" ht="13">
      <c r="A57" s="21" t="s">
        <v>204</v>
      </c>
      <c r="B57" s="13" t="s">
        <v>159</v>
      </c>
      <c r="C57" s="81" t="s">
        <v>439</v>
      </c>
      <c r="D57" s="3" t="s">
        <v>158</v>
      </c>
      <c r="E57" s="22" t="s">
        <v>469</v>
      </c>
    </row>
    <row r="58" spans="1:5" ht="13">
      <c r="A58" s="21" t="s">
        <v>205</v>
      </c>
      <c r="B58" s="13" t="s">
        <v>161</v>
      </c>
      <c r="C58" s="81" t="s">
        <v>439</v>
      </c>
      <c r="D58" s="3" t="s">
        <v>158</v>
      </c>
      <c r="E58" s="4" t="s">
        <v>469</v>
      </c>
    </row>
    <row r="59" spans="1:5" ht="13">
      <c r="A59" s="21" t="s">
        <v>206</v>
      </c>
      <c r="B59" s="13" t="s">
        <v>163</v>
      </c>
      <c r="C59" s="81" t="str">
        <f>IFERROR(100%-C57-C58,"由必填项计算可得")</f>
        <v>由必填项计算可得</v>
      </c>
      <c r="D59" s="3" t="s">
        <v>158</v>
      </c>
      <c r="E59" s="4" t="s">
        <v>469</v>
      </c>
    </row>
    <row r="60" spans="1:5" ht="13">
      <c r="A60" s="19">
        <v>1.2</v>
      </c>
      <c r="B60" s="22" t="s">
        <v>207</v>
      </c>
      <c r="C60" s="81" t="s">
        <v>284</v>
      </c>
      <c r="D60" s="3" t="s">
        <v>158</v>
      </c>
      <c r="E60" s="4" t="s">
        <v>469</v>
      </c>
    </row>
    <row r="61" spans="1:5" ht="13">
      <c r="A61" s="19">
        <v>1.3</v>
      </c>
      <c r="B61" s="30" t="s">
        <v>208</v>
      </c>
      <c r="C61" s="81" t="s">
        <v>284</v>
      </c>
      <c r="D61" s="3" t="s">
        <v>158</v>
      </c>
      <c r="E61" s="4" t="s">
        <v>469</v>
      </c>
    </row>
    <row r="62" spans="1:5" ht="13">
      <c r="A62" s="36">
        <v>2</v>
      </c>
      <c r="B62" s="37" t="s">
        <v>124</v>
      </c>
      <c r="C62" s="34" t="s">
        <v>440</v>
      </c>
      <c r="D62" s="18"/>
      <c r="E62" s="184" t="s">
        <v>469</v>
      </c>
    </row>
    <row r="63" spans="1:5" ht="13">
      <c r="A63" s="32">
        <v>2.1</v>
      </c>
      <c r="B63" s="30" t="s">
        <v>212</v>
      </c>
      <c r="C63" s="34" t="s">
        <v>440</v>
      </c>
      <c r="D63" s="31"/>
      <c r="E63" s="31" t="s">
        <v>469</v>
      </c>
    </row>
    <row r="64" spans="1:5" ht="13">
      <c r="A64" s="21" t="s">
        <v>209</v>
      </c>
      <c r="B64" s="13" t="s">
        <v>213</v>
      </c>
      <c r="C64" s="81" t="s">
        <v>439</v>
      </c>
      <c r="D64" s="3" t="s">
        <v>158</v>
      </c>
      <c r="E64" s="30" t="s">
        <v>469</v>
      </c>
    </row>
    <row r="65" spans="1:5" ht="13">
      <c r="A65" s="21" t="s">
        <v>210</v>
      </c>
      <c r="B65" s="13" t="s">
        <v>214</v>
      </c>
      <c r="C65" s="81" t="s">
        <v>439</v>
      </c>
      <c r="D65" s="3" t="s">
        <v>158</v>
      </c>
      <c r="E65" s="4" t="s">
        <v>469</v>
      </c>
    </row>
    <row r="66" spans="1:5" ht="13">
      <c r="A66" s="21" t="s">
        <v>211</v>
      </c>
      <c r="B66" s="13" t="s">
        <v>215</v>
      </c>
      <c r="C66" s="81" t="str">
        <f>IFERROR(100%-C64-C65,"由必填项计算可得")</f>
        <v>由必填项计算可得</v>
      </c>
      <c r="D66" s="3" t="s">
        <v>158</v>
      </c>
      <c r="E66" s="4" t="s">
        <v>469</v>
      </c>
    </row>
    <row r="67" spans="1:5" ht="13">
      <c r="A67" s="19">
        <v>2.2000000000000002</v>
      </c>
      <c r="B67" s="30" t="s">
        <v>216</v>
      </c>
      <c r="C67" s="81" t="s">
        <v>284</v>
      </c>
      <c r="D67" s="3" t="s">
        <v>158</v>
      </c>
      <c r="E67" s="184" t="s">
        <v>469</v>
      </c>
    </row>
    <row r="68" spans="1:5" ht="13">
      <c r="A68" s="19">
        <v>2.2999999999999998</v>
      </c>
      <c r="B68" s="30" t="s">
        <v>218</v>
      </c>
      <c r="C68" s="81" t="s">
        <v>284</v>
      </c>
      <c r="D68" s="3" t="s">
        <v>158</v>
      </c>
      <c r="E68" s="4" t="s">
        <v>469</v>
      </c>
    </row>
    <row r="69" spans="1:5" ht="13">
      <c r="A69" s="36">
        <v>3</v>
      </c>
      <c r="B69" s="37" t="s">
        <v>219</v>
      </c>
      <c r="C69" s="34" t="s">
        <v>440</v>
      </c>
      <c r="D69" s="18"/>
      <c r="E69" s="184" t="s">
        <v>469</v>
      </c>
    </row>
    <row r="70" spans="1:5" ht="13">
      <c r="A70" s="32">
        <v>3.1</v>
      </c>
      <c r="B70" s="30" t="s">
        <v>223</v>
      </c>
      <c r="C70" s="34" t="s">
        <v>440</v>
      </c>
      <c r="D70" s="31"/>
      <c r="E70" s="31" t="s">
        <v>469</v>
      </c>
    </row>
    <row r="71" spans="1:5" ht="13">
      <c r="A71" s="21" t="s">
        <v>220</v>
      </c>
      <c r="B71" s="13" t="s">
        <v>224</v>
      </c>
      <c r="C71" s="81" t="s">
        <v>439</v>
      </c>
      <c r="D71" s="3" t="s">
        <v>158</v>
      </c>
      <c r="E71" s="30" t="s">
        <v>469</v>
      </c>
    </row>
    <row r="72" spans="1:5" ht="13">
      <c r="A72" s="21" t="s">
        <v>221</v>
      </c>
      <c r="B72" s="13" t="s">
        <v>225</v>
      </c>
      <c r="C72" s="81" t="s">
        <v>439</v>
      </c>
      <c r="D72" s="3" t="s">
        <v>158</v>
      </c>
      <c r="E72" s="4" t="s">
        <v>469</v>
      </c>
    </row>
    <row r="73" spans="1:5" ht="13">
      <c r="A73" s="21" t="s">
        <v>222</v>
      </c>
      <c r="B73" s="13" t="s">
        <v>226</v>
      </c>
      <c r="C73" s="81" t="str">
        <f>IFERROR(100%-C71-C72,"由必填项计算可得")</f>
        <v>由必填项计算可得</v>
      </c>
      <c r="D73" s="3" t="s">
        <v>158</v>
      </c>
      <c r="E73" s="4" t="s">
        <v>469</v>
      </c>
    </row>
    <row r="74" spans="1:5" ht="13">
      <c r="A74" s="19">
        <v>3.2</v>
      </c>
      <c r="B74" s="30" t="s">
        <v>228</v>
      </c>
      <c r="C74" s="81" t="s">
        <v>284</v>
      </c>
      <c r="D74" s="3" t="s">
        <v>158</v>
      </c>
      <c r="E74" s="4" t="s">
        <v>469</v>
      </c>
    </row>
    <row r="75" spans="1:5" ht="13">
      <c r="A75" s="19">
        <v>3.3</v>
      </c>
      <c r="B75" s="30" t="s">
        <v>227</v>
      </c>
      <c r="C75" s="81" t="s">
        <v>284</v>
      </c>
      <c r="D75" s="3" t="s">
        <v>158</v>
      </c>
      <c r="E75" s="4" t="s">
        <v>469</v>
      </c>
    </row>
    <row r="76" spans="1:5" ht="13">
      <c r="A76" s="36">
        <v>4</v>
      </c>
      <c r="B76" s="37" t="s">
        <v>231</v>
      </c>
      <c r="C76" s="34" t="s">
        <v>440</v>
      </c>
      <c r="D76" s="18"/>
      <c r="E76" s="184" t="s">
        <v>469</v>
      </c>
    </row>
    <row r="77" spans="1:5" ht="13">
      <c r="A77" s="32">
        <v>4.0999999999999996</v>
      </c>
      <c r="B77" s="30" t="s">
        <v>232</v>
      </c>
      <c r="C77" s="34" t="s">
        <v>440</v>
      </c>
      <c r="D77" s="31"/>
      <c r="E77" s="31" t="s">
        <v>469</v>
      </c>
    </row>
    <row r="78" spans="1:5" ht="13">
      <c r="A78" s="21" t="s">
        <v>238</v>
      </c>
      <c r="B78" s="13" t="s">
        <v>237</v>
      </c>
      <c r="C78" s="81" t="s">
        <v>439</v>
      </c>
      <c r="D78" s="3" t="s">
        <v>158</v>
      </c>
      <c r="E78" s="30" t="s">
        <v>469</v>
      </c>
    </row>
    <row r="79" spans="1:5" ht="13">
      <c r="A79" s="21" t="s">
        <v>239</v>
      </c>
      <c r="B79" s="13" t="s">
        <v>233</v>
      </c>
      <c r="C79" s="81" t="s">
        <v>439</v>
      </c>
      <c r="D79" s="3" t="s">
        <v>158</v>
      </c>
      <c r="E79" s="4" t="s">
        <v>469</v>
      </c>
    </row>
    <row r="80" spans="1:5" ht="13">
      <c r="A80" s="21" t="s">
        <v>240</v>
      </c>
      <c r="B80" s="13" t="s">
        <v>234</v>
      </c>
      <c r="C80" s="81" t="str">
        <f>IFERROR(100%-C78-C79,"由必填项计算可得")</f>
        <v>由必填项计算可得</v>
      </c>
      <c r="D80" s="3" t="s">
        <v>158</v>
      </c>
      <c r="E80" s="4" t="s">
        <v>469</v>
      </c>
    </row>
    <row r="81" spans="1:5" ht="13">
      <c r="A81" s="19">
        <v>4.2</v>
      </c>
      <c r="B81" s="30" t="s">
        <v>235</v>
      </c>
      <c r="C81" s="81" t="s">
        <v>284</v>
      </c>
      <c r="D81" s="3" t="s">
        <v>158</v>
      </c>
      <c r="E81" s="4" t="s">
        <v>469</v>
      </c>
    </row>
    <row r="82" spans="1:5" ht="13">
      <c r="A82" s="19">
        <v>4.3</v>
      </c>
      <c r="B82" s="30" t="s">
        <v>236</v>
      </c>
      <c r="C82" s="81" t="s">
        <v>284</v>
      </c>
      <c r="D82" s="3" t="s">
        <v>158</v>
      </c>
      <c r="E82" s="4" t="s">
        <v>469</v>
      </c>
    </row>
    <row r="83" spans="1:5" ht="13">
      <c r="A83" s="2" t="s">
        <v>446</v>
      </c>
    </row>
    <row r="84" spans="1:5" ht="13">
      <c r="A84" s="2" t="s">
        <v>447</v>
      </c>
    </row>
    <row r="85" spans="1:5" ht="13">
      <c r="A85" s="187" t="s">
        <v>406</v>
      </c>
      <c r="B85" s="188"/>
      <c r="C85" s="188"/>
      <c r="D85" s="188"/>
      <c r="E85" s="189"/>
    </row>
    <row r="86" spans="1:5" ht="13">
      <c r="A86" s="23" t="s">
        <v>153</v>
      </c>
      <c r="B86" s="23" t="s">
        <v>154</v>
      </c>
      <c r="C86" s="23" t="s">
        <v>155</v>
      </c>
      <c r="D86" s="23" t="s">
        <v>150</v>
      </c>
      <c r="E86" s="23" t="s">
        <v>156</v>
      </c>
    </row>
    <row r="87" spans="1:5" ht="13">
      <c r="A87" s="36">
        <v>1</v>
      </c>
      <c r="B87" s="37" t="s">
        <v>262</v>
      </c>
      <c r="C87" s="81" t="s">
        <v>440</v>
      </c>
      <c r="D87" s="3"/>
      <c r="E87" s="22" t="s">
        <v>469</v>
      </c>
    </row>
    <row r="88" spans="1:5" ht="13">
      <c r="A88" s="32">
        <v>1.1000000000000001</v>
      </c>
      <c r="B88" s="30" t="s">
        <v>241</v>
      </c>
      <c r="C88" s="176" t="s">
        <v>439</v>
      </c>
      <c r="D88" s="156" t="s">
        <v>428</v>
      </c>
      <c r="E88" s="38" t="s">
        <v>243</v>
      </c>
    </row>
    <row r="89" spans="1:5" ht="13">
      <c r="A89" s="32">
        <v>1.2</v>
      </c>
      <c r="B89" s="30" t="s">
        <v>242</v>
      </c>
      <c r="C89" s="176" t="s">
        <v>439</v>
      </c>
      <c r="D89" s="156" t="s">
        <v>428</v>
      </c>
      <c r="E89" s="38" t="s">
        <v>243</v>
      </c>
    </row>
    <row r="90" spans="1:5" ht="13">
      <c r="A90" s="36">
        <v>2</v>
      </c>
      <c r="B90" s="37" t="s">
        <v>263</v>
      </c>
      <c r="C90" s="81" t="s">
        <v>440</v>
      </c>
      <c r="D90" s="18"/>
      <c r="E90" s="184" t="s">
        <v>469</v>
      </c>
    </row>
    <row r="91" spans="1:5" ht="13">
      <c r="A91" s="32">
        <v>2.1</v>
      </c>
      <c r="B91" s="33" t="s">
        <v>244</v>
      </c>
      <c r="C91" s="81" t="s">
        <v>284</v>
      </c>
      <c r="D91" s="3" t="s">
        <v>158</v>
      </c>
      <c r="E91" s="184" t="s">
        <v>469</v>
      </c>
    </row>
    <row r="92" spans="1:5" ht="13">
      <c r="A92" s="32">
        <v>2.2000000000000002</v>
      </c>
      <c r="B92" s="30" t="s">
        <v>245</v>
      </c>
      <c r="C92" s="81" t="s">
        <v>284</v>
      </c>
      <c r="D92" s="3" t="s">
        <v>158</v>
      </c>
      <c r="E92" s="184" t="s">
        <v>469</v>
      </c>
    </row>
    <row r="93" spans="1:5" ht="13">
      <c r="A93" s="36">
        <v>3</v>
      </c>
      <c r="B93" s="37" t="s">
        <v>246</v>
      </c>
      <c r="C93" s="33" t="s">
        <v>440</v>
      </c>
      <c r="D93" s="18"/>
      <c r="E93" s="184" t="s">
        <v>469</v>
      </c>
    </row>
    <row r="94" spans="1:5" ht="78">
      <c r="A94" s="32">
        <v>3.1</v>
      </c>
      <c r="B94" s="30" t="s">
        <v>247</v>
      </c>
      <c r="C94" s="33" t="s">
        <v>439</v>
      </c>
      <c r="D94" s="39" t="s">
        <v>251</v>
      </c>
      <c r="E94" s="39" t="s">
        <v>477</v>
      </c>
    </row>
    <row r="95" spans="1:5" ht="13">
      <c r="A95" s="32">
        <v>3.2</v>
      </c>
      <c r="B95" s="30" t="s">
        <v>248</v>
      </c>
      <c r="C95" s="81" t="s">
        <v>439</v>
      </c>
      <c r="D95" s="16" t="s">
        <v>252</v>
      </c>
      <c r="E95" s="3" t="s">
        <v>243</v>
      </c>
    </row>
    <row r="96" spans="1:5" ht="13">
      <c r="A96" s="36">
        <v>4</v>
      </c>
      <c r="B96" s="37" t="s">
        <v>249</v>
      </c>
      <c r="C96" s="33" t="s">
        <v>440</v>
      </c>
      <c r="D96" s="18"/>
      <c r="E96" s="184" t="s">
        <v>469</v>
      </c>
    </row>
    <row r="97" spans="1:5" ht="26">
      <c r="A97" s="32">
        <v>4.0999999999999996</v>
      </c>
      <c r="B97" s="30" t="s">
        <v>250</v>
      </c>
      <c r="C97" s="33" t="s">
        <v>439</v>
      </c>
      <c r="D97" s="39" t="s">
        <v>253</v>
      </c>
      <c r="E97" s="39" t="s">
        <v>478</v>
      </c>
    </row>
    <row r="98" spans="1:5" ht="13">
      <c r="A98" s="32">
        <v>4.2</v>
      </c>
      <c r="B98" s="30" t="s">
        <v>248</v>
      </c>
      <c r="C98" s="81" t="s">
        <v>439</v>
      </c>
      <c r="D98" s="16" t="s">
        <v>252</v>
      </c>
      <c r="E98" s="3" t="s">
        <v>243</v>
      </c>
    </row>
    <row r="99" spans="1:5" ht="13">
      <c r="A99" s="2" t="s">
        <v>446</v>
      </c>
    </row>
    <row r="100" spans="1:5" ht="13">
      <c r="A100" s="2" t="s">
        <v>447</v>
      </c>
    </row>
    <row r="101" spans="1:5" ht="13">
      <c r="A101" s="187" t="s">
        <v>407</v>
      </c>
      <c r="B101" s="188"/>
      <c r="C101" s="188"/>
      <c r="D101" s="188"/>
      <c r="E101" s="189"/>
    </row>
    <row r="102" spans="1:5" ht="13">
      <c r="A102" s="31" t="s">
        <v>153</v>
      </c>
      <c r="B102" s="31" t="s">
        <v>154</v>
      </c>
      <c r="C102" s="31" t="s">
        <v>155</v>
      </c>
      <c r="D102" s="31" t="s">
        <v>150</v>
      </c>
      <c r="E102" s="31" t="s">
        <v>156</v>
      </c>
    </row>
    <row r="103" spans="1:5" ht="13">
      <c r="A103" s="41">
        <v>1</v>
      </c>
      <c r="B103" s="42" t="s">
        <v>254</v>
      </c>
      <c r="C103" s="6"/>
      <c r="D103" s="3"/>
      <c r="E103" s="30" t="s">
        <v>469</v>
      </c>
    </row>
    <row r="104" spans="1:5" ht="13">
      <c r="A104" s="43">
        <v>1.1000000000000001</v>
      </c>
      <c r="B104" s="40" t="s">
        <v>255</v>
      </c>
      <c r="C104" s="177" t="s">
        <v>439</v>
      </c>
      <c r="D104" s="3" t="s">
        <v>256</v>
      </c>
      <c r="E104" s="38" t="s">
        <v>469</v>
      </c>
    </row>
    <row r="105" spans="1:5" ht="13">
      <c r="A105" s="43">
        <v>1.2</v>
      </c>
      <c r="B105" s="40" t="s">
        <v>257</v>
      </c>
      <c r="C105" s="177" t="s">
        <v>439</v>
      </c>
      <c r="D105" s="3" t="s">
        <v>256</v>
      </c>
      <c r="E105" s="38" t="s">
        <v>469</v>
      </c>
    </row>
    <row r="106" spans="1:5" ht="13">
      <c r="A106" s="43">
        <v>1.3</v>
      </c>
      <c r="B106" s="40" t="s">
        <v>258</v>
      </c>
      <c r="C106" s="177" t="s">
        <v>439</v>
      </c>
      <c r="D106" s="3" t="s">
        <v>256</v>
      </c>
      <c r="E106" s="184" t="s">
        <v>469</v>
      </c>
    </row>
    <row r="107" spans="1:5" ht="65">
      <c r="A107" s="41">
        <v>2</v>
      </c>
      <c r="B107" s="12" t="s">
        <v>259</v>
      </c>
      <c r="C107" s="177" t="s">
        <v>439</v>
      </c>
      <c r="D107" s="44" t="s">
        <v>264</v>
      </c>
      <c r="E107" s="45" t="s">
        <v>470</v>
      </c>
    </row>
    <row r="108" spans="1:5" ht="13">
      <c r="A108" s="41">
        <v>3</v>
      </c>
      <c r="B108" s="3" t="s">
        <v>260</v>
      </c>
      <c r="C108" s="177" t="s">
        <v>439</v>
      </c>
      <c r="D108" s="3" t="s">
        <v>256</v>
      </c>
      <c r="E108" s="184" t="s">
        <v>469</v>
      </c>
    </row>
    <row r="109" spans="1:5" ht="13">
      <c r="A109" s="41">
        <v>4</v>
      </c>
      <c r="B109" s="3" t="s">
        <v>261</v>
      </c>
      <c r="C109" s="177" t="s">
        <v>439</v>
      </c>
      <c r="D109" s="3" t="s">
        <v>256</v>
      </c>
      <c r="E109" s="184" t="s">
        <v>469</v>
      </c>
    </row>
    <row r="110" spans="1:5" ht="13">
      <c r="A110" s="41">
        <v>5</v>
      </c>
      <c r="B110" s="3" t="s">
        <v>336</v>
      </c>
      <c r="C110" s="177" t="s">
        <v>439</v>
      </c>
      <c r="D110" s="3" t="s">
        <v>339</v>
      </c>
      <c r="E110" s="184" t="s">
        <v>469</v>
      </c>
    </row>
    <row r="111" spans="1:5" ht="13">
      <c r="A111" s="41">
        <v>6</v>
      </c>
      <c r="B111" s="3" t="s">
        <v>337</v>
      </c>
      <c r="C111" s="92"/>
      <c r="D111" s="3"/>
      <c r="E111" s="184" t="s">
        <v>469</v>
      </c>
    </row>
    <row r="112" spans="1:5" ht="13">
      <c r="A112" s="43">
        <v>6.1</v>
      </c>
      <c r="B112" s="33" t="s">
        <v>340</v>
      </c>
      <c r="C112" s="178" t="s">
        <v>439</v>
      </c>
      <c r="D112" s="3" t="s">
        <v>338</v>
      </c>
      <c r="E112" s="184" t="s">
        <v>469</v>
      </c>
    </row>
    <row r="113" spans="1:5" ht="13">
      <c r="A113" s="43">
        <v>6.2</v>
      </c>
      <c r="B113" s="33" t="s">
        <v>341</v>
      </c>
      <c r="C113" s="178" t="s">
        <v>439</v>
      </c>
      <c r="D113" s="3" t="s">
        <v>338</v>
      </c>
      <c r="E113" s="184" t="s">
        <v>469</v>
      </c>
    </row>
    <row r="114" spans="1:5" s="159" customFormat="1" ht="13">
      <c r="A114" s="155">
        <v>7</v>
      </c>
      <c r="B114" s="156" t="s">
        <v>131</v>
      </c>
      <c r="C114" s="157" t="s">
        <v>420</v>
      </c>
      <c r="D114" s="156" t="s">
        <v>421</v>
      </c>
      <c r="E114" s="158" t="s">
        <v>469</v>
      </c>
    </row>
    <row r="115" spans="1:5" ht="13">
      <c r="A115" s="2" t="s">
        <v>446</v>
      </c>
      <c r="E115" s="185"/>
    </row>
    <row r="116" spans="1:5" ht="13">
      <c r="A116" s="2" t="s">
        <v>447</v>
      </c>
      <c r="E116" s="185"/>
    </row>
    <row r="117" spans="1:5" ht="13">
      <c r="A117" s="187" t="s">
        <v>408</v>
      </c>
      <c r="B117" s="188"/>
      <c r="C117" s="188"/>
      <c r="D117" s="188"/>
      <c r="E117" s="189"/>
    </row>
    <row r="118" spans="1:5" ht="13">
      <c r="A118" s="34" t="s">
        <v>153</v>
      </c>
      <c r="B118" s="34" t="s">
        <v>154</v>
      </c>
      <c r="C118" s="34" t="s">
        <v>155</v>
      </c>
      <c r="D118" s="34" t="s">
        <v>150</v>
      </c>
      <c r="E118" s="34" t="s">
        <v>156</v>
      </c>
    </row>
    <row r="119" spans="1:5" ht="65">
      <c r="A119" s="41">
        <v>1</v>
      </c>
      <c r="B119" s="42" t="s">
        <v>429</v>
      </c>
      <c r="C119" s="81" t="s">
        <v>439</v>
      </c>
      <c r="D119" s="3" t="s">
        <v>394</v>
      </c>
      <c r="E119" s="27" t="s">
        <v>479</v>
      </c>
    </row>
    <row r="120" spans="1:5" ht="13">
      <c r="A120" s="41">
        <v>2</v>
      </c>
      <c r="B120" s="42" t="s">
        <v>393</v>
      </c>
      <c r="C120" s="33" t="s">
        <v>439</v>
      </c>
      <c r="D120" s="3" t="s">
        <v>158</v>
      </c>
      <c r="E120" s="38" t="s">
        <v>469</v>
      </c>
    </row>
    <row r="121" spans="1:5" ht="13">
      <c r="A121" s="41">
        <v>3</v>
      </c>
      <c r="B121" s="42" t="s">
        <v>392</v>
      </c>
      <c r="C121" s="179" t="s">
        <v>439</v>
      </c>
      <c r="D121" s="3" t="s">
        <v>158</v>
      </c>
      <c r="E121" s="38" t="s">
        <v>469</v>
      </c>
    </row>
    <row r="122" spans="1:5" ht="13">
      <c r="A122" s="41">
        <v>4</v>
      </c>
      <c r="B122" s="3" t="s">
        <v>398</v>
      </c>
      <c r="C122" s="33" t="s">
        <v>399</v>
      </c>
      <c r="D122" s="3" t="s">
        <v>400</v>
      </c>
      <c r="E122" s="184" t="s">
        <v>469</v>
      </c>
    </row>
    <row r="123" spans="1:5" ht="13">
      <c r="A123" s="2" t="s">
        <v>446</v>
      </c>
    </row>
  </sheetData>
  <mergeCells count="7">
    <mergeCell ref="A117:E117"/>
    <mergeCell ref="A101:E101"/>
    <mergeCell ref="A2:E2"/>
    <mergeCell ref="A85:E85"/>
    <mergeCell ref="A30:E30"/>
    <mergeCell ref="A47:E47"/>
    <mergeCell ref="A53:E53"/>
  </mergeCells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21D4-CD6E-4645-8E1D-B0463385DA04}">
  <dimension ref="A1:W13"/>
  <sheetViews>
    <sheetView workbookViewId="0">
      <selection activeCell="C3" sqref="C3"/>
    </sheetView>
  </sheetViews>
  <sheetFormatPr defaultRowHeight="12.5"/>
  <cols>
    <col min="2" max="2" width="30.1796875" bestFit="1" customWidth="1"/>
    <col min="3" max="3" width="12.1796875" bestFit="1" customWidth="1"/>
    <col min="4" max="4" width="12.36328125" bestFit="1" customWidth="1"/>
    <col min="5" max="23" width="11.1796875" bestFit="1" customWidth="1"/>
  </cols>
  <sheetData>
    <row r="1" spans="1:23" ht="21">
      <c r="A1" s="201" t="s">
        <v>118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s="49" customFormat="1" ht="15">
      <c r="A2" s="75"/>
      <c r="B2" s="75"/>
      <c r="C2" s="71" t="s">
        <v>391</v>
      </c>
      <c r="D2" s="71">
        <v>1</v>
      </c>
      <c r="E2" s="71">
        <v>2</v>
      </c>
      <c r="F2" s="71">
        <v>3</v>
      </c>
      <c r="G2" s="71">
        <v>4</v>
      </c>
      <c r="H2" s="71">
        <v>5</v>
      </c>
      <c r="I2" s="71">
        <v>6</v>
      </c>
      <c r="J2" s="71">
        <v>7</v>
      </c>
      <c r="K2" s="71">
        <v>8</v>
      </c>
      <c r="L2" s="71">
        <v>9</v>
      </c>
      <c r="M2" s="71">
        <v>10</v>
      </c>
      <c r="N2" s="71">
        <v>11</v>
      </c>
      <c r="O2" s="71">
        <v>12</v>
      </c>
      <c r="P2" s="71">
        <v>13</v>
      </c>
      <c r="Q2" s="71">
        <v>14</v>
      </c>
      <c r="R2" s="71">
        <v>15</v>
      </c>
      <c r="S2" s="71">
        <v>16</v>
      </c>
      <c r="T2" s="71">
        <v>17</v>
      </c>
      <c r="U2" s="71">
        <v>18</v>
      </c>
      <c r="V2" s="71">
        <v>19</v>
      </c>
      <c r="W2" s="71">
        <v>20</v>
      </c>
    </row>
    <row r="3" spans="1:23" ht="15">
      <c r="A3" s="130">
        <v>1</v>
      </c>
      <c r="B3" s="130" t="s">
        <v>107</v>
      </c>
      <c r="C3" s="131" t="str">
        <f>输入值【1】!C121</f>
        <v>必填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">
      <c r="A4" s="132">
        <v>1.1000000000000001</v>
      </c>
      <c r="B4" s="130" t="s">
        <v>108</v>
      </c>
      <c r="C4" s="133"/>
      <c r="D4" s="141">
        <v>0</v>
      </c>
      <c r="E4" s="142" t="e">
        <f>D10</f>
        <v>#VALUE!</v>
      </c>
      <c r="F4" s="142" t="e">
        <f t="shared" ref="F4:W4" si="0">E10</f>
        <v>#VALUE!</v>
      </c>
      <c r="G4" s="142" t="e">
        <f t="shared" si="0"/>
        <v>#VALUE!</v>
      </c>
      <c r="H4" s="142" t="e">
        <f t="shared" si="0"/>
        <v>#VALUE!</v>
      </c>
      <c r="I4" s="142" t="e">
        <f t="shared" si="0"/>
        <v>#VALUE!</v>
      </c>
      <c r="J4" s="142" t="e">
        <f t="shared" si="0"/>
        <v>#VALUE!</v>
      </c>
      <c r="K4" s="142" t="e">
        <f t="shared" si="0"/>
        <v>#VALUE!</v>
      </c>
      <c r="L4" s="142" t="e">
        <f t="shared" si="0"/>
        <v>#VALUE!</v>
      </c>
      <c r="M4" s="142" t="e">
        <f t="shared" si="0"/>
        <v>#VALUE!</v>
      </c>
      <c r="N4" s="142" t="e">
        <f t="shared" si="0"/>
        <v>#VALUE!</v>
      </c>
      <c r="O4" s="142" t="e">
        <f t="shared" si="0"/>
        <v>#VALUE!</v>
      </c>
      <c r="P4" s="142" t="e">
        <f t="shared" si="0"/>
        <v>#VALUE!</v>
      </c>
      <c r="Q4" s="142" t="e">
        <f t="shared" si="0"/>
        <v>#VALUE!</v>
      </c>
      <c r="R4" s="142" t="e">
        <f t="shared" si="0"/>
        <v>#VALUE!</v>
      </c>
      <c r="S4" s="142" t="e">
        <f t="shared" si="0"/>
        <v>#VALUE!</v>
      </c>
      <c r="T4" s="142" t="e">
        <f t="shared" si="0"/>
        <v>#VALUE!</v>
      </c>
      <c r="U4" s="142" t="e">
        <f t="shared" si="0"/>
        <v>#VALUE!</v>
      </c>
      <c r="V4" s="142" t="e">
        <f t="shared" si="0"/>
        <v>#VALUE!</v>
      </c>
      <c r="W4" s="142" t="e">
        <f t="shared" si="0"/>
        <v>#VALUE!</v>
      </c>
    </row>
    <row r="5" spans="1:23" ht="15">
      <c r="A5" s="132">
        <v>1.2</v>
      </c>
      <c r="B5" s="132" t="s">
        <v>109</v>
      </c>
      <c r="C5" s="134" t="e">
        <f>SUM(D5:X5)</f>
        <v>#VALUE!</v>
      </c>
      <c r="D5" s="135" t="e">
        <f>('输出值1-总投资估算表'!F41+('输出值1-总投资估算表'!F44-'输出值1-总投资估算表'!F41)*输入值【1】!C49)*输入值【1】!C119</f>
        <v>#VALUE!</v>
      </c>
      <c r="E5" s="135" t="e">
        <f>('输出值1-总投资估算表'!F44-'输出值1-总投资估算表'!F41)*输入值【1】!C49*输入值【1】!C119</f>
        <v>#VALUE!</v>
      </c>
      <c r="F5" s="135">
        <v>0</v>
      </c>
      <c r="G5" s="135">
        <v>0</v>
      </c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</row>
    <row r="6" spans="1:23" ht="15">
      <c r="A6" s="132">
        <v>1.3</v>
      </c>
      <c r="B6" s="132" t="s">
        <v>110</v>
      </c>
      <c r="C6" s="133"/>
      <c r="D6" s="142" t="e">
        <f>(D4+D5/2)*$C$3</f>
        <v>#VALUE!</v>
      </c>
      <c r="E6" s="142" t="e">
        <f t="shared" ref="E6:W6" si="1">(E4+E5/2)*$C$3</f>
        <v>#VALUE!</v>
      </c>
      <c r="F6" s="142" t="e">
        <f t="shared" si="1"/>
        <v>#VALUE!</v>
      </c>
      <c r="G6" s="142" t="e">
        <f t="shared" si="1"/>
        <v>#VALUE!</v>
      </c>
      <c r="H6" s="142" t="e">
        <f t="shared" si="1"/>
        <v>#VALUE!</v>
      </c>
      <c r="I6" s="142" t="e">
        <f t="shared" si="1"/>
        <v>#VALUE!</v>
      </c>
      <c r="J6" s="142" t="e">
        <f t="shared" si="1"/>
        <v>#VALUE!</v>
      </c>
      <c r="K6" s="142" t="e">
        <f t="shared" si="1"/>
        <v>#VALUE!</v>
      </c>
      <c r="L6" s="142" t="e">
        <f t="shared" si="1"/>
        <v>#VALUE!</v>
      </c>
      <c r="M6" s="142" t="e">
        <f t="shared" si="1"/>
        <v>#VALUE!</v>
      </c>
      <c r="N6" s="142" t="e">
        <f t="shared" si="1"/>
        <v>#VALUE!</v>
      </c>
      <c r="O6" s="142" t="e">
        <f t="shared" si="1"/>
        <v>#VALUE!</v>
      </c>
      <c r="P6" s="142" t="e">
        <f t="shared" si="1"/>
        <v>#VALUE!</v>
      </c>
      <c r="Q6" s="142" t="e">
        <f t="shared" si="1"/>
        <v>#VALUE!</v>
      </c>
      <c r="R6" s="142" t="e">
        <f t="shared" si="1"/>
        <v>#VALUE!</v>
      </c>
      <c r="S6" s="142" t="e">
        <f t="shared" si="1"/>
        <v>#VALUE!</v>
      </c>
      <c r="T6" s="142" t="e">
        <f t="shared" si="1"/>
        <v>#VALUE!</v>
      </c>
      <c r="U6" s="142" t="e">
        <f t="shared" si="1"/>
        <v>#VALUE!</v>
      </c>
      <c r="V6" s="142" t="e">
        <f t="shared" si="1"/>
        <v>#VALUE!</v>
      </c>
      <c r="W6" s="142" t="e">
        <f t="shared" si="1"/>
        <v>#VALUE!</v>
      </c>
    </row>
    <row r="7" spans="1:23" ht="15">
      <c r="A7" s="136">
        <v>1.4</v>
      </c>
      <c r="B7" s="137" t="s">
        <v>111</v>
      </c>
      <c r="C7" s="138" t="e">
        <f>SUM(D7:X7)</f>
        <v>#VALUE!</v>
      </c>
      <c r="D7" s="143" t="e">
        <f>D8+D9</f>
        <v>#VALUE!</v>
      </c>
      <c r="E7" s="143" t="e">
        <f>E8+E9</f>
        <v>#VALUE!</v>
      </c>
      <c r="F7" s="143" t="e">
        <f>F8+F9</f>
        <v>#VALUE!</v>
      </c>
      <c r="G7" s="143" t="e">
        <f t="shared" ref="G7:R7" si="2">G8+G9</f>
        <v>#VALUE!</v>
      </c>
      <c r="H7" s="143" t="e">
        <f t="shared" si="2"/>
        <v>#VALUE!</v>
      </c>
      <c r="I7" s="143" t="e">
        <f>I8+I9</f>
        <v>#VALUE!</v>
      </c>
      <c r="J7" s="143" t="e">
        <f t="shared" si="2"/>
        <v>#VALUE!</v>
      </c>
      <c r="K7" s="143" t="e">
        <f t="shared" si="2"/>
        <v>#VALUE!</v>
      </c>
      <c r="L7" s="143" t="e">
        <f t="shared" si="2"/>
        <v>#VALUE!</v>
      </c>
      <c r="M7" s="143" t="e">
        <f t="shared" si="2"/>
        <v>#VALUE!</v>
      </c>
      <c r="N7" s="143" t="e">
        <f t="shared" si="2"/>
        <v>#VALUE!</v>
      </c>
      <c r="O7" s="143" t="e">
        <f t="shared" si="2"/>
        <v>#VALUE!</v>
      </c>
      <c r="P7" s="143" t="e">
        <f t="shared" si="2"/>
        <v>#VALUE!</v>
      </c>
      <c r="Q7" s="143">
        <f t="shared" si="2"/>
        <v>0</v>
      </c>
      <c r="R7" s="143">
        <f t="shared" si="2"/>
        <v>0</v>
      </c>
      <c r="S7" s="143"/>
      <c r="T7" s="143"/>
      <c r="U7" s="143"/>
      <c r="V7" s="143"/>
      <c r="W7" s="143"/>
    </row>
    <row r="8" spans="1:23" ht="15">
      <c r="A8" s="136" t="s">
        <v>112</v>
      </c>
      <c r="B8" s="136" t="s">
        <v>113</v>
      </c>
      <c r="C8" s="138" t="e">
        <f>SUM(D8:X8)</f>
        <v>#VALUE!</v>
      </c>
      <c r="D8" s="143" t="e">
        <f>D6</f>
        <v>#VALUE!</v>
      </c>
      <c r="E8" s="143" t="e">
        <f>E6</f>
        <v>#VALUE!</v>
      </c>
      <c r="F8" s="143" t="e">
        <f t="shared" ref="F8:P8" si="3">F6</f>
        <v>#VALUE!</v>
      </c>
      <c r="G8" s="143" t="e">
        <f t="shared" si="3"/>
        <v>#VALUE!</v>
      </c>
      <c r="H8" s="143" t="e">
        <f t="shared" si="3"/>
        <v>#VALUE!</v>
      </c>
      <c r="I8" s="143" t="e">
        <f t="shared" si="3"/>
        <v>#VALUE!</v>
      </c>
      <c r="J8" s="143" t="e">
        <f t="shared" si="3"/>
        <v>#VALUE!</v>
      </c>
      <c r="K8" s="143" t="e">
        <f t="shared" si="3"/>
        <v>#VALUE!</v>
      </c>
      <c r="L8" s="143" t="e">
        <f t="shared" si="3"/>
        <v>#VALUE!</v>
      </c>
      <c r="M8" s="143" t="e">
        <f t="shared" si="3"/>
        <v>#VALUE!</v>
      </c>
      <c r="N8" s="143" t="e">
        <f t="shared" si="3"/>
        <v>#VALUE!</v>
      </c>
      <c r="O8" s="143" t="e">
        <f t="shared" si="3"/>
        <v>#VALUE!</v>
      </c>
      <c r="P8" s="143" t="e">
        <f t="shared" si="3"/>
        <v>#VALUE!</v>
      </c>
      <c r="Q8" s="143"/>
      <c r="R8" s="143"/>
      <c r="S8" s="143"/>
      <c r="T8" s="143"/>
      <c r="U8" s="143"/>
      <c r="V8" s="143"/>
      <c r="W8" s="143"/>
    </row>
    <row r="9" spans="1:23" ht="15">
      <c r="A9" s="132" t="s">
        <v>114</v>
      </c>
      <c r="B9" s="132" t="s">
        <v>115</v>
      </c>
      <c r="C9" s="133" t="e">
        <f>SUM(D9:X9)</f>
        <v>#VALUE!</v>
      </c>
      <c r="D9" s="142">
        <v>0</v>
      </c>
      <c r="E9" s="142">
        <v>0</v>
      </c>
      <c r="F9" s="142" t="e">
        <f>$C$5/$C$13</f>
        <v>#VALUE!</v>
      </c>
      <c r="G9" s="142" t="e">
        <f t="shared" ref="G9:J9" si="4">$C$5/$C$13</f>
        <v>#VALUE!</v>
      </c>
      <c r="H9" s="142" t="e">
        <f t="shared" si="4"/>
        <v>#VALUE!</v>
      </c>
      <c r="I9" s="142" t="e">
        <f t="shared" si="4"/>
        <v>#VALUE!</v>
      </c>
      <c r="J9" s="142" t="e">
        <f t="shared" si="4"/>
        <v>#VALUE!</v>
      </c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</row>
    <row r="10" spans="1:23" ht="15">
      <c r="A10" s="132">
        <v>1.5</v>
      </c>
      <c r="B10" s="132" t="s">
        <v>116</v>
      </c>
      <c r="C10" s="133"/>
      <c r="D10" s="142" t="e">
        <f>D4+D5+D6-D7</f>
        <v>#VALUE!</v>
      </c>
      <c r="E10" s="142" t="e">
        <f t="shared" ref="E10:W10" si="5">E4+E5+E6-E7</f>
        <v>#VALUE!</v>
      </c>
      <c r="F10" s="142" t="e">
        <f t="shared" si="5"/>
        <v>#VALUE!</v>
      </c>
      <c r="G10" s="142" t="e">
        <f t="shared" si="5"/>
        <v>#VALUE!</v>
      </c>
      <c r="H10" s="142" t="e">
        <f t="shared" si="5"/>
        <v>#VALUE!</v>
      </c>
      <c r="I10" s="142" t="e">
        <f t="shared" si="5"/>
        <v>#VALUE!</v>
      </c>
      <c r="J10" s="142" t="e">
        <f t="shared" si="5"/>
        <v>#VALUE!</v>
      </c>
      <c r="K10" s="142" t="e">
        <f t="shared" si="5"/>
        <v>#VALUE!</v>
      </c>
      <c r="L10" s="142" t="e">
        <f t="shared" si="5"/>
        <v>#VALUE!</v>
      </c>
      <c r="M10" s="142" t="e">
        <f t="shared" si="5"/>
        <v>#VALUE!</v>
      </c>
      <c r="N10" s="142" t="e">
        <f t="shared" si="5"/>
        <v>#VALUE!</v>
      </c>
      <c r="O10" s="142" t="e">
        <f t="shared" si="5"/>
        <v>#VALUE!</v>
      </c>
      <c r="P10" s="142" t="e">
        <f t="shared" si="5"/>
        <v>#VALUE!</v>
      </c>
      <c r="Q10" s="142" t="e">
        <f t="shared" si="5"/>
        <v>#VALUE!</v>
      </c>
      <c r="R10" s="142" t="e">
        <f t="shared" si="5"/>
        <v>#VALUE!</v>
      </c>
      <c r="S10" s="142" t="e">
        <f t="shared" si="5"/>
        <v>#VALUE!</v>
      </c>
      <c r="T10" s="142" t="e">
        <f t="shared" si="5"/>
        <v>#VALUE!</v>
      </c>
      <c r="U10" s="142" t="e">
        <f t="shared" si="5"/>
        <v>#VALUE!</v>
      </c>
      <c r="V10" s="142" t="e">
        <f t="shared" si="5"/>
        <v>#VALUE!</v>
      </c>
      <c r="W10" s="142" t="e">
        <f t="shared" si="5"/>
        <v>#VALUE!</v>
      </c>
    </row>
    <row r="11" spans="1:23" ht="15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</row>
    <row r="12" spans="1:23" ht="15">
      <c r="A12" s="139"/>
      <c r="B12" s="129" t="s">
        <v>117</v>
      </c>
      <c r="C12" s="140" t="e">
        <f>1-输入值【1】!C119</f>
        <v>#VALUE!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</row>
    <row r="13" spans="1:23" ht="15">
      <c r="A13" s="139"/>
      <c r="B13" s="129" t="s">
        <v>145</v>
      </c>
      <c r="C13" s="129" t="str">
        <f>输入值【1】!C120</f>
        <v>必填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</row>
  </sheetData>
  <mergeCells count="1">
    <mergeCell ref="A1:W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CC6A-12AC-4E05-B692-D303A6F865AC}">
  <dimension ref="A1:U80"/>
  <sheetViews>
    <sheetView workbookViewId="0">
      <selection activeCell="B75" sqref="B75:U75"/>
    </sheetView>
  </sheetViews>
  <sheetFormatPr defaultRowHeight="12.5"/>
  <cols>
    <col min="1" max="1" width="28.08984375" bestFit="1" customWidth="1"/>
    <col min="4" max="5" width="10.453125" bestFit="1" customWidth="1"/>
    <col min="6" max="21" width="9.453125" bestFit="1" customWidth="1"/>
  </cols>
  <sheetData>
    <row r="1" spans="1:21" ht="13">
      <c r="A1" s="2" t="s">
        <v>447</v>
      </c>
    </row>
    <row r="2" spans="1:21" ht="13">
      <c r="A2" s="190" t="s">
        <v>409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</row>
    <row r="3" spans="1:21" s="49" customFormat="1" ht="13">
      <c r="A3" s="47" t="s">
        <v>286</v>
      </c>
      <c r="B3" s="186" t="s">
        <v>285</v>
      </c>
      <c r="C3" s="186" t="s">
        <v>285</v>
      </c>
      <c r="D3" s="186" t="s">
        <v>77</v>
      </c>
      <c r="E3" s="186" t="s">
        <v>77</v>
      </c>
      <c r="F3" s="186" t="s">
        <v>77</v>
      </c>
      <c r="G3" s="186" t="s">
        <v>77</v>
      </c>
      <c r="H3" s="186" t="s">
        <v>77</v>
      </c>
      <c r="I3" s="186" t="s">
        <v>77</v>
      </c>
      <c r="J3" s="186" t="s">
        <v>77</v>
      </c>
      <c r="K3" s="186" t="s">
        <v>77</v>
      </c>
      <c r="L3" s="186" t="s">
        <v>77</v>
      </c>
      <c r="M3" s="186" t="s">
        <v>77</v>
      </c>
      <c r="N3" s="186" t="s">
        <v>77</v>
      </c>
      <c r="O3" s="186" t="s">
        <v>77</v>
      </c>
      <c r="P3" s="186" t="s">
        <v>77</v>
      </c>
      <c r="Q3" s="186" t="s">
        <v>77</v>
      </c>
      <c r="R3" s="186" t="s">
        <v>77</v>
      </c>
      <c r="S3" s="186" t="s">
        <v>77</v>
      </c>
      <c r="T3" s="186" t="s">
        <v>77</v>
      </c>
      <c r="U3" s="186" t="s">
        <v>77</v>
      </c>
    </row>
    <row r="4" spans="1:21" s="49" customFormat="1" ht="13">
      <c r="A4" s="47" t="s">
        <v>280</v>
      </c>
      <c r="B4" s="47">
        <v>1</v>
      </c>
      <c r="C4" s="47">
        <v>2</v>
      </c>
      <c r="D4" s="47">
        <v>3</v>
      </c>
      <c r="E4" s="47">
        <v>4</v>
      </c>
      <c r="F4" s="47">
        <v>5</v>
      </c>
      <c r="G4" s="47">
        <v>6</v>
      </c>
      <c r="H4" s="47">
        <v>7</v>
      </c>
      <c r="I4" s="47">
        <v>8</v>
      </c>
      <c r="J4" s="47">
        <v>9</v>
      </c>
      <c r="K4" s="47">
        <v>10</v>
      </c>
      <c r="L4" s="47">
        <v>11</v>
      </c>
      <c r="M4" s="47">
        <v>12</v>
      </c>
      <c r="N4" s="47">
        <v>13</v>
      </c>
      <c r="O4" s="47">
        <v>14</v>
      </c>
      <c r="P4" s="47">
        <v>15</v>
      </c>
      <c r="Q4" s="47">
        <v>16</v>
      </c>
      <c r="R4" s="47">
        <v>17</v>
      </c>
      <c r="S4" s="47">
        <v>18</v>
      </c>
      <c r="T4" s="47">
        <v>19</v>
      </c>
      <c r="U4" s="47">
        <v>20</v>
      </c>
    </row>
    <row r="5" spans="1:21" ht="13">
      <c r="A5" s="46" t="s">
        <v>282</v>
      </c>
      <c r="B5" s="46"/>
      <c r="C5" s="46"/>
      <c r="D5" s="82" t="s">
        <v>439</v>
      </c>
      <c r="E5" s="82" t="e">
        <f>D5*(1+3%)</f>
        <v>#VALUE!</v>
      </c>
      <c r="F5" s="82" t="e">
        <f>E5*(1+3%)</f>
        <v>#VALUE!</v>
      </c>
      <c r="G5" s="82" t="e">
        <f t="shared" ref="G5:U5" si="0">F5*(1+3%)</f>
        <v>#VALUE!</v>
      </c>
      <c r="H5" s="82" t="e">
        <f t="shared" si="0"/>
        <v>#VALUE!</v>
      </c>
      <c r="I5" s="82" t="e">
        <f t="shared" si="0"/>
        <v>#VALUE!</v>
      </c>
      <c r="J5" s="82" t="e">
        <f t="shared" si="0"/>
        <v>#VALUE!</v>
      </c>
      <c r="K5" s="82" t="e">
        <f t="shared" si="0"/>
        <v>#VALUE!</v>
      </c>
      <c r="L5" s="82" t="e">
        <f t="shared" si="0"/>
        <v>#VALUE!</v>
      </c>
      <c r="M5" s="82" t="e">
        <f t="shared" si="0"/>
        <v>#VALUE!</v>
      </c>
      <c r="N5" s="82" t="e">
        <f t="shared" si="0"/>
        <v>#VALUE!</v>
      </c>
      <c r="O5" s="82" t="e">
        <f t="shared" si="0"/>
        <v>#VALUE!</v>
      </c>
      <c r="P5" s="82" t="e">
        <f t="shared" si="0"/>
        <v>#VALUE!</v>
      </c>
      <c r="Q5" s="82" t="e">
        <f t="shared" si="0"/>
        <v>#VALUE!</v>
      </c>
      <c r="R5" s="82" t="e">
        <f t="shared" si="0"/>
        <v>#VALUE!</v>
      </c>
      <c r="S5" s="82" t="e">
        <f t="shared" si="0"/>
        <v>#VALUE!</v>
      </c>
      <c r="T5" s="82" t="e">
        <f t="shared" si="0"/>
        <v>#VALUE!</v>
      </c>
      <c r="U5" s="82" t="e">
        <f t="shared" si="0"/>
        <v>#VALUE!</v>
      </c>
    </row>
    <row r="6" spans="1:21" ht="13">
      <c r="A6" s="46" t="s">
        <v>281</v>
      </c>
      <c r="B6" s="48"/>
      <c r="C6" s="48"/>
      <c r="D6" s="83" t="s">
        <v>439</v>
      </c>
      <c r="E6" s="83" t="s">
        <v>439</v>
      </c>
      <c r="F6" s="83" t="s">
        <v>439</v>
      </c>
      <c r="G6" s="83" t="s">
        <v>439</v>
      </c>
      <c r="H6" s="83" t="s">
        <v>439</v>
      </c>
      <c r="I6" s="83" t="s">
        <v>439</v>
      </c>
      <c r="J6" s="83" t="s">
        <v>439</v>
      </c>
      <c r="K6" s="83" t="s">
        <v>439</v>
      </c>
      <c r="L6" s="83" t="s">
        <v>439</v>
      </c>
      <c r="M6" s="83" t="s">
        <v>439</v>
      </c>
      <c r="N6" s="83" t="s">
        <v>439</v>
      </c>
      <c r="O6" s="83" t="s">
        <v>439</v>
      </c>
      <c r="P6" s="83" t="s">
        <v>439</v>
      </c>
      <c r="Q6" s="83" t="s">
        <v>439</v>
      </c>
      <c r="R6" s="83" t="s">
        <v>439</v>
      </c>
      <c r="S6" s="83" t="s">
        <v>439</v>
      </c>
      <c r="T6" s="83" t="s">
        <v>439</v>
      </c>
      <c r="U6" s="83" t="s">
        <v>439</v>
      </c>
    </row>
    <row r="7" spans="1:21" ht="13">
      <c r="A7" s="46" t="s">
        <v>283</v>
      </c>
      <c r="B7" s="48"/>
      <c r="C7" s="48"/>
      <c r="D7" s="82" t="e">
        <f>输入值【1】!$C$16*输入值【1】!$C$58*输入值【2】!D6</f>
        <v>#VALUE!</v>
      </c>
      <c r="E7" s="82" t="e">
        <f>输入值【1】!$C$16*输入值【1】!$C$58*输入值【2】!E6</f>
        <v>#VALUE!</v>
      </c>
      <c r="F7" s="82" t="e">
        <f>输入值【1】!$C$16*输入值【1】!$C$58*输入值【2】!F6</f>
        <v>#VALUE!</v>
      </c>
      <c r="G7" s="82" t="e">
        <f>输入值【1】!$C$16*输入值【1】!$C$58*输入值【2】!G6</f>
        <v>#VALUE!</v>
      </c>
      <c r="H7" s="82" t="e">
        <f>输入值【1】!$C$16*输入值【1】!$C$58*输入值【2】!H6</f>
        <v>#VALUE!</v>
      </c>
      <c r="I7" s="82" t="e">
        <f>输入值【1】!$C$16*输入值【1】!$C$58*输入值【2】!I6</f>
        <v>#VALUE!</v>
      </c>
      <c r="J7" s="82" t="e">
        <f>输入值【1】!$C$16*输入值【1】!$C$58*输入值【2】!J6</f>
        <v>#VALUE!</v>
      </c>
      <c r="K7" s="82" t="e">
        <f>输入值【1】!$C$16*输入值【1】!$C$58*输入值【2】!K6</f>
        <v>#VALUE!</v>
      </c>
      <c r="L7" s="82" t="e">
        <f>输入值【1】!$C$16*输入值【1】!$C$58*输入值【2】!L6</f>
        <v>#VALUE!</v>
      </c>
      <c r="M7" s="82" t="e">
        <f>输入值【1】!$C$16*输入值【1】!$C$58*输入值【2】!M6</f>
        <v>#VALUE!</v>
      </c>
      <c r="N7" s="82" t="e">
        <f>输入值【1】!$C$16*输入值【1】!$C$58*输入值【2】!N6</f>
        <v>#VALUE!</v>
      </c>
      <c r="O7" s="82" t="e">
        <f>输入值【1】!$C$16*输入值【1】!$C$58*输入值【2】!O6</f>
        <v>#VALUE!</v>
      </c>
      <c r="P7" s="82" t="e">
        <f>输入值【1】!$C$16*输入值【1】!$C$58*输入值【2】!P6</f>
        <v>#VALUE!</v>
      </c>
      <c r="Q7" s="82" t="e">
        <f>输入值【1】!$C$16*输入值【1】!$C$58*输入值【2】!Q6</f>
        <v>#VALUE!</v>
      </c>
      <c r="R7" s="82" t="e">
        <f>输入值【1】!$C$16*输入值【1】!$C$58*输入值【2】!R6</f>
        <v>#VALUE!</v>
      </c>
      <c r="S7" s="82" t="e">
        <f>输入值【1】!$C$16*输入值【1】!$C$58*输入值【2】!S6</f>
        <v>#VALUE!</v>
      </c>
      <c r="T7" s="82" t="e">
        <f>输入值【1】!$C$16*输入值【1】!$C$58*输入值【2】!T6</f>
        <v>#VALUE!</v>
      </c>
      <c r="U7" s="82" t="e">
        <f>输入值【1】!$C$16*输入值【1】!$C$58*输入值【2】!U6</f>
        <v>#VALUE!</v>
      </c>
    </row>
    <row r="8" spans="1:21" ht="13">
      <c r="A8" s="2" t="s">
        <v>446</v>
      </c>
    </row>
    <row r="9" spans="1:21" ht="13">
      <c r="A9" s="2" t="s">
        <v>447</v>
      </c>
    </row>
    <row r="10" spans="1:21" ht="13">
      <c r="A10" s="190" t="s">
        <v>410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</row>
    <row r="11" spans="1:21" ht="13">
      <c r="A11" s="47" t="s">
        <v>286</v>
      </c>
      <c r="B11" s="186" t="s">
        <v>285</v>
      </c>
      <c r="C11" s="186" t="s">
        <v>285</v>
      </c>
      <c r="D11" s="186" t="s">
        <v>77</v>
      </c>
      <c r="E11" s="186" t="s">
        <v>77</v>
      </c>
      <c r="F11" s="186" t="s">
        <v>77</v>
      </c>
      <c r="G11" s="186" t="s">
        <v>77</v>
      </c>
      <c r="H11" s="186" t="s">
        <v>77</v>
      </c>
      <c r="I11" s="186" t="s">
        <v>77</v>
      </c>
      <c r="J11" s="186" t="s">
        <v>77</v>
      </c>
      <c r="K11" s="186" t="s">
        <v>77</v>
      </c>
      <c r="L11" s="186" t="s">
        <v>77</v>
      </c>
      <c r="M11" s="186" t="s">
        <v>77</v>
      </c>
      <c r="N11" s="186" t="s">
        <v>77</v>
      </c>
      <c r="O11" s="186" t="s">
        <v>77</v>
      </c>
      <c r="P11" s="186" t="s">
        <v>77</v>
      </c>
      <c r="Q11" s="186" t="s">
        <v>77</v>
      </c>
      <c r="R11" s="186" t="s">
        <v>77</v>
      </c>
      <c r="S11" s="186" t="s">
        <v>77</v>
      </c>
      <c r="T11" s="186" t="s">
        <v>77</v>
      </c>
      <c r="U11" s="186" t="s">
        <v>77</v>
      </c>
    </row>
    <row r="12" spans="1:21" ht="13">
      <c r="A12" s="47" t="s">
        <v>280</v>
      </c>
      <c r="B12" s="47">
        <v>1</v>
      </c>
      <c r="C12" s="47">
        <v>2</v>
      </c>
      <c r="D12" s="47">
        <v>3</v>
      </c>
      <c r="E12" s="47">
        <v>4</v>
      </c>
      <c r="F12" s="47">
        <v>5</v>
      </c>
      <c r="G12" s="47">
        <v>6</v>
      </c>
      <c r="H12" s="47">
        <v>7</v>
      </c>
      <c r="I12" s="47">
        <v>8</v>
      </c>
      <c r="J12" s="47">
        <v>9</v>
      </c>
      <c r="K12" s="47">
        <v>10</v>
      </c>
      <c r="L12" s="47">
        <v>11</v>
      </c>
      <c r="M12" s="47">
        <v>12</v>
      </c>
      <c r="N12" s="47">
        <v>13</v>
      </c>
      <c r="O12" s="47">
        <v>14</v>
      </c>
      <c r="P12" s="47">
        <v>15</v>
      </c>
      <c r="Q12" s="47">
        <v>16</v>
      </c>
      <c r="R12" s="47">
        <v>17</v>
      </c>
      <c r="S12" s="47">
        <v>18</v>
      </c>
      <c r="T12" s="47">
        <v>19</v>
      </c>
      <c r="U12" s="47">
        <v>20</v>
      </c>
    </row>
    <row r="13" spans="1:21" ht="13">
      <c r="A13" s="46" t="s">
        <v>289</v>
      </c>
      <c r="B13" s="46"/>
      <c r="C13" s="46"/>
      <c r="D13" s="82" t="s">
        <v>439</v>
      </c>
      <c r="E13" s="82" t="e">
        <f>D13*(1+3%)</f>
        <v>#VALUE!</v>
      </c>
      <c r="F13" s="82" t="e">
        <f>E13*(1+3%)</f>
        <v>#VALUE!</v>
      </c>
      <c r="G13" s="82" t="e">
        <f t="shared" ref="G13:U13" si="1">F13*(1+3%)</f>
        <v>#VALUE!</v>
      </c>
      <c r="H13" s="82" t="e">
        <f t="shared" si="1"/>
        <v>#VALUE!</v>
      </c>
      <c r="I13" s="82" t="e">
        <f t="shared" si="1"/>
        <v>#VALUE!</v>
      </c>
      <c r="J13" s="82" t="e">
        <f t="shared" si="1"/>
        <v>#VALUE!</v>
      </c>
      <c r="K13" s="82" t="e">
        <f t="shared" si="1"/>
        <v>#VALUE!</v>
      </c>
      <c r="L13" s="82" t="e">
        <f t="shared" si="1"/>
        <v>#VALUE!</v>
      </c>
      <c r="M13" s="82" t="e">
        <f t="shared" si="1"/>
        <v>#VALUE!</v>
      </c>
      <c r="N13" s="82" t="e">
        <f t="shared" si="1"/>
        <v>#VALUE!</v>
      </c>
      <c r="O13" s="82" t="e">
        <f t="shared" si="1"/>
        <v>#VALUE!</v>
      </c>
      <c r="P13" s="82" t="e">
        <f t="shared" si="1"/>
        <v>#VALUE!</v>
      </c>
      <c r="Q13" s="82" t="e">
        <f t="shared" si="1"/>
        <v>#VALUE!</v>
      </c>
      <c r="R13" s="82" t="e">
        <f t="shared" si="1"/>
        <v>#VALUE!</v>
      </c>
      <c r="S13" s="82" t="e">
        <f t="shared" si="1"/>
        <v>#VALUE!</v>
      </c>
      <c r="T13" s="82" t="e">
        <f t="shared" si="1"/>
        <v>#VALUE!</v>
      </c>
      <c r="U13" s="82" t="e">
        <f t="shared" si="1"/>
        <v>#VALUE!</v>
      </c>
    </row>
    <row r="14" spans="1:21" ht="13">
      <c r="A14" s="46" t="s">
        <v>287</v>
      </c>
      <c r="B14" s="48"/>
      <c r="C14" s="48"/>
      <c r="D14" s="83" t="s">
        <v>439</v>
      </c>
      <c r="E14" s="83" t="s">
        <v>439</v>
      </c>
      <c r="F14" s="83" t="s">
        <v>439</v>
      </c>
      <c r="G14" s="83" t="s">
        <v>439</v>
      </c>
      <c r="H14" s="83" t="s">
        <v>439</v>
      </c>
      <c r="I14" s="83" t="s">
        <v>439</v>
      </c>
      <c r="J14" s="83" t="s">
        <v>439</v>
      </c>
      <c r="K14" s="83" t="s">
        <v>439</v>
      </c>
      <c r="L14" s="83" t="s">
        <v>439</v>
      </c>
      <c r="M14" s="83" t="s">
        <v>439</v>
      </c>
      <c r="N14" s="83" t="s">
        <v>439</v>
      </c>
      <c r="O14" s="83" t="s">
        <v>439</v>
      </c>
      <c r="P14" s="83" t="s">
        <v>439</v>
      </c>
      <c r="Q14" s="83" t="s">
        <v>439</v>
      </c>
      <c r="R14" s="83" t="s">
        <v>439</v>
      </c>
      <c r="S14" s="83" t="s">
        <v>439</v>
      </c>
      <c r="T14" s="83" t="s">
        <v>439</v>
      </c>
      <c r="U14" s="83" t="s">
        <v>439</v>
      </c>
    </row>
    <row r="15" spans="1:21" ht="13">
      <c r="A15" s="46" t="s">
        <v>288</v>
      </c>
      <c r="B15" s="48"/>
      <c r="C15" s="48"/>
      <c r="D15" s="82" t="e">
        <f>输入值【1】!$C$16*输入值【1】!$C$59*输入值【2】!D14</f>
        <v>#VALUE!</v>
      </c>
      <c r="E15" s="82" t="e">
        <f>输入值【1】!$C$16*输入值【1】!$C$59*输入值【2】!E14</f>
        <v>#VALUE!</v>
      </c>
      <c r="F15" s="82" t="e">
        <f>输入值【1】!$C$16*输入值【1】!$C$59*输入值【2】!F14</f>
        <v>#VALUE!</v>
      </c>
      <c r="G15" s="82" t="e">
        <f>输入值【1】!$C$16*输入值【1】!$C$59*输入值【2】!G14</f>
        <v>#VALUE!</v>
      </c>
      <c r="H15" s="82" t="e">
        <f>输入值【1】!$C$16*输入值【1】!$C$59*输入值【2】!H14</f>
        <v>#VALUE!</v>
      </c>
      <c r="I15" s="82" t="e">
        <f>输入值【1】!$C$16*输入值【1】!$C$59*输入值【2】!I14</f>
        <v>#VALUE!</v>
      </c>
      <c r="J15" s="82" t="e">
        <f>输入值【1】!$C$16*输入值【1】!$C$59*输入值【2】!J14</f>
        <v>#VALUE!</v>
      </c>
      <c r="K15" s="82" t="e">
        <f>输入值【1】!$C$16*输入值【1】!$C$59*输入值【2】!K14</f>
        <v>#VALUE!</v>
      </c>
      <c r="L15" s="82" t="e">
        <f>输入值【1】!$C$16*输入值【1】!$C$59*输入值【2】!L14</f>
        <v>#VALUE!</v>
      </c>
      <c r="M15" s="82" t="e">
        <f>输入值【1】!$C$16*输入值【1】!$C$59*输入值【2】!M14</f>
        <v>#VALUE!</v>
      </c>
      <c r="N15" s="82" t="e">
        <f>输入值【1】!$C$16*输入值【1】!$C$59*输入值【2】!N14</f>
        <v>#VALUE!</v>
      </c>
      <c r="O15" s="82" t="e">
        <f>输入值【1】!$C$16*输入值【1】!$C$59*输入值【2】!O14</f>
        <v>#VALUE!</v>
      </c>
      <c r="P15" s="82" t="e">
        <f>输入值【1】!$C$16*输入值【1】!$C$59*输入值【2】!P14</f>
        <v>#VALUE!</v>
      </c>
      <c r="Q15" s="82" t="e">
        <f>输入值【1】!$C$16*输入值【1】!$C$59*输入值【2】!Q14</f>
        <v>#VALUE!</v>
      </c>
      <c r="R15" s="82" t="e">
        <f>输入值【1】!$C$16*输入值【1】!$C$59*输入值【2】!R14</f>
        <v>#VALUE!</v>
      </c>
      <c r="S15" s="82" t="e">
        <f>输入值【1】!$C$16*输入值【1】!$C$59*输入值【2】!S14</f>
        <v>#VALUE!</v>
      </c>
      <c r="T15" s="82" t="e">
        <f>输入值【1】!$C$16*输入值【1】!$C$59*输入值【2】!T14</f>
        <v>#VALUE!</v>
      </c>
      <c r="U15" s="82" t="e">
        <f>输入值【1】!$C$16*输入值【1】!$C$59*输入值【2】!U14</f>
        <v>#VALUE!</v>
      </c>
    </row>
    <row r="16" spans="1:21" ht="13">
      <c r="A16" s="2" t="s">
        <v>446</v>
      </c>
    </row>
    <row r="17" spans="1:21" ht="13">
      <c r="A17" s="2" t="s">
        <v>447</v>
      </c>
    </row>
    <row r="18" spans="1:21" ht="13">
      <c r="A18" s="190" t="s">
        <v>411</v>
      </c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</row>
    <row r="19" spans="1:21" ht="13">
      <c r="A19" s="47" t="s">
        <v>286</v>
      </c>
      <c r="B19" s="186" t="s">
        <v>285</v>
      </c>
      <c r="C19" s="186" t="s">
        <v>285</v>
      </c>
      <c r="D19" s="186" t="s">
        <v>77</v>
      </c>
      <c r="E19" s="186" t="s">
        <v>77</v>
      </c>
      <c r="F19" s="186" t="s">
        <v>77</v>
      </c>
      <c r="G19" s="186" t="s">
        <v>77</v>
      </c>
      <c r="H19" s="186" t="s">
        <v>77</v>
      </c>
      <c r="I19" s="186" t="s">
        <v>77</v>
      </c>
      <c r="J19" s="186" t="s">
        <v>77</v>
      </c>
      <c r="K19" s="186" t="s">
        <v>77</v>
      </c>
      <c r="L19" s="186" t="s">
        <v>77</v>
      </c>
      <c r="M19" s="186" t="s">
        <v>77</v>
      </c>
      <c r="N19" s="186" t="s">
        <v>77</v>
      </c>
      <c r="O19" s="186" t="s">
        <v>77</v>
      </c>
      <c r="P19" s="186" t="s">
        <v>77</v>
      </c>
      <c r="Q19" s="186" t="s">
        <v>77</v>
      </c>
      <c r="R19" s="186" t="s">
        <v>77</v>
      </c>
      <c r="S19" s="186" t="s">
        <v>77</v>
      </c>
      <c r="T19" s="186" t="s">
        <v>77</v>
      </c>
      <c r="U19" s="186" t="s">
        <v>77</v>
      </c>
    </row>
    <row r="20" spans="1:21" ht="13">
      <c r="A20" s="47" t="s">
        <v>280</v>
      </c>
      <c r="B20" s="47">
        <v>1</v>
      </c>
      <c r="C20" s="47">
        <v>2</v>
      </c>
      <c r="D20" s="47">
        <v>3</v>
      </c>
      <c r="E20" s="47">
        <v>4</v>
      </c>
      <c r="F20" s="47">
        <v>5</v>
      </c>
      <c r="G20" s="47">
        <v>6</v>
      </c>
      <c r="H20" s="47">
        <v>7</v>
      </c>
      <c r="I20" s="47">
        <v>8</v>
      </c>
      <c r="J20" s="47">
        <v>9</v>
      </c>
      <c r="K20" s="47">
        <v>10</v>
      </c>
      <c r="L20" s="47">
        <v>11</v>
      </c>
      <c r="M20" s="47">
        <v>12</v>
      </c>
      <c r="N20" s="47">
        <v>13</v>
      </c>
      <c r="O20" s="47">
        <v>14</v>
      </c>
      <c r="P20" s="47">
        <v>15</v>
      </c>
      <c r="Q20" s="47">
        <v>16</v>
      </c>
      <c r="R20" s="47">
        <v>17</v>
      </c>
      <c r="S20" s="47">
        <v>18</v>
      </c>
      <c r="T20" s="47">
        <v>19</v>
      </c>
      <c r="U20" s="47">
        <v>20</v>
      </c>
    </row>
    <row r="21" spans="1:21" ht="13">
      <c r="A21" s="46" t="s">
        <v>282</v>
      </c>
      <c r="B21" s="46"/>
      <c r="C21" s="46"/>
      <c r="D21" s="82" t="s">
        <v>439</v>
      </c>
      <c r="E21" s="82" t="e">
        <f>D21*(1+3%)</f>
        <v>#VALUE!</v>
      </c>
      <c r="F21" s="82" t="e">
        <f>E21*(1+3%)</f>
        <v>#VALUE!</v>
      </c>
      <c r="G21" s="82" t="e">
        <f t="shared" ref="G21:U21" si="2">F21*(1+3%)</f>
        <v>#VALUE!</v>
      </c>
      <c r="H21" s="82" t="e">
        <f t="shared" si="2"/>
        <v>#VALUE!</v>
      </c>
      <c r="I21" s="82" t="e">
        <f t="shared" si="2"/>
        <v>#VALUE!</v>
      </c>
      <c r="J21" s="82" t="e">
        <f t="shared" si="2"/>
        <v>#VALUE!</v>
      </c>
      <c r="K21" s="82" t="e">
        <f t="shared" si="2"/>
        <v>#VALUE!</v>
      </c>
      <c r="L21" s="82" t="e">
        <f t="shared" si="2"/>
        <v>#VALUE!</v>
      </c>
      <c r="M21" s="82" t="e">
        <f t="shared" si="2"/>
        <v>#VALUE!</v>
      </c>
      <c r="N21" s="82" t="e">
        <f t="shared" si="2"/>
        <v>#VALUE!</v>
      </c>
      <c r="O21" s="82" t="e">
        <f t="shared" si="2"/>
        <v>#VALUE!</v>
      </c>
      <c r="P21" s="82" t="e">
        <f t="shared" si="2"/>
        <v>#VALUE!</v>
      </c>
      <c r="Q21" s="82" t="e">
        <f t="shared" si="2"/>
        <v>#VALUE!</v>
      </c>
      <c r="R21" s="82" t="e">
        <f t="shared" si="2"/>
        <v>#VALUE!</v>
      </c>
      <c r="S21" s="82" t="e">
        <f t="shared" si="2"/>
        <v>#VALUE!</v>
      </c>
      <c r="T21" s="82" t="e">
        <f t="shared" si="2"/>
        <v>#VALUE!</v>
      </c>
      <c r="U21" s="82" t="e">
        <f t="shared" si="2"/>
        <v>#VALUE!</v>
      </c>
    </row>
    <row r="22" spans="1:21" ht="13">
      <c r="A22" s="46" t="s">
        <v>281</v>
      </c>
      <c r="B22" s="48"/>
      <c r="C22" s="48"/>
      <c r="D22" s="83" t="s">
        <v>439</v>
      </c>
      <c r="E22" s="83" t="s">
        <v>439</v>
      </c>
      <c r="F22" s="83" t="s">
        <v>439</v>
      </c>
      <c r="G22" s="83" t="s">
        <v>439</v>
      </c>
      <c r="H22" s="83" t="s">
        <v>439</v>
      </c>
      <c r="I22" s="83" t="s">
        <v>439</v>
      </c>
      <c r="J22" s="83" t="s">
        <v>439</v>
      </c>
      <c r="K22" s="83" t="s">
        <v>439</v>
      </c>
      <c r="L22" s="83" t="s">
        <v>439</v>
      </c>
      <c r="M22" s="83" t="s">
        <v>439</v>
      </c>
      <c r="N22" s="83" t="s">
        <v>439</v>
      </c>
      <c r="O22" s="83" t="s">
        <v>439</v>
      </c>
      <c r="P22" s="83" t="s">
        <v>439</v>
      </c>
      <c r="Q22" s="83" t="s">
        <v>439</v>
      </c>
      <c r="R22" s="83" t="s">
        <v>439</v>
      </c>
      <c r="S22" s="83" t="s">
        <v>439</v>
      </c>
      <c r="T22" s="83" t="s">
        <v>439</v>
      </c>
      <c r="U22" s="83" t="s">
        <v>439</v>
      </c>
    </row>
    <row r="23" spans="1:21" ht="13">
      <c r="A23" s="46" t="s">
        <v>283</v>
      </c>
      <c r="B23" s="48"/>
      <c r="C23" s="48"/>
      <c r="D23" s="82" t="e">
        <f>输入值【1】!$C$24*输入值【1】!$C$65*输入值【2】!D22</f>
        <v>#VALUE!</v>
      </c>
      <c r="E23" s="82" t="e">
        <f>输入值【1】!$C$24*输入值【1】!$C$65*输入值【2】!E22</f>
        <v>#VALUE!</v>
      </c>
      <c r="F23" s="82" t="e">
        <f>输入值【1】!$C$24*输入值【1】!$C$65*输入值【2】!F22</f>
        <v>#VALUE!</v>
      </c>
      <c r="G23" s="82" t="e">
        <f>输入值【1】!$C$24*输入值【1】!$C$65*输入值【2】!G22</f>
        <v>#VALUE!</v>
      </c>
      <c r="H23" s="82" t="e">
        <f>输入值【1】!$C$24*输入值【1】!$C$65*输入值【2】!H22</f>
        <v>#VALUE!</v>
      </c>
      <c r="I23" s="82" t="e">
        <f>输入值【1】!$C$24*输入值【1】!$C$65*输入值【2】!I22</f>
        <v>#VALUE!</v>
      </c>
      <c r="J23" s="82" t="e">
        <f>输入值【1】!$C$24*输入值【1】!$C$65*输入值【2】!J22</f>
        <v>#VALUE!</v>
      </c>
      <c r="K23" s="82" t="e">
        <f>输入值【1】!$C$24*输入值【1】!$C$65*输入值【2】!K22</f>
        <v>#VALUE!</v>
      </c>
      <c r="L23" s="82" t="e">
        <f>输入值【1】!$C$24*输入值【1】!$C$65*输入值【2】!L22</f>
        <v>#VALUE!</v>
      </c>
      <c r="M23" s="82" t="e">
        <f>输入值【1】!$C$24*输入值【1】!$C$65*输入值【2】!M22</f>
        <v>#VALUE!</v>
      </c>
      <c r="N23" s="82" t="e">
        <f>输入值【1】!$C$24*输入值【1】!$C$65*输入值【2】!N22</f>
        <v>#VALUE!</v>
      </c>
      <c r="O23" s="82" t="e">
        <f>输入值【1】!$C$24*输入值【1】!$C$65*输入值【2】!O22</f>
        <v>#VALUE!</v>
      </c>
      <c r="P23" s="82" t="e">
        <f>输入值【1】!$C$24*输入值【1】!$C$65*输入值【2】!P22</f>
        <v>#VALUE!</v>
      </c>
      <c r="Q23" s="82" t="e">
        <f>输入值【1】!$C$24*输入值【1】!$C$65*输入值【2】!Q22</f>
        <v>#VALUE!</v>
      </c>
      <c r="R23" s="82" t="e">
        <f>输入值【1】!$C$24*输入值【1】!$C$65*输入值【2】!R22</f>
        <v>#VALUE!</v>
      </c>
      <c r="S23" s="82" t="e">
        <f>输入值【1】!$C$24*输入值【1】!$C$65*输入值【2】!S22</f>
        <v>#VALUE!</v>
      </c>
      <c r="T23" s="82" t="e">
        <f>输入值【1】!$C$24*输入值【1】!$C$65*输入值【2】!T22</f>
        <v>#VALUE!</v>
      </c>
      <c r="U23" s="82" t="e">
        <f>输入值【1】!$C$24*输入值【1】!$C$65*输入值【2】!U22</f>
        <v>#VALUE!</v>
      </c>
    </row>
    <row r="24" spans="1:21" ht="13">
      <c r="A24" s="2" t="s">
        <v>446</v>
      </c>
    </row>
    <row r="25" spans="1:21" ht="13">
      <c r="A25" s="2" t="s">
        <v>447</v>
      </c>
    </row>
    <row r="26" spans="1:21" ht="13">
      <c r="A26" s="190" t="s">
        <v>412</v>
      </c>
      <c r="B26" s="190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</row>
    <row r="27" spans="1:21" ht="13">
      <c r="A27" s="47" t="s">
        <v>286</v>
      </c>
      <c r="B27" s="186" t="s">
        <v>285</v>
      </c>
      <c r="C27" s="186" t="s">
        <v>285</v>
      </c>
      <c r="D27" s="186" t="s">
        <v>77</v>
      </c>
      <c r="E27" s="186" t="s">
        <v>77</v>
      </c>
      <c r="F27" s="186" t="s">
        <v>77</v>
      </c>
      <c r="G27" s="186" t="s">
        <v>77</v>
      </c>
      <c r="H27" s="186" t="s">
        <v>77</v>
      </c>
      <c r="I27" s="186" t="s">
        <v>77</v>
      </c>
      <c r="J27" s="186" t="s">
        <v>77</v>
      </c>
      <c r="K27" s="186" t="s">
        <v>77</v>
      </c>
      <c r="L27" s="186" t="s">
        <v>77</v>
      </c>
      <c r="M27" s="186" t="s">
        <v>77</v>
      </c>
      <c r="N27" s="186" t="s">
        <v>77</v>
      </c>
      <c r="O27" s="186" t="s">
        <v>77</v>
      </c>
      <c r="P27" s="186" t="s">
        <v>77</v>
      </c>
      <c r="Q27" s="186" t="s">
        <v>77</v>
      </c>
      <c r="R27" s="186" t="s">
        <v>77</v>
      </c>
      <c r="S27" s="186" t="s">
        <v>77</v>
      </c>
      <c r="T27" s="186" t="s">
        <v>77</v>
      </c>
      <c r="U27" s="186" t="s">
        <v>77</v>
      </c>
    </row>
    <row r="28" spans="1:21" ht="13">
      <c r="A28" s="47" t="s">
        <v>280</v>
      </c>
      <c r="B28" s="47">
        <v>1</v>
      </c>
      <c r="C28" s="47">
        <v>2</v>
      </c>
      <c r="D28" s="47">
        <v>3</v>
      </c>
      <c r="E28" s="47">
        <v>4</v>
      </c>
      <c r="F28" s="47">
        <v>5</v>
      </c>
      <c r="G28" s="47">
        <v>6</v>
      </c>
      <c r="H28" s="47">
        <v>7</v>
      </c>
      <c r="I28" s="47">
        <v>8</v>
      </c>
      <c r="J28" s="47">
        <v>9</v>
      </c>
      <c r="K28" s="47">
        <v>10</v>
      </c>
      <c r="L28" s="47">
        <v>11</v>
      </c>
      <c r="M28" s="47">
        <v>12</v>
      </c>
      <c r="N28" s="47">
        <v>13</v>
      </c>
      <c r="O28" s="47">
        <v>14</v>
      </c>
      <c r="P28" s="47">
        <v>15</v>
      </c>
      <c r="Q28" s="47">
        <v>16</v>
      </c>
      <c r="R28" s="47">
        <v>17</v>
      </c>
      <c r="S28" s="47">
        <v>18</v>
      </c>
      <c r="T28" s="47">
        <v>19</v>
      </c>
      <c r="U28" s="47">
        <v>20</v>
      </c>
    </row>
    <row r="29" spans="1:21" ht="13">
      <c r="A29" s="46" t="s">
        <v>289</v>
      </c>
      <c r="B29" s="46"/>
      <c r="C29" s="46"/>
      <c r="D29" s="82" t="s">
        <v>439</v>
      </c>
      <c r="E29" s="82" t="e">
        <f>D29*(1+3%)</f>
        <v>#VALUE!</v>
      </c>
      <c r="F29" s="82" t="e">
        <f>E29*(1+3%)</f>
        <v>#VALUE!</v>
      </c>
      <c r="G29" s="82" t="e">
        <f t="shared" ref="G29:U29" si="3">F29*(1+3%)</f>
        <v>#VALUE!</v>
      </c>
      <c r="H29" s="82" t="e">
        <f t="shared" si="3"/>
        <v>#VALUE!</v>
      </c>
      <c r="I29" s="82" t="e">
        <f t="shared" si="3"/>
        <v>#VALUE!</v>
      </c>
      <c r="J29" s="82" t="e">
        <f t="shared" si="3"/>
        <v>#VALUE!</v>
      </c>
      <c r="K29" s="82" t="e">
        <f t="shared" si="3"/>
        <v>#VALUE!</v>
      </c>
      <c r="L29" s="82" t="e">
        <f t="shared" si="3"/>
        <v>#VALUE!</v>
      </c>
      <c r="M29" s="82" t="e">
        <f t="shared" si="3"/>
        <v>#VALUE!</v>
      </c>
      <c r="N29" s="82" t="e">
        <f t="shared" si="3"/>
        <v>#VALUE!</v>
      </c>
      <c r="O29" s="82" t="e">
        <f t="shared" si="3"/>
        <v>#VALUE!</v>
      </c>
      <c r="P29" s="82" t="e">
        <f t="shared" si="3"/>
        <v>#VALUE!</v>
      </c>
      <c r="Q29" s="82" t="e">
        <f t="shared" si="3"/>
        <v>#VALUE!</v>
      </c>
      <c r="R29" s="82" t="e">
        <f t="shared" si="3"/>
        <v>#VALUE!</v>
      </c>
      <c r="S29" s="82" t="e">
        <f t="shared" si="3"/>
        <v>#VALUE!</v>
      </c>
      <c r="T29" s="82" t="e">
        <f t="shared" si="3"/>
        <v>#VALUE!</v>
      </c>
      <c r="U29" s="82" t="e">
        <f t="shared" si="3"/>
        <v>#VALUE!</v>
      </c>
    </row>
    <row r="30" spans="1:21" ht="13">
      <c r="A30" s="46" t="s">
        <v>287</v>
      </c>
      <c r="B30" s="48"/>
      <c r="C30" s="48"/>
      <c r="D30" s="83" t="s">
        <v>439</v>
      </c>
      <c r="E30" s="83" t="s">
        <v>439</v>
      </c>
      <c r="F30" s="83" t="s">
        <v>439</v>
      </c>
      <c r="G30" s="83" t="s">
        <v>439</v>
      </c>
      <c r="H30" s="83" t="s">
        <v>439</v>
      </c>
      <c r="I30" s="83" t="s">
        <v>439</v>
      </c>
      <c r="J30" s="83" t="s">
        <v>439</v>
      </c>
      <c r="K30" s="83" t="s">
        <v>439</v>
      </c>
      <c r="L30" s="83" t="s">
        <v>439</v>
      </c>
      <c r="M30" s="83" t="s">
        <v>439</v>
      </c>
      <c r="N30" s="83" t="s">
        <v>439</v>
      </c>
      <c r="O30" s="83" t="s">
        <v>439</v>
      </c>
      <c r="P30" s="83" t="s">
        <v>439</v>
      </c>
      <c r="Q30" s="83" t="s">
        <v>439</v>
      </c>
      <c r="R30" s="83" t="s">
        <v>439</v>
      </c>
      <c r="S30" s="83" t="s">
        <v>439</v>
      </c>
      <c r="T30" s="83" t="s">
        <v>439</v>
      </c>
      <c r="U30" s="83" t="s">
        <v>439</v>
      </c>
    </row>
    <row r="31" spans="1:21" ht="13">
      <c r="A31" s="46" t="s">
        <v>288</v>
      </c>
      <c r="B31" s="48"/>
      <c r="C31" s="48"/>
      <c r="D31" s="82" t="e">
        <f>输入值【1】!$C$24*输入值【1】!$C$66*输入值【2】!D30</f>
        <v>#VALUE!</v>
      </c>
      <c r="E31" s="82" t="e">
        <f>输入值【1】!$C$24*输入值【1】!$C$66*输入值【2】!E30</f>
        <v>#VALUE!</v>
      </c>
      <c r="F31" s="82" t="e">
        <f>输入值【1】!$C$24*输入值【1】!$C$66*输入值【2】!F30</f>
        <v>#VALUE!</v>
      </c>
      <c r="G31" s="82" t="e">
        <f>输入值【1】!$C$24*输入值【1】!$C$66*输入值【2】!G30</f>
        <v>#VALUE!</v>
      </c>
      <c r="H31" s="82" t="e">
        <f>输入值【1】!$C$24*输入值【1】!$C$66*输入值【2】!H30</f>
        <v>#VALUE!</v>
      </c>
      <c r="I31" s="82" t="e">
        <f>输入值【1】!$C$24*输入值【1】!$C$66*输入值【2】!I30</f>
        <v>#VALUE!</v>
      </c>
      <c r="J31" s="82" t="e">
        <f>输入值【1】!$C$24*输入值【1】!$C$66*输入值【2】!J30</f>
        <v>#VALUE!</v>
      </c>
      <c r="K31" s="82" t="e">
        <f>输入值【1】!$C$24*输入值【1】!$C$66*输入值【2】!K30</f>
        <v>#VALUE!</v>
      </c>
      <c r="L31" s="82" t="e">
        <f>输入值【1】!$C$24*输入值【1】!$C$66*输入值【2】!L30</f>
        <v>#VALUE!</v>
      </c>
      <c r="M31" s="82" t="e">
        <f>输入值【1】!$C$24*输入值【1】!$C$66*输入值【2】!M30</f>
        <v>#VALUE!</v>
      </c>
      <c r="N31" s="82" t="e">
        <f>输入值【1】!$C$24*输入值【1】!$C$66*输入值【2】!N30</f>
        <v>#VALUE!</v>
      </c>
      <c r="O31" s="82" t="e">
        <f>输入值【1】!$C$24*输入值【1】!$C$66*输入值【2】!O30</f>
        <v>#VALUE!</v>
      </c>
      <c r="P31" s="82" t="e">
        <f>输入值【1】!$C$24*输入值【1】!$C$66*输入值【2】!P30</f>
        <v>#VALUE!</v>
      </c>
      <c r="Q31" s="82" t="e">
        <f>输入值【1】!$C$24*输入值【1】!$C$66*输入值【2】!Q30</f>
        <v>#VALUE!</v>
      </c>
      <c r="R31" s="82" t="e">
        <f>输入值【1】!$C$24*输入值【1】!$C$66*输入值【2】!R30</f>
        <v>#VALUE!</v>
      </c>
      <c r="S31" s="82" t="e">
        <f>输入值【1】!$C$24*输入值【1】!$C$66*输入值【2】!S30</f>
        <v>#VALUE!</v>
      </c>
      <c r="T31" s="82" t="e">
        <f>输入值【1】!$C$24*输入值【1】!$C$66*输入值【2】!T30</f>
        <v>#VALUE!</v>
      </c>
      <c r="U31" s="82" t="e">
        <f>输入值【1】!$C$24*输入值【1】!$C$66*输入值【2】!U30</f>
        <v>#VALUE!</v>
      </c>
    </row>
    <row r="32" spans="1:21" ht="13">
      <c r="A32" s="2" t="s">
        <v>446</v>
      </c>
    </row>
    <row r="33" spans="1:21" ht="13">
      <c r="A33" s="2" t="s">
        <v>447</v>
      </c>
    </row>
    <row r="34" spans="1:21" ht="13">
      <c r="A34" s="190" t="s">
        <v>413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3">
      <c r="A35" s="47" t="s">
        <v>286</v>
      </c>
      <c r="B35" s="186" t="s">
        <v>285</v>
      </c>
      <c r="C35" s="186" t="s">
        <v>285</v>
      </c>
      <c r="D35" s="186" t="s">
        <v>77</v>
      </c>
      <c r="E35" s="186" t="s">
        <v>77</v>
      </c>
      <c r="F35" s="186" t="s">
        <v>77</v>
      </c>
      <c r="G35" s="186" t="s">
        <v>77</v>
      </c>
      <c r="H35" s="186" t="s">
        <v>77</v>
      </c>
      <c r="I35" s="186" t="s">
        <v>77</v>
      </c>
      <c r="J35" s="186" t="s">
        <v>77</v>
      </c>
      <c r="K35" s="186" t="s">
        <v>77</v>
      </c>
      <c r="L35" s="186" t="s">
        <v>77</v>
      </c>
      <c r="M35" s="186" t="s">
        <v>77</v>
      </c>
      <c r="N35" s="186" t="s">
        <v>77</v>
      </c>
      <c r="O35" s="186" t="s">
        <v>77</v>
      </c>
      <c r="P35" s="186" t="s">
        <v>77</v>
      </c>
      <c r="Q35" s="186" t="s">
        <v>77</v>
      </c>
      <c r="R35" s="186" t="s">
        <v>77</v>
      </c>
      <c r="S35" s="186" t="s">
        <v>77</v>
      </c>
      <c r="T35" s="186" t="s">
        <v>77</v>
      </c>
      <c r="U35" s="186" t="s">
        <v>77</v>
      </c>
    </row>
    <row r="36" spans="1:21" ht="13">
      <c r="A36" s="47" t="s">
        <v>280</v>
      </c>
      <c r="B36" s="47">
        <v>1</v>
      </c>
      <c r="C36" s="47">
        <v>2</v>
      </c>
      <c r="D36" s="47">
        <v>3</v>
      </c>
      <c r="E36" s="47">
        <v>4</v>
      </c>
      <c r="F36" s="47">
        <v>5</v>
      </c>
      <c r="G36" s="47">
        <v>6</v>
      </c>
      <c r="H36" s="47">
        <v>7</v>
      </c>
      <c r="I36" s="47">
        <v>8</v>
      </c>
      <c r="J36" s="47">
        <v>9</v>
      </c>
      <c r="K36" s="47">
        <v>10</v>
      </c>
      <c r="L36" s="47">
        <v>11</v>
      </c>
      <c r="M36" s="47">
        <v>12</v>
      </c>
      <c r="N36" s="47">
        <v>13</v>
      </c>
      <c r="O36" s="47">
        <v>14</v>
      </c>
      <c r="P36" s="47">
        <v>15</v>
      </c>
      <c r="Q36" s="47">
        <v>16</v>
      </c>
      <c r="R36" s="47">
        <v>17</v>
      </c>
      <c r="S36" s="47">
        <v>18</v>
      </c>
      <c r="T36" s="47">
        <v>19</v>
      </c>
      <c r="U36" s="47">
        <v>20</v>
      </c>
    </row>
    <row r="37" spans="1:21" ht="13">
      <c r="A37" s="46" t="s">
        <v>282</v>
      </c>
      <c r="B37" s="46"/>
      <c r="C37" s="46"/>
      <c r="D37" s="82" t="s">
        <v>439</v>
      </c>
      <c r="E37" s="82" t="e">
        <f>D37*(1+3%)</f>
        <v>#VALUE!</v>
      </c>
      <c r="F37" s="82" t="e">
        <f>E37*(1+3%)</f>
        <v>#VALUE!</v>
      </c>
      <c r="G37" s="82" t="e">
        <f t="shared" ref="G37:U37" si="4">F37*(1+3%)</f>
        <v>#VALUE!</v>
      </c>
      <c r="H37" s="82" t="e">
        <f t="shared" si="4"/>
        <v>#VALUE!</v>
      </c>
      <c r="I37" s="82" t="e">
        <f t="shared" si="4"/>
        <v>#VALUE!</v>
      </c>
      <c r="J37" s="82" t="e">
        <f t="shared" si="4"/>
        <v>#VALUE!</v>
      </c>
      <c r="K37" s="82" t="e">
        <f t="shared" si="4"/>
        <v>#VALUE!</v>
      </c>
      <c r="L37" s="82" t="e">
        <f t="shared" si="4"/>
        <v>#VALUE!</v>
      </c>
      <c r="M37" s="82" t="e">
        <f t="shared" si="4"/>
        <v>#VALUE!</v>
      </c>
      <c r="N37" s="82" t="e">
        <f t="shared" si="4"/>
        <v>#VALUE!</v>
      </c>
      <c r="O37" s="82" t="e">
        <f t="shared" si="4"/>
        <v>#VALUE!</v>
      </c>
      <c r="P37" s="82" t="e">
        <f t="shared" si="4"/>
        <v>#VALUE!</v>
      </c>
      <c r="Q37" s="82" t="e">
        <f t="shared" si="4"/>
        <v>#VALUE!</v>
      </c>
      <c r="R37" s="82" t="e">
        <f t="shared" si="4"/>
        <v>#VALUE!</v>
      </c>
      <c r="S37" s="82" t="e">
        <f t="shared" si="4"/>
        <v>#VALUE!</v>
      </c>
      <c r="T37" s="82" t="e">
        <f t="shared" si="4"/>
        <v>#VALUE!</v>
      </c>
      <c r="U37" s="82" t="e">
        <f t="shared" si="4"/>
        <v>#VALUE!</v>
      </c>
    </row>
    <row r="38" spans="1:21" ht="13">
      <c r="A38" s="46" t="s">
        <v>281</v>
      </c>
      <c r="B38" s="48"/>
      <c r="C38" s="48"/>
      <c r="D38" s="83" t="s">
        <v>439</v>
      </c>
      <c r="E38" s="83" t="s">
        <v>439</v>
      </c>
      <c r="F38" s="83" t="s">
        <v>439</v>
      </c>
      <c r="G38" s="83" t="s">
        <v>439</v>
      </c>
      <c r="H38" s="83" t="s">
        <v>439</v>
      </c>
      <c r="I38" s="83" t="s">
        <v>439</v>
      </c>
      <c r="J38" s="83" t="s">
        <v>439</v>
      </c>
      <c r="K38" s="83" t="s">
        <v>439</v>
      </c>
      <c r="L38" s="83" t="s">
        <v>439</v>
      </c>
      <c r="M38" s="83" t="s">
        <v>439</v>
      </c>
      <c r="N38" s="83" t="s">
        <v>439</v>
      </c>
      <c r="O38" s="83" t="s">
        <v>439</v>
      </c>
      <c r="P38" s="83" t="s">
        <v>439</v>
      </c>
      <c r="Q38" s="83" t="s">
        <v>439</v>
      </c>
      <c r="R38" s="83" t="s">
        <v>439</v>
      </c>
      <c r="S38" s="83" t="s">
        <v>439</v>
      </c>
      <c r="T38" s="83" t="s">
        <v>439</v>
      </c>
      <c r="U38" s="83" t="s">
        <v>439</v>
      </c>
    </row>
    <row r="39" spans="1:21" ht="13">
      <c r="A39" s="46" t="s">
        <v>283</v>
      </c>
      <c r="B39" s="48"/>
      <c r="C39" s="48"/>
      <c r="D39" s="82" t="e">
        <f>输入值【1】!$C$23*输入值【1】!$C$72*输入值【2】!D38</f>
        <v>#VALUE!</v>
      </c>
      <c r="E39" s="82" t="e">
        <f>输入值【1】!$C$23*输入值【1】!$C$72*输入值【2】!E38</f>
        <v>#VALUE!</v>
      </c>
      <c r="F39" s="82" t="e">
        <f>输入值【1】!$C$23*输入值【1】!$C$72*输入值【2】!F38</f>
        <v>#VALUE!</v>
      </c>
      <c r="G39" s="82" t="e">
        <f>输入值【1】!$C$23*输入值【1】!$C$72*输入值【2】!G38</f>
        <v>#VALUE!</v>
      </c>
      <c r="H39" s="82" t="e">
        <f>输入值【1】!$C$23*输入值【1】!$C$72*输入值【2】!H38</f>
        <v>#VALUE!</v>
      </c>
      <c r="I39" s="82" t="e">
        <f>输入值【1】!$C$23*输入值【1】!$C$72*输入值【2】!I38</f>
        <v>#VALUE!</v>
      </c>
      <c r="J39" s="82" t="e">
        <f>输入值【1】!$C$23*输入值【1】!$C$72*输入值【2】!J38</f>
        <v>#VALUE!</v>
      </c>
      <c r="K39" s="82" t="e">
        <f>输入值【1】!$C$23*输入值【1】!$C$72*输入值【2】!K38</f>
        <v>#VALUE!</v>
      </c>
      <c r="L39" s="82" t="e">
        <f>输入值【1】!$C$23*输入值【1】!$C$72*输入值【2】!L38</f>
        <v>#VALUE!</v>
      </c>
      <c r="M39" s="82" t="e">
        <f>输入值【1】!$C$23*输入值【1】!$C$72*输入值【2】!M38</f>
        <v>#VALUE!</v>
      </c>
      <c r="N39" s="82" t="e">
        <f>输入值【1】!$C$23*输入值【1】!$C$72*输入值【2】!N38</f>
        <v>#VALUE!</v>
      </c>
      <c r="O39" s="82" t="e">
        <f>输入值【1】!$C$23*输入值【1】!$C$72*输入值【2】!O38</f>
        <v>#VALUE!</v>
      </c>
      <c r="P39" s="82" t="e">
        <f>输入值【1】!$C$23*输入值【1】!$C$72*输入值【2】!P38</f>
        <v>#VALUE!</v>
      </c>
      <c r="Q39" s="82" t="e">
        <f>输入值【1】!$C$23*输入值【1】!$C$72*输入值【2】!Q38</f>
        <v>#VALUE!</v>
      </c>
      <c r="R39" s="82" t="e">
        <f>输入值【1】!$C$23*输入值【1】!$C$72*输入值【2】!R38</f>
        <v>#VALUE!</v>
      </c>
      <c r="S39" s="82" t="e">
        <f>输入值【1】!$C$23*输入值【1】!$C$72*输入值【2】!S38</f>
        <v>#VALUE!</v>
      </c>
      <c r="T39" s="82" t="e">
        <f>输入值【1】!$C$23*输入值【1】!$C$72*输入值【2】!T38</f>
        <v>#VALUE!</v>
      </c>
      <c r="U39" s="82" t="e">
        <f>输入值【1】!$C$23*输入值【1】!$C$72*输入值【2】!U38</f>
        <v>#VALUE!</v>
      </c>
    </row>
    <row r="40" spans="1:21" ht="13">
      <c r="A40" s="2" t="s">
        <v>446</v>
      </c>
    </row>
    <row r="41" spans="1:21" ht="13">
      <c r="A41" s="2" t="s">
        <v>447</v>
      </c>
    </row>
    <row r="42" spans="1:21" ht="13">
      <c r="A42" s="190" t="s">
        <v>414</v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3">
      <c r="A43" s="47" t="s">
        <v>286</v>
      </c>
      <c r="B43" s="186" t="s">
        <v>285</v>
      </c>
      <c r="C43" s="186" t="s">
        <v>285</v>
      </c>
      <c r="D43" s="186" t="s">
        <v>77</v>
      </c>
      <c r="E43" s="186" t="s">
        <v>77</v>
      </c>
      <c r="F43" s="186" t="s">
        <v>77</v>
      </c>
      <c r="G43" s="186" t="s">
        <v>77</v>
      </c>
      <c r="H43" s="186" t="s">
        <v>77</v>
      </c>
      <c r="I43" s="186" t="s">
        <v>77</v>
      </c>
      <c r="J43" s="186" t="s">
        <v>77</v>
      </c>
      <c r="K43" s="186" t="s">
        <v>77</v>
      </c>
      <c r="L43" s="186" t="s">
        <v>77</v>
      </c>
      <c r="M43" s="186" t="s">
        <v>77</v>
      </c>
      <c r="N43" s="186" t="s">
        <v>77</v>
      </c>
      <c r="O43" s="186" t="s">
        <v>77</v>
      </c>
      <c r="P43" s="186" t="s">
        <v>77</v>
      </c>
      <c r="Q43" s="186" t="s">
        <v>77</v>
      </c>
      <c r="R43" s="186" t="s">
        <v>77</v>
      </c>
      <c r="S43" s="186" t="s">
        <v>77</v>
      </c>
      <c r="T43" s="186" t="s">
        <v>77</v>
      </c>
      <c r="U43" s="186" t="s">
        <v>77</v>
      </c>
    </row>
    <row r="44" spans="1:21" ht="13">
      <c r="A44" s="47" t="s">
        <v>280</v>
      </c>
      <c r="B44" s="47">
        <v>1</v>
      </c>
      <c r="C44" s="47">
        <v>2</v>
      </c>
      <c r="D44" s="47">
        <v>3</v>
      </c>
      <c r="E44" s="47">
        <v>4</v>
      </c>
      <c r="F44" s="47">
        <v>5</v>
      </c>
      <c r="G44" s="47">
        <v>6</v>
      </c>
      <c r="H44" s="47">
        <v>7</v>
      </c>
      <c r="I44" s="47">
        <v>8</v>
      </c>
      <c r="J44" s="47">
        <v>9</v>
      </c>
      <c r="K44" s="47">
        <v>10</v>
      </c>
      <c r="L44" s="47">
        <v>11</v>
      </c>
      <c r="M44" s="47">
        <v>12</v>
      </c>
      <c r="N44" s="47">
        <v>13</v>
      </c>
      <c r="O44" s="47">
        <v>14</v>
      </c>
      <c r="P44" s="47">
        <v>15</v>
      </c>
      <c r="Q44" s="47">
        <v>16</v>
      </c>
      <c r="R44" s="47">
        <v>17</v>
      </c>
      <c r="S44" s="47">
        <v>18</v>
      </c>
      <c r="T44" s="47">
        <v>19</v>
      </c>
      <c r="U44" s="47">
        <v>20</v>
      </c>
    </row>
    <row r="45" spans="1:21" ht="13">
      <c r="A45" s="46" t="s">
        <v>289</v>
      </c>
      <c r="B45" s="46"/>
      <c r="C45" s="46"/>
      <c r="D45" s="82" t="s">
        <v>439</v>
      </c>
      <c r="E45" s="82" t="e">
        <f>D45*(1+3%)</f>
        <v>#VALUE!</v>
      </c>
      <c r="F45" s="82" t="e">
        <f>E45*(1+3%)</f>
        <v>#VALUE!</v>
      </c>
      <c r="G45" s="82" t="e">
        <f t="shared" ref="G45:U45" si="5">F45*(1+3%)</f>
        <v>#VALUE!</v>
      </c>
      <c r="H45" s="82" t="e">
        <f t="shared" si="5"/>
        <v>#VALUE!</v>
      </c>
      <c r="I45" s="82" t="e">
        <f t="shared" si="5"/>
        <v>#VALUE!</v>
      </c>
      <c r="J45" s="82" t="e">
        <f t="shared" si="5"/>
        <v>#VALUE!</v>
      </c>
      <c r="K45" s="82" t="e">
        <f t="shared" si="5"/>
        <v>#VALUE!</v>
      </c>
      <c r="L45" s="82" t="e">
        <f t="shared" si="5"/>
        <v>#VALUE!</v>
      </c>
      <c r="M45" s="82" t="e">
        <f t="shared" si="5"/>
        <v>#VALUE!</v>
      </c>
      <c r="N45" s="82" t="e">
        <f t="shared" si="5"/>
        <v>#VALUE!</v>
      </c>
      <c r="O45" s="82" t="e">
        <f t="shared" si="5"/>
        <v>#VALUE!</v>
      </c>
      <c r="P45" s="82" t="e">
        <f t="shared" si="5"/>
        <v>#VALUE!</v>
      </c>
      <c r="Q45" s="82" t="e">
        <f t="shared" si="5"/>
        <v>#VALUE!</v>
      </c>
      <c r="R45" s="82" t="e">
        <f t="shared" si="5"/>
        <v>#VALUE!</v>
      </c>
      <c r="S45" s="82" t="e">
        <f t="shared" si="5"/>
        <v>#VALUE!</v>
      </c>
      <c r="T45" s="82" t="e">
        <f t="shared" si="5"/>
        <v>#VALUE!</v>
      </c>
      <c r="U45" s="82" t="e">
        <f t="shared" si="5"/>
        <v>#VALUE!</v>
      </c>
    </row>
    <row r="46" spans="1:21" ht="13">
      <c r="A46" s="46" t="s">
        <v>287</v>
      </c>
      <c r="B46" s="48"/>
      <c r="C46" s="48"/>
      <c r="D46" s="83" t="s">
        <v>439</v>
      </c>
      <c r="E46" s="83" t="s">
        <v>439</v>
      </c>
      <c r="F46" s="83" t="s">
        <v>439</v>
      </c>
      <c r="G46" s="83" t="s">
        <v>439</v>
      </c>
      <c r="H46" s="83" t="s">
        <v>439</v>
      </c>
      <c r="I46" s="83" t="s">
        <v>439</v>
      </c>
      <c r="J46" s="83" t="s">
        <v>439</v>
      </c>
      <c r="K46" s="83" t="s">
        <v>439</v>
      </c>
      <c r="L46" s="83" t="s">
        <v>439</v>
      </c>
      <c r="M46" s="83" t="s">
        <v>439</v>
      </c>
      <c r="N46" s="83" t="s">
        <v>439</v>
      </c>
      <c r="O46" s="83" t="s">
        <v>439</v>
      </c>
      <c r="P46" s="83" t="s">
        <v>439</v>
      </c>
      <c r="Q46" s="83" t="s">
        <v>439</v>
      </c>
      <c r="R46" s="83" t="s">
        <v>439</v>
      </c>
      <c r="S46" s="83" t="s">
        <v>439</v>
      </c>
      <c r="T46" s="83" t="s">
        <v>439</v>
      </c>
      <c r="U46" s="83" t="s">
        <v>439</v>
      </c>
    </row>
    <row r="47" spans="1:21" ht="13">
      <c r="A47" s="46" t="s">
        <v>288</v>
      </c>
      <c r="B47" s="48"/>
      <c r="C47" s="48"/>
      <c r="D47" s="82" t="e">
        <f>输入值【1】!$C$23*输入值【1】!$C$73*输入值【2】!D46</f>
        <v>#VALUE!</v>
      </c>
      <c r="E47" s="82" t="e">
        <f>输入值【1】!$C$23*输入值【1】!$C$73*输入值【2】!E46</f>
        <v>#VALUE!</v>
      </c>
      <c r="F47" s="82" t="e">
        <f>输入值【1】!$C$23*输入值【1】!$C$73*输入值【2】!F46</f>
        <v>#VALUE!</v>
      </c>
      <c r="G47" s="82" t="e">
        <f>输入值【1】!$C$23*输入值【1】!$C$73*输入值【2】!G46</f>
        <v>#VALUE!</v>
      </c>
      <c r="H47" s="82" t="e">
        <f>输入值【1】!$C$23*输入值【1】!$C$73*输入值【2】!H46</f>
        <v>#VALUE!</v>
      </c>
      <c r="I47" s="82" t="e">
        <f>输入值【1】!$C$23*输入值【1】!$C$73*输入值【2】!I46</f>
        <v>#VALUE!</v>
      </c>
      <c r="J47" s="82" t="e">
        <f>输入值【1】!$C$23*输入值【1】!$C$73*输入值【2】!J46</f>
        <v>#VALUE!</v>
      </c>
      <c r="K47" s="82" t="e">
        <f>输入值【1】!$C$23*输入值【1】!$C$73*输入值【2】!K46</f>
        <v>#VALUE!</v>
      </c>
      <c r="L47" s="82" t="e">
        <f>输入值【1】!$C$23*输入值【1】!$C$73*输入值【2】!L46</f>
        <v>#VALUE!</v>
      </c>
      <c r="M47" s="82" t="e">
        <f>输入值【1】!$C$23*输入值【1】!$C$73*输入值【2】!M46</f>
        <v>#VALUE!</v>
      </c>
      <c r="N47" s="82" t="e">
        <f>输入值【1】!$C$23*输入值【1】!$C$73*输入值【2】!N46</f>
        <v>#VALUE!</v>
      </c>
      <c r="O47" s="82" t="e">
        <f>输入值【1】!$C$23*输入值【1】!$C$73*输入值【2】!O46</f>
        <v>#VALUE!</v>
      </c>
      <c r="P47" s="82" t="e">
        <f>输入值【1】!$C$23*输入值【1】!$C$73*输入值【2】!P46</f>
        <v>#VALUE!</v>
      </c>
      <c r="Q47" s="82" t="e">
        <f>输入值【1】!$C$23*输入值【1】!$C$73*输入值【2】!Q46</f>
        <v>#VALUE!</v>
      </c>
      <c r="R47" s="82" t="e">
        <f>输入值【1】!$C$23*输入值【1】!$C$73*输入值【2】!R46</f>
        <v>#VALUE!</v>
      </c>
      <c r="S47" s="82" t="e">
        <f>输入值【1】!$C$23*输入值【1】!$C$73*输入值【2】!S46</f>
        <v>#VALUE!</v>
      </c>
      <c r="T47" s="82" t="e">
        <f>输入值【1】!$C$23*输入值【1】!$C$73*输入值【2】!T46</f>
        <v>#VALUE!</v>
      </c>
      <c r="U47" s="82" t="e">
        <f>输入值【1】!$C$23*输入值【1】!$C$73*输入值【2】!U46</f>
        <v>#VALUE!</v>
      </c>
    </row>
    <row r="48" spans="1:21" ht="13">
      <c r="A48" s="2" t="s">
        <v>446</v>
      </c>
    </row>
    <row r="49" spans="1:21" ht="13">
      <c r="A49" s="2" t="s">
        <v>447</v>
      </c>
    </row>
    <row r="50" spans="1:21" ht="13">
      <c r="A50" s="190" t="s">
        <v>415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3">
      <c r="A51" s="47" t="s">
        <v>286</v>
      </c>
      <c r="B51" s="186" t="s">
        <v>285</v>
      </c>
      <c r="C51" s="186" t="s">
        <v>285</v>
      </c>
      <c r="D51" s="186" t="s">
        <v>77</v>
      </c>
      <c r="E51" s="186" t="s">
        <v>77</v>
      </c>
      <c r="F51" s="186" t="s">
        <v>77</v>
      </c>
      <c r="G51" s="186" t="s">
        <v>77</v>
      </c>
      <c r="H51" s="186" t="s">
        <v>77</v>
      </c>
      <c r="I51" s="186" t="s">
        <v>77</v>
      </c>
      <c r="J51" s="186" t="s">
        <v>77</v>
      </c>
      <c r="K51" s="186" t="s">
        <v>77</v>
      </c>
      <c r="L51" s="186" t="s">
        <v>77</v>
      </c>
      <c r="M51" s="186" t="s">
        <v>77</v>
      </c>
      <c r="N51" s="186" t="s">
        <v>77</v>
      </c>
      <c r="O51" s="186" t="s">
        <v>77</v>
      </c>
      <c r="P51" s="186" t="s">
        <v>77</v>
      </c>
      <c r="Q51" s="186" t="s">
        <v>77</v>
      </c>
      <c r="R51" s="186" t="s">
        <v>77</v>
      </c>
      <c r="S51" s="186" t="s">
        <v>77</v>
      </c>
      <c r="T51" s="186" t="s">
        <v>77</v>
      </c>
      <c r="U51" s="186" t="s">
        <v>77</v>
      </c>
    </row>
    <row r="52" spans="1:21" ht="13">
      <c r="A52" s="47" t="s">
        <v>280</v>
      </c>
      <c r="B52" s="47">
        <v>1</v>
      </c>
      <c r="C52" s="47">
        <v>2</v>
      </c>
      <c r="D52" s="47">
        <v>3</v>
      </c>
      <c r="E52" s="47">
        <v>4</v>
      </c>
      <c r="F52" s="47">
        <v>5</v>
      </c>
      <c r="G52" s="47">
        <v>6</v>
      </c>
      <c r="H52" s="47">
        <v>7</v>
      </c>
      <c r="I52" s="47">
        <v>8</v>
      </c>
      <c r="J52" s="47">
        <v>9</v>
      </c>
      <c r="K52" s="47">
        <v>10</v>
      </c>
      <c r="L52" s="47">
        <v>11</v>
      </c>
      <c r="M52" s="47">
        <v>12</v>
      </c>
      <c r="N52" s="47">
        <v>13</v>
      </c>
      <c r="O52" s="47">
        <v>14</v>
      </c>
      <c r="P52" s="47">
        <v>15</v>
      </c>
      <c r="Q52" s="47">
        <v>16</v>
      </c>
      <c r="R52" s="47">
        <v>17</v>
      </c>
      <c r="S52" s="47">
        <v>18</v>
      </c>
      <c r="T52" s="47">
        <v>19</v>
      </c>
      <c r="U52" s="47">
        <v>20</v>
      </c>
    </row>
    <row r="53" spans="1:21" ht="13">
      <c r="A53" s="46" t="s">
        <v>290</v>
      </c>
      <c r="B53" s="46"/>
      <c r="C53" s="46"/>
      <c r="D53" s="82">
        <v>200</v>
      </c>
      <c r="E53" s="82">
        <f>D53*(1+3%)</f>
        <v>206</v>
      </c>
      <c r="F53" s="82">
        <f>E53*(1+3%)</f>
        <v>212.18</v>
      </c>
      <c r="G53" s="82">
        <f t="shared" ref="G53:U53" si="6">F53*(1+3%)</f>
        <v>218.5454</v>
      </c>
      <c r="H53" s="82">
        <f t="shared" si="6"/>
        <v>225.10176200000001</v>
      </c>
      <c r="I53" s="82">
        <f t="shared" si="6"/>
        <v>231.85481486</v>
      </c>
      <c r="J53" s="82">
        <f t="shared" si="6"/>
        <v>238.81045930580001</v>
      </c>
      <c r="K53" s="82">
        <f t="shared" si="6"/>
        <v>245.974773084974</v>
      </c>
      <c r="L53" s="82">
        <f t="shared" si="6"/>
        <v>253.35401627752324</v>
      </c>
      <c r="M53" s="82">
        <f t="shared" si="6"/>
        <v>260.95463676584893</v>
      </c>
      <c r="N53" s="82">
        <f t="shared" si="6"/>
        <v>268.78327586882443</v>
      </c>
      <c r="O53" s="82">
        <f t="shared" si="6"/>
        <v>276.8467741448892</v>
      </c>
      <c r="P53" s="82">
        <f t="shared" si="6"/>
        <v>285.15217736923586</v>
      </c>
      <c r="Q53" s="82">
        <f t="shared" si="6"/>
        <v>293.70674269031292</v>
      </c>
      <c r="R53" s="82">
        <f t="shared" si="6"/>
        <v>302.5179449710223</v>
      </c>
      <c r="S53" s="82">
        <f t="shared" si="6"/>
        <v>311.59348332015298</v>
      </c>
      <c r="T53" s="82">
        <f t="shared" si="6"/>
        <v>320.94128781975758</v>
      </c>
      <c r="U53" s="82">
        <f t="shared" si="6"/>
        <v>330.5695264543503</v>
      </c>
    </row>
    <row r="54" spans="1:21" ht="13">
      <c r="A54" s="46" t="s">
        <v>281</v>
      </c>
      <c r="B54" s="48"/>
      <c r="C54" s="48"/>
      <c r="D54" s="83" t="s">
        <v>439</v>
      </c>
      <c r="E54" s="83" t="s">
        <v>439</v>
      </c>
      <c r="F54" s="83" t="s">
        <v>439</v>
      </c>
      <c r="G54" s="83" t="s">
        <v>439</v>
      </c>
      <c r="H54" s="83" t="s">
        <v>439</v>
      </c>
      <c r="I54" s="83" t="s">
        <v>439</v>
      </c>
      <c r="J54" s="83" t="s">
        <v>439</v>
      </c>
      <c r="K54" s="83" t="s">
        <v>439</v>
      </c>
      <c r="L54" s="83" t="s">
        <v>439</v>
      </c>
      <c r="M54" s="83" t="s">
        <v>439</v>
      </c>
      <c r="N54" s="83" t="s">
        <v>439</v>
      </c>
      <c r="O54" s="83" t="s">
        <v>439</v>
      </c>
      <c r="P54" s="83" t="s">
        <v>439</v>
      </c>
      <c r="Q54" s="83" t="s">
        <v>439</v>
      </c>
      <c r="R54" s="83" t="s">
        <v>439</v>
      </c>
      <c r="S54" s="83" t="s">
        <v>439</v>
      </c>
      <c r="T54" s="83" t="s">
        <v>439</v>
      </c>
      <c r="U54" s="83" t="s">
        <v>439</v>
      </c>
    </row>
    <row r="55" spans="1:21" ht="13">
      <c r="A55" s="46" t="s">
        <v>292</v>
      </c>
      <c r="B55" s="48"/>
      <c r="C55" s="48"/>
      <c r="D55" s="84" t="e">
        <f>ROUND(输入值【1】!$C$21*输入值【1】!$C$79*输入值【2】!D54,0)</f>
        <v>#VALUE!</v>
      </c>
      <c r="E55" s="84" t="e">
        <f>ROUND(输入值【1】!$C$21*输入值【1】!$C$79*输入值【2】!E54,0)</f>
        <v>#VALUE!</v>
      </c>
      <c r="F55" s="84" t="e">
        <f>ROUND(输入值【1】!$C$21*输入值【1】!$C$79*输入值【2】!F54,0)</f>
        <v>#VALUE!</v>
      </c>
      <c r="G55" s="84" t="e">
        <f>ROUND(输入值【1】!$C$21*输入值【1】!$C$79*输入值【2】!G54,0)</f>
        <v>#VALUE!</v>
      </c>
      <c r="H55" s="84" t="e">
        <f>ROUND(输入值【1】!$C$21*输入值【1】!$C$79*输入值【2】!H54,0)</f>
        <v>#VALUE!</v>
      </c>
      <c r="I55" s="84" t="e">
        <f>ROUND(输入值【1】!$C$21*输入值【1】!$C$79*输入值【2】!I54,0)</f>
        <v>#VALUE!</v>
      </c>
      <c r="J55" s="84" t="e">
        <f>ROUND(输入值【1】!$C$21*输入值【1】!$C$79*输入值【2】!J54,0)</f>
        <v>#VALUE!</v>
      </c>
      <c r="K55" s="84" t="e">
        <f>ROUND(输入值【1】!$C$21*输入值【1】!$C$79*输入值【2】!K54,0)</f>
        <v>#VALUE!</v>
      </c>
      <c r="L55" s="84" t="e">
        <f>ROUND(输入值【1】!$C$21*输入值【1】!$C$79*输入值【2】!L54,0)</f>
        <v>#VALUE!</v>
      </c>
      <c r="M55" s="84" t="e">
        <f>ROUND(输入值【1】!$C$21*输入值【1】!$C$79*输入值【2】!M54,0)</f>
        <v>#VALUE!</v>
      </c>
      <c r="N55" s="84" t="e">
        <f>ROUND(输入值【1】!$C$21*输入值【1】!$C$79*输入值【2】!N54,0)</f>
        <v>#VALUE!</v>
      </c>
      <c r="O55" s="84" t="e">
        <f>ROUND(输入值【1】!$C$21*输入值【1】!$C$79*输入值【2】!O54,0)</f>
        <v>#VALUE!</v>
      </c>
      <c r="P55" s="84" t="e">
        <f>ROUND(输入值【1】!$C$21*输入值【1】!$C$79*输入值【2】!P54,0)</f>
        <v>#VALUE!</v>
      </c>
      <c r="Q55" s="84" t="e">
        <f>ROUND(输入值【1】!$C$21*输入值【1】!$C$79*输入值【2】!Q54,0)</f>
        <v>#VALUE!</v>
      </c>
      <c r="R55" s="84" t="e">
        <f>ROUND(输入值【1】!$C$21*输入值【1】!$C$79*输入值【2】!R54,0)</f>
        <v>#VALUE!</v>
      </c>
      <c r="S55" s="84" t="e">
        <f>ROUND(输入值【1】!$C$21*输入值【1】!$C$79*输入值【2】!S54,0)</f>
        <v>#VALUE!</v>
      </c>
      <c r="T55" s="84" t="e">
        <f>ROUND(输入值【1】!$C$21*输入值【1】!$C$79*输入值【2】!T54,0)</f>
        <v>#VALUE!</v>
      </c>
      <c r="U55" s="84" t="e">
        <f>ROUND(输入值【1】!$C$21*输入值【1】!$C$79*输入值【2】!U54,0)</f>
        <v>#VALUE!</v>
      </c>
    </row>
    <row r="56" spans="1:21" ht="13">
      <c r="A56" s="2" t="s">
        <v>446</v>
      </c>
    </row>
    <row r="57" spans="1:21" ht="13">
      <c r="A57" s="2" t="s">
        <v>447</v>
      </c>
    </row>
    <row r="58" spans="1:21" ht="13">
      <c r="A58" s="190" t="s">
        <v>448</v>
      </c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3">
      <c r="A59" s="47" t="s">
        <v>286</v>
      </c>
      <c r="B59" s="186" t="s">
        <v>285</v>
      </c>
      <c r="C59" s="186" t="s">
        <v>285</v>
      </c>
      <c r="D59" s="186" t="s">
        <v>77</v>
      </c>
      <c r="E59" s="186" t="s">
        <v>77</v>
      </c>
      <c r="F59" s="186" t="s">
        <v>77</v>
      </c>
      <c r="G59" s="186" t="s">
        <v>77</v>
      </c>
      <c r="H59" s="186" t="s">
        <v>77</v>
      </c>
      <c r="I59" s="186" t="s">
        <v>77</v>
      </c>
      <c r="J59" s="186" t="s">
        <v>77</v>
      </c>
      <c r="K59" s="186" t="s">
        <v>77</v>
      </c>
      <c r="L59" s="186" t="s">
        <v>77</v>
      </c>
      <c r="M59" s="186" t="s">
        <v>77</v>
      </c>
      <c r="N59" s="186" t="s">
        <v>77</v>
      </c>
      <c r="O59" s="186" t="s">
        <v>77</v>
      </c>
      <c r="P59" s="186" t="s">
        <v>77</v>
      </c>
      <c r="Q59" s="186" t="s">
        <v>77</v>
      </c>
      <c r="R59" s="186" t="s">
        <v>77</v>
      </c>
      <c r="S59" s="186" t="s">
        <v>77</v>
      </c>
      <c r="T59" s="186" t="s">
        <v>77</v>
      </c>
      <c r="U59" s="186" t="s">
        <v>77</v>
      </c>
    </row>
    <row r="60" spans="1:21" ht="13">
      <c r="A60" s="47" t="s">
        <v>280</v>
      </c>
      <c r="B60" s="47">
        <v>1</v>
      </c>
      <c r="C60" s="47">
        <v>2</v>
      </c>
      <c r="D60" s="47">
        <v>3</v>
      </c>
      <c r="E60" s="47">
        <v>4</v>
      </c>
      <c r="F60" s="47">
        <v>5</v>
      </c>
      <c r="G60" s="47">
        <v>6</v>
      </c>
      <c r="H60" s="47">
        <v>7</v>
      </c>
      <c r="I60" s="47">
        <v>8</v>
      </c>
      <c r="J60" s="47">
        <v>9</v>
      </c>
      <c r="K60" s="47">
        <v>10</v>
      </c>
      <c r="L60" s="47">
        <v>11</v>
      </c>
      <c r="M60" s="47">
        <v>12</v>
      </c>
      <c r="N60" s="47">
        <v>13</v>
      </c>
      <c r="O60" s="47">
        <v>14</v>
      </c>
      <c r="P60" s="47">
        <v>15</v>
      </c>
      <c r="Q60" s="47">
        <v>16</v>
      </c>
      <c r="R60" s="47">
        <v>17</v>
      </c>
      <c r="S60" s="47">
        <v>18</v>
      </c>
      <c r="T60" s="47">
        <v>19</v>
      </c>
      <c r="U60" s="47">
        <v>20</v>
      </c>
    </row>
    <row r="61" spans="1:21" ht="13">
      <c r="A61" s="46" t="s">
        <v>291</v>
      </c>
      <c r="B61" s="46"/>
      <c r="C61" s="46"/>
      <c r="D61" s="82" t="s">
        <v>439</v>
      </c>
      <c r="E61" s="82" t="e">
        <f>D61*(1+3%)</f>
        <v>#VALUE!</v>
      </c>
      <c r="F61" s="82" t="e">
        <f>E61*(1+3%)</f>
        <v>#VALUE!</v>
      </c>
      <c r="G61" s="82" t="e">
        <f t="shared" ref="G61:U61" si="7">F61*(1+3%)</f>
        <v>#VALUE!</v>
      </c>
      <c r="H61" s="82" t="e">
        <f t="shared" si="7"/>
        <v>#VALUE!</v>
      </c>
      <c r="I61" s="82" t="e">
        <f t="shared" si="7"/>
        <v>#VALUE!</v>
      </c>
      <c r="J61" s="82" t="e">
        <f t="shared" si="7"/>
        <v>#VALUE!</v>
      </c>
      <c r="K61" s="82" t="e">
        <f t="shared" si="7"/>
        <v>#VALUE!</v>
      </c>
      <c r="L61" s="82" t="e">
        <f t="shared" si="7"/>
        <v>#VALUE!</v>
      </c>
      <c r="M61" s="82" t="e">
        <f t="shared" si="7"/>
        <v>#VALUE!</v>
      </c>
      <c r="N61" s="82" t="e">
        <f t="shared" si="7"/>
        <v>#VALUE!</v>
      </c>
      <c r="O61" s="82" t="e">
        <f t="shared" si="7"/>
        <v>#VALUE!</v>
      </c>
      <c r="P61" s="82" t="e">
        <f t="shared" si="7"/>
        <v>#VALUE!</v>
      </c>
      <c r="Q61" s="82" t="e">
        <f t="shared" si="7"/>
        <v>#VALUE!</v>
      </c>
      <c r="R61" s="82" t="e">
        <f t="shared" si="7"/>
        <v>#VALUE!</v>
      </c>
      <c r="S61" s="82" t="e">
        <f t="shared" si="7"/>
        <v>#VALUE!</v>
      </c>
      <c r="T61" s="82" t="e">
        <f t="shared" si="7"/>
        <v>#VALUE!</v>
      </c>
      <c r="U61" s="82" t="e">
        <f t="shared" si="7"/>
        <v>#VALUE!</v>
      </c>
    </row>
    <row r="62" spans="1:21" ht="13">
      <c r="A62" s="46" t="s">
        <v>287</v>
      </c>
      <c r="B62" s="48"/>
      <c r="C62" s="48"/>
      <c r="D62" s="83" t="s">
        <v>439</v>
      </c>
      <c r="E62" s="83" t="s">
        <v>439</v>
      </c>
      <c r="F62" s="83" t="s">
        <v>439</v>
      </c>
      <c r="G62" s="83" t="s">
        <v>439</v>
      </c>
      <c r="H62" s="83" t="s">
        <v>439</v>
      </c>
      <c r="I62" s="83" t="s">
        <v>439</v>
      </c>
      <c r="J62" s="83" t="s">
        <v>439</v>
      </c>
      <c r="K62" s="83" t="s">
        <v>439</v>
      </c>
      <c r="L62" s="83" t="s">
        <v>439</v>
      </c>
      <c r="M62" s="83" t="s">
        <v>439</v>
      </c>
      <c r="N62" s="83" t="s">
        <v>439</v>
      </c>
      <c r="O62" s="83" t="s">
        <v>439</v>
      </c>
      <c r="P62" s="83" t="s">
        <v>439</v>
      </c>
      <c r="Q62" s="83" t="s">
        <v>439</v>
      </c>
      <c r="R62" s="83" t="s">
        <v>439</v>
      </c>
      <c r="S62" s="83" t="s">
        <v>439</v>
      </c>
      <c r="T62" s="83" t="s">
        <v>439</v>
      </c>
      <c r="U62" s="83" t="s">
        <v>439</v>
      </c>
    </row>
    <row r="63" spans="1:21" ht="13">
      <c r="A63" s="46" t="s">
        <v>293</v>
      </c>
      <c r="B63" s="48"/>
      <c r="C63" s="48"/>
      <c r="D63" s="82" t="e">
        <f>ROUND(输入值【1】!$C$21*输入值【1】!$C$80*输入值【2】!D62,0)</f>
        <v>#VALUE!</v>
      </c>
      <c r="E63" s="82" t="e">
        <f>ROUND(输入值【1】!$C$21*输入值【1】!$C$80*输入值【2】!E62,0)</f>
        <v>#VALUE!</v>
      </c>
      <c r="F63" s="82" t="e">
        <f>ROUND(输入值【1】!$C$21*输入值【1】!$C$80*输入值【2】!F62,0)</f>
        <v>#VALUE!</v>
      </c>
      <c r="G63" s="82" t="e">
        <f>ROUND(输入值【1】!$C$21*输入值【1】!$C$80*输入值【2】!G62,0)</f>
        <v>#VALUE!</v>
      </c>
      <c r="H63" s="82" t="e">
        <f>ROUND(输入值【1】!$C$21*输入值【1】!$C$80*输入值【2】!H62,0)</f>
        <v>#VALUE!</v>
      </c>
      <c r="I63" s="82" t="e">
        <f>ROUND(输入值【1】!$C$21*输入值【1】!$C$80*输入值【2】!I62,0)</f>
        <v>#VALUE!</v>
      </c>
      <c r="J63" s="82" t="e">
        <f>ROUND(输入值【1】!$C$21*输入值【1】!$C$80*输入值【2】!J62,0)</f>
        <v>#VALUE!</v>
      </c>
      <c r="K63" s="82" t="e">
        <f>ROUND(输入值【1】!$C$21*输入值【1】!$C$80*输入值【2】!K62,0)</f>
        <v>#VALUE!</v>
      </c>
      <c r="L63" s="82" t="e">
        <f>ROUND(输入值【1】!$C$21*输入值【1】!$C$80*输入值【2】!L62,0)</f>
        <v>#VALUE!</v>
      </c>
      <c r="M63" s="82" t="e">
        <f>ROUND(输入值【1】!$C$21*输入值【1】!$C$80*输入值【2】!M62,0)</f>
        <v>#VALUE!</v>
      </c>
      <c r="N63" s="82" t="e">
        <f>ROUND(输入值【1】!$C$21*输入值【1】!$C$80*输入值【2】!N62,0)</f>
        <v>#VALUE!</v>
      </c>
      <c r="O63" s="82" t="e">
        <f>ROUND(输入值【1】!$C$21*输入值【1】!$C$80*输入值【2】!O62,0)</f>
        <v>#VALUE!</v>
      </c>
      <c r="P63" s="82" t="e">
        <f>ROUND(输入值【1】!$C$21*输入值【1】!$C$80*输入值【2】!P62,0)</f>
        <v>#VALUE!</v>
      </c>
      <c r="Q63" s="82" t="e">
        <f>ROUND(输入值【1】!$C$21*输入值【1】!$C$80*输入值【2】!Q62,0)</f>
        <v>#VALUE!</v>
      </c>
      <c r="R63" s="82" t="e">
        <f>ROUND(输入值【1】!$C$21*输入值【1】!$C$80*输入值【2】!R62,0)</f>
        <v>#VALUE!</v>
      </c>
      <c r="S63" s="82" t="e">
        <f>ROUND(输入值【1】!$C$21*输入值【1】!$C$80*输入值【2】!S62,0)</f>
        <v>#VALUE!</v>
      </c>
      <c r="T63" s="82" t="e">
        <f>ROUND(输入值【1】!$C$21*输入值【1】!$C$80*输入值【2】!T62,0)</f>
        <v>#VALUE!</v>
      </c>
      <c r="U63" s="82" t="e">
        <f>ROUND(输入值【1】!$C$21*输入值【1】!$C$80*输入值【2】!U62,0)</f>
        <v>#VALUE!</v>
      </c>
    </row>
    <row r="64" spans="1:21" ht="13">
      <c r="A64" s="2" t="s">
        <v>446</v>
      </c>
    </row>
    <row r="65" spans="1:21" ht="13">
      <c r="A65" s="2" t="s">
        <v>447</v>
      </c>
    </row>
    <row r="66" spans="1:21" ht="13">
      <c r="A66" s="190" t="s">
        <v>416</v>
      </c>
      <c r="B66" s="190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</row>
    <row r="67" spans="1:21" ht="13">
      <c r="A67" s="47" t="s">
        <v>286</v>
      </c>
      <c r="B67" s="186" t="s">
        <v>285</v>
      </c>
      <c r="C67" s="186" t="s">
        <v>285</v>
      </c>
      <c r="D67" s="186" t="s">
        <v>77</v>
      </c>
      <c r="E67" s="186" t="s">
        <v>77</v>
      </c>
      <c r="F67" s="186" t="s">
        <v>77</v>
      </c>
      <c r="G67" s="186" t="s">
        <v>77</v>
      </c>
      <c r="H67" s="186" t="s">
        <v>77</v>
      </c>
      <c r="I67" s="186" t="s">
        <v>77</v>
      </c>
      <c r="J67" s="186" t="s">
        <v>77</v>
      </c>
      <c r="K67" s="186" t="s">
        <v>77</v>
      </c>
      <c r="L67" s="186" t="s">
        <v>77</v>
      </c>
      <c r="M67" s="186" t="s">
        <v>77</v>
      </c>
      <c r="N67" s="186" t="s">
        <v>77</v>
      </c>
      <c r="O67" s="186" t="s">
        <v>77</v>
      </c>
      <c r="P67" s="186" t="s">
        <v>77</v>
      </c>
      <c r="Q67" s="186" t="s">
        <v>77</v>
      </c>
      <c r="R67" s="186" t="s">
        <v>77</v>
      </c>
      <c r="S67" s="186" t="s">
        <v>77</v>
      </c>
      <c r="T67" s="186" t="s">
        <v>77</v>
      </c>
      <c r="U67" s="186" t="s">
        <v>77</v>
      </c>
    </row>
    <row r="68" spans="1:21" ht="13">
      <c r="A68" s="47" t="s">
        <v>280</v>
      </c>
      <c r="B68" s="47">
        <v>1</v>
      </c>
      <c r="C68" s="47">
        <v>2</v>
      </c>
      <c r="D68" s="47">
        <v>3</v>
      </c>
      <c r="E68" s="47">
        <v>4</v>
      </c>
      <c r="F68" s="47">
        <v>5</v>
      </c>
      <c r="G68" s="47">
        <v>6</v>
      </c>
      <c r="H68" s="47">
        <v>7</v>
      </c>
      <c r="I68" s="47">
        <v>8</v>
      </c>
      <c r="J68" s="47">
        <v>9</v>
      </c>
      <c r="K68" s="47">
        <v>10</v>
      </c>
      <c r="L68" s="47">
        <v>11</v>
      </c>
      <c r="M68" s="47">
        <v>12</v>
      </c>
      <c r="N68" s="47">
        <v>13</v>
      </c>
      <c r="O68" s="47">
        <v>14</v>
      </c>
      <c r="P68" s="47">
        <v>15</v>
      </c>
      <c r="Q68" s="47">
        <v>16</v>
      </c>
      <c r="R68" s="47">
        <v>17</v>
      </c>
      <c r="S68" s="47">
        <v>18</v>
      </c>
      <c r="T68" s="47">
        <v>19</v>
      </c>
      <c r="U68" s="47">
        <v>20</v>
      </c>
    </row>
    <row r="69" spans="1:21" ht="13">
      <c r="A69" s="46" t="s">
        <v>332</v>
      </c>
      <c r="B69" s="46"/>
      <c r="C69" s="46"/>
      <c r="D69" s="82" t="s">
        <v>439</v>
      </c>
      <c r="E69" s="82" t="e">
        <f>D69*(1+3%)</f>
        <v>#VALUE!</v>
      </c>
      <c r="F69" s="82" t="e">
        <f>E69*(1+3%)</f>
        <v>#VALUE!</v>
      </c>
      <c r="G69" s="82" t="e">
        <f t="shared" ref="G69:U69" si="8">F69*(1+3%)</f>
        <v>#VALUE!</v>
      </c>
      <c r="H69" s="82" t="e">
        <f t="shared" si="8"/>
        <v>#VALUE!</v>
      </c>
      <c r="I69" s="82" t="e">
        <f t="shared" si="8"/>
        <v>#VALUE!</v>
      </c>
      <c r="J69" s="82" t="e">
        <f t="shared" si="8"/>
        <v>#VALUE!</v>
      </c>
      <c r="K69" s="82" t="e">
        <f t="shared" si="8"/>
        <v>#VALUE!</v>
      </c>
      <c r="L69" s="82" t="e">
        <f t="shared" si="8"/>
        <v>#VALUE!</v>
      </c>
      <c r="M69" s="82" t="e">
        <f t="shared" si="8"/>
        <v>#VALUE!</v>
      </c>
      <c r="N69" s="82" t="e">
        <f t="shared" si="8"/>
        <v>#VALUE!</v>
      </c>
      <c r="O69" s="82" t="e">
        <f t="shared" si="8"/>
        <v>#VALUE!</v>
      </c>
      <c r="P69" s="82" t="e">
        <f t="shared" si="8"/>
        <v>#VALUE!</v>
      </c>
      <c r="Q69" s="82" t="e">
        <f t="shared" si="8"/>
        <v>#VALUE!</v>
      </c>
      <c r="R69" s="82" t="e">
        <f t="shared" si="8"/>
        <v>#VALUE!</v>
      </c>
      <c r="S69" s="82" t="e">
        <f t="shared" si="8"/>
        <v>#VALUE!</v>
      </c>
      <c r="T69" s="82" t="e">
        <f t="shared" si="8"/>
        <v>#VALUE!</v>
      </c>
      <c r="U69" s="82" t="e">
        <f t="shared" si="8"/>
        <v>#VALUE!</v>
      </c>
    </row>
    <row r="70" spans="1:21" ht="13">
      <c r="A70" s="46" t="s">
        <v>281</v>
      </c>
      <c r="B70" s="46"/>
      <c r="C70" s="46"/>
      <c r="D70" s="83" t="str">
        <f>D6</f>
        <v>必填</v>
      </c>
      <c r="E70" s="83" t="str">
        <f t="shared" ref="E70:U70" si="9">E6</f>
        <v>必填</v>
      </c>
      <c r="F70" s="83" t="str">
        <f t="shared" si="9"/>
        <v>必填</v>
      </c>
      <c r="G70" s="83" t="str">
        <f t="shared" si="9"/>
        <v>必填</v>
      </c>
      <c r="H70" s="83" t="str">
        <f t="shared" si="9"/>
        <v>必填</v>
      </c>
      <c r="I70" s="83" t="str">
        <f t="shared" si="9"/>
        <v>必填</v>
      </c>
      <c r="J70" s="83" t="str">
        <f t="shared" si="9"/>
        <v>必填</v>
      </c>
      <c r="K70" s="83" t="str">
        <f t="shared" si="9"/>
        <v>必填</v>
      </c>
      <c r="L70" s="83" t="str">
        <f t="shared" si="9"/>
        <v>必填</v>
      </c>
      <c r="M70" s="83" t="str">
        <f t="shared" si="9"/>
        <v>必填</v>
      </c>
      <c r="N70" s="83" t="str">
        <f t="shared" si="9"/>
        <v>必填</v>
      </c>
      <c r="O70" s="83" t="str">
        <f t="shared" si="9"/>
        <v>必填</v>
      </c>
      <c r="P70" s="83" t="str">
        <f t="shared" si="9"/>
        <v>必填</v>
      </c>
      <c r="Q70" s="83" t="str">
        <f t="shared" si="9"/>
        <v>必填</v>
      </c>
      <c r="R70" s="83" t="str">
        <f t="shared" si="9"/>
        <v>必填</v>
      </c>
      <c r="S70" s="83" t="str">
        <f t="shared" si="9"/>
        <v>必填</v>
      </c>
      <c r="T70" s="83" t="str">
        <f t="shared" si="9"/>
        <v>必填</v>
      </c>
      <c r="U70" s="83" t="str">
        <f t="shared" si="9"/>
        <v>必填</v>
      </c>
    </row>
    <row r="71" spans="1:21" ht="13">
      <c r="A71" s="46" t="s">
        <v>333</v>
      </c>
      <c r="B71" s="48"/>
      <c r="C71" s="48"/>
      <c r="D71" s="82" t="e">
        <f>D7</f>
        <v>#VALUE!</v>
      </c>
      <c r="E71" s="82" t="e">
        <f t="shared" ref="E71:T71" si="10">E7</f>
        <v>#VALUE!</v>
      </c>
      <c r="F71" s="82" t="e">
        <f t="shared" si="10"/>
        <v>#VALUE!</v>
      </c>
      <c r="G71" s="82" t="e">
        <f t="shared" si="10"/>
        <v>#VALUE!</v>
      </c>
      <c r="H71" s="82" t="e">
        <f t="shared" si="10"/>
        <v>#VALUE!</v>
      </c>
      <c r="I71" s="82" t="e">
        <f t="shared" si="10"/>
        <v>#VALUE!</v>
      </c>
      <c r="J71" s="82" t="e">
        <f t="shared" si="10"/>
        <v>#VALUE!</v>
      </c>
      <c r="K71" s="82" t="e">
        <f t="shared" si="10"/>
        <v>#VALUE!</v>
      </c>
      <c r="L71" s="82" t="e">
        <f t="shared" si="10"/>
        <v>#VALUE!</v>
      </c>
      <c r="M71" s="82" t="e">
        <f t="shared" si="10"/>
        <v>#VALUE!</v>
      </c>
      <c r="N71" s="82" t="e">
        <f t="shared" si="10"/>
        <v>#VALUE!</v>
      </c>
      <c r="O71" s="82" t="e">
        <f t="shared" si="10"/>
        <v>#VALUE!</v>
      </c>
      <c r="P71" s="82" t="e">
        <f t="shared" si="10"/>
        <v>#VALUE!</v>
      </c>
      <c r="Q71" s="82" t="e">
        <f t="shared" si="10"/>
        <v>#VALUE!</v>
      </c>
      <c r="R71" s="82" t="e">
        <f t="shared" si="10"/>
        <v>#VALUE!</v>
      </c>
      <c r="S71" s="82" t="e">
        <f t="shared" si="10"/>
        <v>#VALUE!</v>
      </c>
      <c r="T71" s="82" t="e">
        <f t="shared" si="10"/>
        <v>#VALUE!</v>
      </c>
      <c r="U71" s="82" t="e">
        <f>U7</f>
        <v>#VALUE!</v>
      </c>
    </row>
    <row r="72" spans="1:21" ht="13">
      <c r="A72" s="2" t="s">
        <v>446</v>
      </c>
    </row>
    <row r="73" spans="1:21" ht="13">
      <c r="A73" s="2" t="s">
        <v>447</v>
      </c>
    </row>
    <row r="74" spans="1:21" ht="13">
      <c r="A74" s="190" t="s">
        <v>417</v>
      </c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</row>
    <row r="75" spans="1:21" ht="13">
      <c r="A75" s="47" t="s">
        <v>286</v>
      </c>
      <c r="B75" s="186" t="s">
        <v>285</v>
      </c>
      <c r="C75" s="186" t="s">
        <v>285</v>
      </c>
      <c r="D75" s="186" t="s">
        <v>77</v>
      </c>
      <c r="E75" s="186" t="s">
        <v>77</v>
      </c>
      <c r="F75" s="186" t="s">
        <v>77</v>
      </c>
      <c r="G75" s="186" t="s">
        <v>77</v>
      </c>
      <c r="H75" s="186" t="s">
        <v>77</v>
      </c>
      <c r="I75" s="186" t="s">
        <v>77</v>
      </c>
      <c r="J75" s="186" t="s">
        <v>77</v>
      </c>
      <c r="K75" s="186" t="s">
        <v>77</v>
      </c>
      <c r="L75" s="186" t="s">
        <v>77</v>
      </c>
      <c r="M75" s="186" t="s">
        <v>77</v>
      </c>
      <c r="N75" s="186" t="s">
        <v>77</v>
      </c>
      <c r="O75" s="186" t="s">
        <v>77</v>
      </c>
      <c r="P75" s="186" t="s">
        <v>77</v>
      </c>
      <c r="Q75" s="186" t="s">
        <v>77</v>
      </c>
      <c r="R75" s="186" t="s">
        <v>77</v>
      </c>
      <c r="S75" s="186" t="s">
        <v>77</v>
      </c>
      <c r="T75" s="186" t="s">
        <v>77</v>
      </c>
      <c r="U75" s="186" t="s">
        <v>77</v>
      </c>
    </row>
    <row r="76" spans="1:21" ht="13">
      <c r="A76" s="47" t="s">
        <v>280</v>
      </c>
      <c r="B76" s="47">
        <v>1</v>
      </c>
      <c r="C76" s="47">
        <v>2</v>
      </c>
      <c r="D76" s="47">
        <v>3</v>
      </c>
      <c r="E76" s="47">
        <v>4</v>
      </c>
      <c r="F76" s="47">
        <v>5</v>
      </c>
      <c r="G76" s="47">
        <v>6</v>
      </c>
      <c r="H76" s="47">
        <v>7</v>
      </c>
      <c r="I76" s="47">
        <v>8</v>
      </c>
      <c r="J76" s="47">
        <v>9</v>
      </c>
      <c r="K76" s="47">
        <v>10</v>
      </c>
      <c r="L76" s="47">
        <v>11</v>
      </c>
      <c r="M76" s="47">
        <v>12</v>
      </c>
      <c r="N76" s="47">
        <v>13</v>
      </c>
      <c r="O76" s="47">
        <v>14</v>
      </c>
      <c r="P76" s="47">
        <v>15</v>
      </c>
      <c r="Q76" s="47">
        <v>16</v>
      </c>
      <c r="R76" s="47">
        <v>17</v>
      </c>
      <c r="S76" s="47">
        <v>18</v>
      </c>
      <c r="T76" s="47">
        <v>19</v>
      </c>
      <c r="U76" s="47">
        <v>20</v>
      </c>
    </row>
    <row r="77" spans="1:21" ht="13">
      <c r="A77" s="46" t="s">
        <v>332</v>
      </c>
      <c r="B77" s="46"/>
      <c r="C77" s="46"/>
      <c r="D77" s="82" t="s">
        <v>439</v>
      </c>
      <c r="E77" s="82" t="e">
        <f>D77*(1+3%)</f>
        <v>#VALUE!</v>
      </c>
      <c r="F77" s="82" t="e">
        <f>E77*(1+3%)</f>
        <v>#VALUE!</v>
      </c>
      <c r="G77" s="82" t="e">
        <f t="shared" ref="G77:U77" si="11">F77*(1+3%)</f>
        <v>#VALUE!</v>
      </c>
      <c r="H77" s="82" t="e">
        <f t="shared" si="11"/>
        <v>#VALUE!</v>
      </c>
      <c r="I77" s="82" t="e">
        <f t="shared" si="11"/>
        <v>#VALUE!</v>
      </c>
      <c r="J77" s="82" t="e">
        <f t="shared" si="11"/>
        <v>#VALUE!</v>
      </c>
      <c r="K77" s="82" t="e">
        <f t="shared" si="11"/>
        <v>#VALUE!</v>
      </c>
      <c r="L77" s="82" t="e">
        <f t="shared" si="11"/>
        <v>#VALUE!</v>
      </c>
      <c r="M77" s="82" t="e">
        <f t="shared" si="11"/>
        <v>#VALUE!</v>
      </c>
      <c r="N77" s="82" t="e">
        <f t="shared" si="11"/>
        <v>#VALUE!</v>
      </c>
      <c r="O77" s="82" t="e">
        <f t="shared" si="11"/>
        <v>#VALUE!</v>
      </c>
      <c r="P77" s="82" t="e">
        <f t="shared" si="11"/>
        <v>#VALUE!</v>
      </c>
      <c r="Q77" s="82" t="e">
        <f t="shared" si="11"/>
        <v>#VALUE!</v>
      </c>
      <c r="R77" s="82" t="e">
        <f t="shared" si="11"/>
        <v>#VALUE!</v>
      </c>
      <c r="S77" s="82" t="e">
        <f t="shared" si="11"/>
        <v>#VALUE!</v>
      </c>
      <c r="T77" s="82" t="e">
        <f t="shared" si="11"/>
        <v>#VALUE!</v>
      </c>
      <c r="U77" s="82" t="e">
        <f t="shared" si="11"/>
        <v>#VALUE!</v>
      </c>
    </row>
    <row r="78" spans="1:21" ht="13">
      <c r="A78" s="46" t="s">
        <v>281</v>
      </c>
      <c r="B78" s="46"/>
      <c r="C78" s="46"/>
      <c r="D78" s="83" t="str">
        <f>D22</f>
        <v>必填</v>
      </c>
      <c r="E78" s="83" t="str">
        <f t="shared" ref="E78:U78" si="12">E22</f>
        <v>必填</v>
      </c>
      <c r="F78" s="83" t="str">
        <f t="shared" si="12"/>
        <v>必填</v>
      </c>
      <c r="G78" s="83" t="str">
        <f t="shared" si="12"/>
        <v>必填</v>
      </c>
      <c r="H78" s="83" t="str">
        <f t="shared" si="12"/>
        <v>必填</v>
      </c>
      <c r="I78" s="83" t="str">
        <f t="shared" si="12"/>
        <v>必填</v>
      </c>
      <c r="J78" s="83" t="str">
        <f t="shared" si="12"/>
        <v>必填</v>
      </c>
      <c r="K78" s="83" t="str">
        <f t="shared" si="12"/>
        <v>必填</v>
      </c>
      <c r="L78" s="83" t="str">
        <f t="shared" si="12"/>
        <v>必填</v>
      </c>
      <c r="M78" s="83" t="str">
        <f t="shared" si="12"/>
        <v>必填</v>
      </c>
      <c r="N78" s="83" t="str">
        <f t="shared" si="12"/>
        <v>必填</v>
      </c>
      <c r="O78" s="83" t="str">
        <f t="shared" si="12"/>
        <v>必填</v>
      </c>
      <c r="P78" s="83" t="str">
        <f t="shared" si="12"/>
        <v>必填</v>
      </c>
      <c r="Q78" s="83" t="str">
        <f t="shared" si="12"/>
        <v>必填</v>
      </c>
      <c r="R78" s="83" t="str">
        <f t="shared" si="12"/>
        <v>必填</v>
      </c>
      <c r="S78" s="83" t="str">
        <f t="shared" si="12"/>
        <v>必填</v>
      </c>
      <c r="T78" s="83" t="str">
        <f t="shared" si="12"/>
        <v>必填</v>
      </c>
      <c r="U78" s="83" t="str">
        <f t="shared" si="12"/>
        <v>必填</v>
      </c>
    </row>
    <row r="79" spans="1:21" ht="13">
      <c r="A79" s="46" t="s">
        <v>333</v>
      </c>
      <c r="B79" s="48"/>
      <c r="C79" s="48"/>
      <c r="D79" s="82" t="e">
        <f>D23</f>
        <v>#VALUE!</v>
      </c>
      <c r="E79" s="82" t="e">
        <f t="shared" ref="E79:U79" si="13">E23</f>
        <v>#VALUE!</v>
      </c>
      <c r="F79" s="82" t="e">
        <f t="shared" si="13"/>
        <v>#VALUE!</v>
      </c>
      <c r="G79" s="82" t="e">
        <f t="shared" si="13"/>
        <v>#VALUE!</v>
      </c>
      <c r="H79" s="82" t="e">
        <f t="shared" si="13"/>
        <v>#VALUE!</v>
      </c>
      <c r="I79" s="82" t="e">
        <f t="shared" si="13"/>
        <v>#VALUE!</v>
      </c>
      <c r="J79" s="82" t="e">
        <f t="shared" si="13"/>
        <v>#VALUE!</v>
      </c>
      <c r="K79" s="82" t="e">
        <f t="shared" si="13"/>
        <v>#VALUE!</v>
      </c>
      <c r="L79" s="82" t="e">
        <f t="shared" si="13"/>
        <v>#VALUE!</v>
      </c>
      <c r="M79" s="82" t="e">
        <f t="shared" si="13"/>
        <v>#VALUE!</v>
      </c>
      <c r="N79" s="82" t="e">
        <f t="shared" si="13"/>
        <v>#VALUE!</v>
      </c>
      <c r="O79" s="82" t="e">
        <f t="shared" si="13"/>
        <v>#VALUE!</v>
      </c>
      <c r="P79" s="82" t="e">
        <f t="shared" si="13"/>
        <v>#VALUE!</v>
      </c>
      <c r="Q79" s="82" t="e">
        <f t="shared" si="13"/>
        <v>#VALUE!</v>
      </c>
      <c r="R79" s="82" t="e">
        <f t="shared" si="13"/>
        <v>#VALUE!</v>
      </c>
      <c r="S79" s="82" t="e">
        <f t="shared" si="13"/>
        <v>#VALUE!</v>
      </c>
      <c r="T79" s="82" t="e">
        <f t="shared" si="13"/>
        <v>#VALUE!</v>
      </c>
      <c r="U79" s="82" t="e">
        <f t="shared" si="13"/>
        <v>#VALUE!</v>
      </c>
    </row>
    <row r="80" spans="1:21" ht="13">
      <c r="A80" s="2" t="s">
        <v>446</v>
      </c>
    </row>
  </sheetData>
  <mergeCells count="10">
    <mergeCell ref="A42:U42"/>
    <mergeCell ref="A50:U50"/>
    <mergeCell ref="A58:U58"/>
    <mergeCell ref="A66:U66"/>
    <mergeCell ref="A74:U74"/>
    <mergeCell ref="A2:U2"/>
    <mergeCell ref="A10:U10"/>
    <mergeCell ref="A18:U18"/>
    <mergeCell ref="A26:U26"/>
    <mergeCell ref="A34:U34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2C58-8B85-48E2-A189-9B01B511C69E}">
  <dimension ref="A1:N49"/>
  <sheetViews>
    <sheetView zoomScaleNormal="100" workbookViewId="0">
      <selection activeCell="M3" sqref="M3"/>
    </sheetView>
  </sheetViews>
  <sheetFormatPr defaultRowHeight="12.5"/>
  <cols>
    <col min="2" max="2" width="29.81640625" customWidth="1"/>
    <col min="4" max="4" width="12.1796875" bestFit="1" customWidth="1"/>
    <col min="5" max="5" width="15.90625" customWidth="1"/>
    <col min="6" max="6" width="18.90625" customWidth="1"/>
    <col min="7" max="7" width="23.08984375" customWidth="1"/>
    <col min="8" max="8" width="9.36328125" customWidth="1"/>
    <col min="10" max="10" width="15.81640625" customWidth="1"/>
    <col min="11" max="11" width="22.1796875" bestFit="1" customWidth="1"/>
    <col min="12" max="12" width="16.1796875" bestFit="1" customWidth="1"/>
    <col min="13" max="13" width="12.36328125" bestFit="1" customWidth="1"/>
    <col min="14" max="14" width="25.90625" customWidth="1"/>
  </cols>
  <sheetData>
    <row r="1" spans="1:14" ht="21">
      <c r="A1" s="201" t="s">
        <v>278</v>
      </c>
      <c r="B1" s="201"/>
      <c r="C1" s="201"/>
      <c r="D1" s="201"/>
      <c r="E1" s="201"/>
      <c r="F1" s="201"/>
      <c r="G1" s="201"/>
      <c r="J1" s="191" t="s">
        <v>377</v>
      </c>
      <c r="K1" s="192"/>
      <c r="L1" s="192"/>
      <c r="M1" s="192"/>
      <c r="N1" s="193"/>
    </row>
    <row r="2" spans="1:14" ht="15">
      <c r="A2" s="50" t="s">
        <v>0</v>
      </c>
      <c r="B2" s="50" t="s">
        <v>15</v>
      </c>
      <c r="C2" s="50" t="s">
        <v>1</v>
      </c>
      <c r="D2" s="50" t="s">
        <v>16</v>
      </c>
      <c r="E2" s="51" t="s">
        <v>17</v>
      </c>
      <c r="F2" s="52" t="s">
        <v>18</v>
      </c>
      <c r="G2" s="50" t="s">
        <v>2</v>
      </c>
      <c r="J2" s="33" t="s">
        <v>345</v>
      </c>
      <c r="K2" s="33" t="s">
        <v>346</v>
      </c>
      <c r="L2" s="33" t="s">
        <v>349</v>
      </c>
      <c r="M2" s="33" t="s">
        <v>347</v>
      </c>
      <c r="N2" s="33" t="s">
        <v>348</v>
      </c>
    </row>
    <row r="3" spans="1:14" ht="15">
      <c r="A3" s="53" t="s">
        <v>3</v>
      </c>
      <c r="B3" s="54" t="s">
        <v>19</v>
      </c>
      <c r="C3" s="55"/>
      <c r="D3" s="55"/>
      <c r="E3" s="56"/>
      <c r="F3" s="57" t="e">
        <f>F4+F10+F13+F16+F19+F20</f>
        <v>#VALUE!</v>
      </c>
      <c r="G3" s="55"/>
      <c r="J3" s="5">
        <v>1</v>
      </c>
      <c r="K3" s="33" t="s">
        <v>353</v>
      </c>
      <c r="L3" s="95" t="e">
        <f>SUM(F5:F6)</f>
        <v>#VALUE!</v>
      </c>
      <c r="M3" s="108" t="e">
        <f t="shared" ref="M3:M14" si="0">L3/$L$16</f>
        <v>#VALUE!</v>
      </c>
      <c r="N3" s="95" t="e">
        <f t="shared" ref="N3:N14" si="1">M3*($F$44-$F$41)</f>
        <v>#VALUE!</v>
      </c>
    </row>
    <row r="4" spans="1:14" ht="15" customHeight="1">
      <c r="A4" s="58">
        <v>1</v>
      </c>
      <c r="B4" s="59" t="s">
        <v>122</v>
      </c>
      <c r="C4" s="58" t="s">
        <v>20</v>
      </c>
      <c r="D4" s="60" t="str">
        <f>输入值【1】!C15</f>
        <v>由必填项计算可得</v>
      </c>
      <c r="E4" s="60" t="e">
        <f>F4/D4*10000</f>
        <v>#VALUE!</v>
      </c>
      <c r="F4" s="60" t="e">
        <f>SUM(F5:F7)</f>
        <v>#VALUE!</v>
      </c>
      <c r="G4" s="61"/>
      <c r="J4" s="1">
        <v>1.1000000000000001</v>
      </c>
      <c r="K4" s="13" t="s">
        <v>350</v>
      </c>
      <c r="L4" s="95" t="e">
        <f>L3*输入值【1】!C59</f>
        <v>#VALUE!</v>
      </c>
      <c r="M4" s="108" t="e">
        <f t="shared" si="0"/>
        <v>#VALUE!</v>
      </c>
      <c r="N4" s="95" t="e">
        <f t="shared" si="1"/>
        <v>#VALUE!</v>
      </c>
    </row>
    <row r="5" spans="1:14" ht="15">
      <c r="A5" s="62">
        <v>1.1000000000000001</v>
      </c>
      <c r="B5" s="63" t="s">
        <v>265</v>
      </c>
      <c r="C5" s="58" t="s">
        <v>20</v>
      </c>
      <c r="D5" s="60" t="str">
        <f>输入值【1】!C16</f>
        <v>由必填项计算可得</v>
      </c>
      <c r="E5" s="60" t="str">
        <f>输入值【1】!C32</f>
        <v>必填</v>
      </c>
      <c r="F5" s="60" t="e">
        <f>D5*E5/10000</f>
        <v>#VALUE!</v>
      </c>
      <c r="G5" s="61"/>
      <c r="J5" s="1">
        <v>1.2</v>
      </c>
      <c r="K5" s="13" t="s">
        <v>351</v>
      </c>
      <c r="L5" s="95" t="e">
        <f>L3*输入值【1】!C58</f>
        <v>#VALUE!</v>
      </c>
      <c r="M5" s="108" t="e">
        <f t="shared" si="0"/>
        <v>#VALUE!</v>
      </c>
      <c r="N5" s="95" t="e">
        <f t="shared" si="1"/>
        <v>#VALUE!</v>
      </c>
    </row>
    <row r="6" spans="1:14" ht="15">
      <c r="A6" s="62">
        <v>1.2</v>
      </c>
      <c r="B6" s="63" t="s">
        <v>266</v>
      </c>
      <c r="C6" s="58" t="s">
        <v>20</v>
      </c>
      <c r="D6" s="60" t="str">
        <f>输入值【1】!C16</f>
        <v>由必填项计算可得</v>
      </c>
      <c r="E6" s="60" t="str">
        <f>输入值【1】!C33</f>
        <v>必填</v>
      </c>
      <c r="F6" s="60" t="e">
        <f t="shared" ref="F6:F19" si="2">D6*E6/10000</f>
        <v>#VALUE!</v>
      </c>
      <c r="G6" s="61"/>
      <c r="J6" s="5">
        <v>2</v>
      </c>
      <c r="K6" s="33" t="s">
        <v>352</v>
      </c>
      <c r="L6" s="95" t="e">
        <f>F10</f>
        <v>#VALUE!</v>
      </c>
      <c r="M6" s="108" t="e">
        <f t="shared" si="0"/>
        <v>#VALUE!</v>
      </c>
      <c r="N6" s="95" t="e">
        <f t="shared" si="1"/>
        <v>#VALUE!</v>
      </c>
    </row>
    <row r="7" spans="1:14" ht="15" customHeight="1">
      <c r="A7" s="62">
        <v>1.3</v>
      </c>
      <c r="B7" s="63" t="s">
        <v>267</v>
      </c>
      <c r="C7" s="58" t="s">
        <v>20</v>
      </c>
      <c r="D7" s="60" t="str">
        <f>输入值【1】!C17</f>
        <v>由必填项计算可得</v>
      </c>
      <c r="E7" s="60" t="e">
        <f>F7/D7*10000</f>
        <v>#VALUE!</v>
      </c>
      <c r="F7" s="60" t="e">
        <f>SUM(F8:F9)</f>
        <v>#VALUE!</v>
      </c>
      <c r="G7" s="64"/>
      <c r="J7" s="1">
        <v>2.1</v>
      </c>
      <c r="K7" s="13" t="s">
        <v>350</v>
      </c>
      <c r="L7" s="95" t="e">
        <f>L6*输入值【1】!C66</f>
        <v>#VALUE!</v>
      </c>
      <c r="M7" s="108" t="e">
        <f t="shared" si="0"/>
        <v>#VALUE!</v>
      </c>
      <c r="N7" s="95" t="e">
        <f t="shared" si="1"/>
        <v>#VALUE!</v>
      </c>
    </row>
    <row r="8" spans="1:14" ht="15" customHeight="1">
      <c r="A8" s="62" t="s">
        <v>355</v>
      </c>
      <c r="B8" s="63" t="s">
        <v>357</v>
      </c>
      <c r="C8" s="58" t="s">
        <v>20</v>
      </c>
      <c r="D8" s="60" t="str">
        <f>输入值【1】!C23</f>
        <v>由必填项计算可得</v>
      </c>
      <c r="E8" s="60" t="str">
        <f>输入值【1】!C34</f>
        <v>必填</v>
      </c>
      <c r="F8" s="60" t="e">
        <f t="shared" si="2"/>
        <v>#VALUE!</v>
      </c>
      <c r="G8" s="94"/>
      <c r="J8" s="17">
        <v>2.2000000000000002</v>
      </c>
      <c r="K8" s="13" t="s">
        <v>351</v>
      </c>
      <c r="L8" s="95" t="e">
        <f>'输出值1-总投资估算表'!L6*输入值【1】!C65</f>
        <v>#VALUE!</v>
      </c>
      <c r="M8" s="108" t="e">
        <f t="shared" si="0"/>
        <v>#VALUE!</v>
      </c>
      <c r="N8" s="95" t="e">
        <f t="shared" si="1"/>
        <v>#VALUE!</v>
      </c>
    </row>
    <row r="9" spans="1:14" ht="15" customHeight="1">
      <c r="A9" s="62" t="s">
        <v>356</v>
      </c>
      <c r="B9" s="63" t="s">
        <v>354</v>
      </c>
      <c r="C9" s="58" t="s">
        <v>20</v>
      </c>
      <c r="D9" s="60" t="str">
        <f>输入值【1】!C22</f>
        <v>由必填项计算可得</v>
      </c>
      <c r="E9" s="60" t="str">
        <f>输入值【1】!C35</f>
        <v>必填</v>
      </c>
      <c r="F9" s="60" t="e">
        <f t="shared" si="2"/>
        <v>#VALUE!</v>
      </c>
      <c r="G9" s="94"/>
      <c r="J9" s="20">
        <v>3</v>
      </c>
      <c r="K9" s="33" t="s">
        <v>357</v>
      </c>
      <c r="L9" s="95" t="e">
        <f>F8</f>
        <v>#VALUE!</v>
      </c>
      <c r="M9" s="108" t="e">
        <f t="shared" si="0"/>
        <v>#VALUE!</v>
      </c>
      <c r="N9" s="95" t="e">
        <f t="shared" si="1"/>
        <v>#VALUE!</v>
      </c>
    </row>
    <row r="10" spans="1:14" ht="15">
      <c r="A10" s="58">
        <v>2</v>
      </c>
      <c r="B10" s="59" t="s">
        <v>124</v>
      </c>
      <c r="C10" s="58" t="s">
        <v>20</v>
      </c>
      <c r="D10" s="60" t="str">
        <f>输入值【1】!C24</f>
        <v>由必填项计算可得</v>
      </c>
      <c r="E10" s="60" t="e">
        <f>F10/D10*10000</f>
        <v>#VALUE!</v>
      </c>
      <c r="F10" s="60" t="e">
        <f>SUM(F11:F12)</f>
        <v>#VALUE!</v>
      </c>
      <c r="G10" s="65"/>
      <c r="J10" s="1">
        <v>2.1</v>
      </c>
      <c r="K10" s="13" t="s">
        <v>350</v>
      </c>
      <c r="L10" s="95" t="e">
        <f>L9*输入值【1】!C73</f>
        <v>#VALUE!</v>
      </c>
      <c r="M10" s="108" t="e">
        <f t="shared" si="0"/>
        <v>#VALUE!</v>
      </c>
      <c r="N10" s="95" t="e">
        <f t="shared" si="1"/>
        <v>#VALUE!</v>
      </c>
    </row>
    <row r="11" spans="1:14" ht="15">
      <c r="A11" s="62">
        <v>2.1</v>
      </c>
      <c r="B11" s="63" t="s">
        <v>269</v>
      </c>
      <c r="C11" s="58" t="s">
        <v>20</v>
      </c>
      <c r="D11" s="60" t="str">
        <f>输入值【1】!C24</f>
        <v>由必填项计算可得</v>
      </c>
      <c r="E11" s="60" t="str">
        <f>输入值【1】!C36</f>
        <v>必填</v>
      </c>
      <c r="F11" s="60" t="e">
        <f t="shared" si="2"/>
        <v>#VALUE!</v>
      </c>
      <c r="G11" s="65"/>
      <c r="J11" s="17">
        <v>2.2000000000000002</v>
      </c>
      <c r="K11" s="13" t="s">
        <v>351</v>
      </c>
      <c r="L11" s="95" t="e">
        <f>L9*输入值【1】!C72</f>
        <v>#VALUE!</v>
      </c>
      <c r="M11" s="108" t="e">
        <f t="shared" si="0"/>
        <v>#VALUE!</v>
      </c>
      <c r="N11" s="95" t="e">
        <f t="shared" si="1"/>
        <v>#VALUE!</v>
      </c>
    </row>
    <row r="12" spans="1:14" ht="15">
      <c r="A12" s="62">
        <v>2.2000000000000002</v>
      </c>
      <c r="B12" s="63" t="s">
        <v>268</v>
      </c>
      <c r="C12" s="58" t="s">
        <v>20</v>
      </c>
      <c r="D12" s="60" t="str">
        <f>输入值【1】!C24</f>
        <v>由必填项计算可得</v>
      </c>
      <c r="E12" s="60" t="str">
        <f>输入值【1】!C37</f>
        <v>必填</v>
      </c>
      <c r="F12" s="60" t="e">
        <f t="shared" si="2"/>
        <v>#VALUE!</v>
      </c>
      <c r="G12" s="65"/>
      <c r="J12" s="20">
        <v>4</v>
      </c>
      <c r="K12" s="33" t="s">
        <v>354</v>
      </c>
      <c r="L12" s="95" t="e">
        <f>F9</f>
        <v>#VALUE!</v>
      </c>
      <c r="M12" s="108" t="e">
        <f t="shared" si="0"/>
        <v>#VALUE!</v>
      </c>
      <c r="N12" s="95" t="e">
        <f t="shared" si="1"/>
        <v>#VALUE!</v>
      </c>
    </row>
    <row r="13" spans="1:14" ht="15" customHeight="1">
      <c r="A13" s="58">
        <v>3</v>
      </c>
      <c r="B13" s="59" t="s">
        <v>123</v>
      </c>
      <c r="C13" s="58" t="s">
        <v>20</v>
      </c>
      <c r="D13" s="60" t="str">
        <f>输入值【1】!C26</f>
        <v>必填</v>
      </c>
      <c r="E13" s="60" t="e">
        <f>F13/D13*10000</f>
        <v>#VALUE!</v>
      </c>
      <c r="F13" s="60" t="e">
        <f>SUM(F14:F15)</f>
        <v>#VALUE!</v>
      </c>
      <c r="G13" s="66"/>
      <c r="J13" s="1">
        <v>2.1</v>
      </c>
      <c r="K13" s="13" t="s">
        <v>350</v>
      </c>
      <c r="L13" s="95" t="e">
        <f>L12*输入值【1】!C80</f>
        <v>#VALUE!</v>
      </c>
      <c r="M13" s="108" t="e">
        <f t="shared" si="0"/>
        <v>#VALUE!</v>
      </c>
      <c r="N13" s="95" t="e">
        <f t="shared" si="1"/>
        <v>#VALUE!</v>
      </c>
    </row>
    <row r="14" spans="1:14" ht="15" customHeight="1">
      <c r="A14" s="62">
        <v>3.1</v>
      </c>
      <c r="B14" s="63" t="s">
        <v>269</v>
      </c>
      <c r="C14" s="58" t="s">
        <v>20</v>
      </c>
      <c r="D14" s="60" t="str">
        <f>输入值【1】!C26</f>
        <v>必填</v>
      </c>
      <c r="E14" s="60" t="str">
        <f>输入值【1】!C38</f>
        <v>必填</v>
      </c>
      <c r="F14" s="60" t="e">
        <f t="shared" si="2"/>
        <v>#VALUE!</v>
      </c>
      <c r="G14" s="66"/>
      <c r="J14" s="17">
        <v>2.2000000000000002</v>
      </c>
      <c r="K14" s="13" t="s">
        <v>351</v>
      </c>
      <c r="L14" s="95" t="e">
        <f>L12*输入值【1】!C79</f>
        <v>#VALUE!</v>
      </c>
      <c r="M14" s="108" t="e">
        <f t="shared" si="0"/>
        <v>#VALUE!</v>
      </c>
      <c r="N14" s="95" t="e">
        <f t="shared" si="1"/>
        <v>#VALUE!</v>
      </c>
    </row>
    <row r="15" spans="1:14" ht="15" customHeight="1">
      <c r="A15" s="62">
        <v>3.2</v>
      </c>
      <c r="B15" s="63" t="s">
        <v>268</v>
      </c>
      <c r="C15" s="58" t="s">
        <v>20</v>
      </c>
      <c r="D15" s="60" t="str">
        <f>输入值【1】!C26</f>
        <v>必填</v>
      </c>
      <c r="E15" s="60" t="str">
        <f>输入值【1】!C39</f>
        <v>必填</v>
      </c>
      <c r="F15" s="60" t="e">
        <f t="shared" si="2"/>
        <v>#VALUE!</v>
      </c>
      <c r="G15" s="66"/>
      <c r="J15" s="20"/>
      <c r="K15" s="33"/>
      <c r="L15" s="95"/>
      <c r="M15" s="108"/>
      <c r="N15" s="95"/>
    </row>
    <row r="16" spans="1:14" ht="15">
      <c r="A16" s="58">
        <v>4</v>
      </c>
      <c r="B16" s="59" t="s">
        <v>147</v>
      </c>
      <c r="C16" s="58" t="s">
        <v>20</v>
      </c>
      <c r="D16" s="60" t="str">
        <f>输入值【1】!C27</f>
        <v>必填</v>
      </c>
      <c r="E16" s="60" t="e">
        <f>F16/D16*10000</f>
        <v>#VALUE!</v>
      </c>
      <c r="F16" s="60" t="e">
        <f>SUM(F17:F18)</f>
        <v>#VALUE!</v>
      </c>
      <c r="G16" s="66"/>
      <c r="J16" s="20">
        <v>5</v>
      </c>
      <c r="K16" s="33" t="s">
        <v>362</v>
      </c>
      <c r="L16" s="95" t="e">
        <f>L3+L6+L9+L12+L15</f>
        <v>#VALUE!</v>
      </c>
      <c r="M16" s="108" t="e">
        <f>L16/$L$16</f>
        <v>#VALUE!</v>
      </c>
      <c r="N16" s="95" t="e">
        <f>M16*($F$44-$F$41)</f>
        <v>#VALUE!</v>
      </c>
    </row>
    <row r="17" spans="1:14" ht="15">
      <c r="A17" s="62">
        <v>4.0999999999999996</v>
      </c>
      <c r="B17" s="63" t="s">
        <v>269</v>
      </c>
      <c r="C17" s="58" t="s">
        <v>20</v>
      </c>
      <c r="D17" s="60" t="str">
        <f>输入值【1】!C27</f>
        <v>必填</v>
      </c>
      <c r="E17" s="60" t="str">
        <f>输入值【1】!C40</f>
        <v>必填</v>
      </c>
      <c r="F17" s="60" t="e">
        <f t="shared" si="2"/>
        <v>#VALUE!</v>
      </c>
      <c r="G17" s="66"/>
      <c r="J17" s="109">
        <v>5.0999999999999996</v>
      </c>
      <c r="K17" s="13" t="s">
        <v>363</v>
      </c>
      <c r="L17" s="95" t="e">
        <f>L4+L7+L10+L13</f>
        <v>#VALUE!</v>
      </c>
      <c r="M17" s="108" t="e">
        <f>L17/$L$16</f>
        <v>#VALUE!</v>
      </c>
      <c r="N17" s="95" t="e">
        <f>M17*($F$44-$F$41)</f>
        <v>#VALUE!</v>
      </c>
    </row>
    <row r="18" spans="1:14" ht="15">
      <c r="A18" s="62">
        <v>4.2</v>
      </c>
      <c r="B18" s="63" t="s">
        <v>268</v>
      </c>
      <c r="C18" s="58" t="s">
        <v>20</v>
      </c>
      <c r="D18" s="60" t="str">
        <f>输入值【1】!C27</f>
        <v>必填</v>
      </c>
      <c r="E18" s="60" t="str">
        <f>输入值【1】!C41</f>
        <v>必填</v>
      </c>
      <c r="F18" s="60" t="e">
        <f t="shared" si="2"/>
        <v>#VALUE!</v>
      </c>
      <c r="G18" s="66"/>
      <c r="J18" s="109">
        <v>5.2</v>
      </c>
      <c r="K18" s="13" t="s">
        <v>364</v>
      </c>
      <c r="L18" s="95" t="e">
        <f>L5+L8+L11+L14</f>
        <v>#VALUE!</v>
      </c>
      <c r="M18" s="108" t="e">
        <f>L18/$L$16</f>
        <v>#VALUE!</v>
      </c>
      <c r="N18" s="95" t="e">
        <f>M18*($F$44-$F$41)</f>
        <v>#VALUE!</v>
      </c>
    </row>
    <row r="19" spans="1:14" ht="15">
      <c r="A19" s="58">
        <v>5</v>
      </c>
      <c r="B19" s="58" t="s">
        <v>148</v>
      </c>
      <c r="C19" s="58" t="s">
        <v>20</v>
      </c>
      <c r="D19" s="60" t="str">
        <f>输入值【1】!C4</f>
        <v>由必填项计算可得</v>
      </c>
      <c r="E19" s="60" t="str">
        <f>输入值【1】!C42</f>
        <v>必填</v>
      </c>
      <c r="F19" s="60" t="e">
        <f t="shared" si="2"/>
        <v>#VALUE!</v>
      </c>
      <c r="G19" s="67"/>
    </row>
    <row r="20" spans="1:14" ht="15">
      <c r="A20" s="58"/>
      <c r="B20" s="58"/>
      <c r="C20" s="58"/>
      <c r="D20" s="60"/>
      <c r="E20" s="60"/>
      <c r="F20" s="60"/>
      <c r="G20" s="67"/>
    </row>
    <row r="21" spans="1:14" ht="21">
      <c r="A21" s="53" t="s">
        <v>100</v>
      </c>
      <c r="B21" s="54" t="s">
        <v>21</v>
      </c>
      <c r="C21" s="202" t="s">
        <v>22</v>
      </c>
      <c r="D21" s="202"/>
      <c r="E21" s="202"/>
      <c r="F21" s="68" t="e">
        <f>SUM(F22:F28)+SUM(F32:F39)</f>
        <v>#VALUE!</v>
      </c>
      <c r="G21" s="69" t="s">
        <v>23</v>
      </c>
      <c r="J21" s="191" t="s">
        <v>378</v>
      </c>
      <c r="K21" s="192"/>
      <c r="L21" s="192"/>
      <c r="M21" s="192"/>
      <c r="N21" s="193"/>
    </row>
    <row r="22" spans="1:14" ht="15">
      <c r="A22" s="58">
        <v>1</v>
      </c>
      <c r="B22" s="58" t="s">
        <v>24</v>
      </c>
      <c r="C22" s="203" t="e">
        <f>IF(F3&lt;=1000,"1.5%*建安费",IF(AND(F3&gt;1000,F3&lt;=5000),"15+(建安费-1000)*1.2%",IF(AND(5000&lt;F3,F3&lt;=10000),"63+(建安费-5000)*1%",IF(AND(10000&lt;F3,F3&lt;=50000),"113+(建安费-10000)*0.8%",IF(AND(50000&lt;F3,F3&lt;=100000),"433+(建安费-50000)*0.5%",IF(AND(F3&gt;100000,F3&lt;=200000),"683+(建安费-100000)*0.2%","683+(建安费-200000)*0.1%"))))))</f>
        <v>#VALUE!</v>
      </c>
      <c r="D22" s="203"/>
      <c r="E22" s="203"/>
      <c r="F22" s="60" t="e">
        <f>IF(F3&lt;=1000,1.5%*F3,IF(AND(F3&gt;1000,F3&lt;=5000),15+(F3-1000)*1.2%,IF(AND(5000&lt;F3,F3&lt;=10000),63+(F3-5000)*1%,IF(AND(10000&lt;F3,F3&lt;=50000),113+(F3-10000)*0.8%,IF(AND(50000&lt;F3,F3&lt;=100000),433+(F3-50000)*0.5%,IF(AND(F3&gt;100000,F3&lt;=200000),683+(F3-100000)*0.2%,683+(F3-200000)*0.1%))))))</f>
        <v>#VALUE!</v>
      </c>
      <c r="G22" s="70" t="s">
        <v>25</v>
      </c>
      <c r="J22" s="33" t="s">
        <v>345</v>
      </c>
      <c r="K22" s="33" t="s">
        <v>346</v>
      </c>
      <c r="L22" s="33" t="s">
        <v>349</v>
      </c>
      <c r="M22" s="33" t="s">
        <v>347</v>
      </c>
      <c r="N22" s="33" t="s">
        <v>365</v>
      </c>
    </row>
    <row r="23" spans="1:14" ht="15">
      <c r="A23" s="58">
        <v>2</v>
      </c>
      <c r="B23" s="58" t="s">
        <v>26</v>
      </c>
      <c r="C23" s="204" t="s">
        <v>27</v>
      </c>
      <c r="D23" s="205"/>
      <c r="E23" s="206"/>
      <c r="F23" s="60" t="e">
        <f>F3*0.01</f>
        <v>#VALUE!</v>
      </c>
      <c r="G23" s="70" t="s">
        <v>28</v>
      </c>
      <c r="J23" s="5">
        <v>1</v>
      </c>
      <c r="K23" s="33" t="s">
        <v>366</v>
      </c>
      <c r="L23" s="95" t="e">
        <f>L4+L7+L10+L13</f>
        <v>#VALUE!</v>
      </c>
      <c r="M23" s="108" t="e">
        <f t="shared" ref="M23:M24" si="3">L23/$L$25</f>
        <v>#VALUE!</v>
      </c>
      <c r="N23" s="95" t="e">
        <f>M23*($F$41)</f>
        <v>#VALUE!</v>
      </c>
    </row>
    <row r="24" spans="1:14" ht="15">
      <c r="A24" s="58">
        <v>3</v>
      </c>
      <c r="B24" s="58" t="s">
        <v>29</v>
      </c>
      <c r="C24" s="194" t="e">
        <f>IF(AND(F3&gt;=5000,F3&lt;8000),"120.8+(181-120.8)/3000*(建安费-5000)",IF(AND(F3&gt;=8000,F3&lt;10000),"181+(218.6-181)/2000*(建安费-8000)",IF(AND(F3&gt;=10000,F3&lt;20000),"218.6+(393.4-218.6)/10000*(建安费-10000)",IF(AND(F3&gt;=20000,F3&lt;40000),"393.4+(708.2-393.4)/20000*(建安费-20000)",IF(AND(F3&gt;=40000,F3&lt;60000),"708.2+(991.4-708.2)/20000*(建安费-40000)",IF(AND(F3&gt;=60000,F3&lt;80000),"991.4+(1255.8-991.4)/20000*(建安费-60000)",IF(AND(F3&gt;=80000,F3&lt;100000),"1225.8+(1507-1225.8)/20000*(建安费-80000)",IF(AND(F3&gt;=100000,F3&lt;=200000),"1507+(2712.5-1507)/100000*(建安费-100000)",IF(AND(F3&gt;=200000,F3&lt;=400000),"2712.5+(4882.6-2712.5)/200000*(建安费-200000)",IF(AND(F3&gt;=400000,F3&lt;=600000),"4882.6+(6835.6-4882.6)/200000*(建安费-400000)","超过范围"))))))))))</f>
        <v>#VALUE!</v>
      </c>
      <c r="D24" s="194"/>
      <c r="E24" s="194"/>
      <c r="F24" s="60" t="e">
        <f>IF(AND(F3&gt;=500,F3&lt;1000),16.5+(30.1-16.5)/500*(F3-500),IF(AND(F3&gt;=1000,F3&lt;3000),30.1+(78.1-30.1)/2000*(F3-1000),IF(AND(F3&gt;=3000,F3&lt;5000),78.1+(120.8-78.1)/2000*(F3-3000),IF(AND(F3&gt;=5000,F3&lt;8000),120.8+(181-120.8)/3000*(F3-5000),IF(AND(F3&gt;=8000,F3&lt;10000),181+(218.6-181)/2000*(F3-8000),IF(AND(F3&gt;=10000,F3&lt;20000),218.6+(393.4-218.6)/10000*(F3-10000),IF(AND(F3&gt;=20000,F3&lt;40000),393.4+(708.2-393.4)/20000*(F3-20000),IF(AND(F3&gt;=40000,F3&lt;60000),708.2+(991.4-708.2)/20000*(F3-40000),IF(AND(F3&gt;=60000,F3&lt;80000),991.4+(1255.8-991.4)/20000*(F3-60000),IF(AND(F3&gt;=80000,F3&lt;100000),1255.8+(1507-1255.8)/20000*(F3-80000),IF(AND(F3&gt;=100000,F3&lt;200000),1507+(2712.5-1507)/100000*(F3-100000),IF(AND(F3&gt;=600000,F3&lt;800000),6835.6+(8658.4-6835.6)/200000*(F3-600000),IF(AND(F3&gt;=400000,F3&lt;600000),4882.6+(6835.6-4882.6)/200000*(F3-400000),IF(AND(F3&gt;=200000,F3&lt;400000),2712.5+(2712.5-1507)/100000*(F3-200000),IF(AND(F3&gt;=800000,F3&lt;1000000),8658.4+(10390.1-8658.4)/200000*(F3-800000),F3*1.039%)))))))))))))))</f>
        <v>#VALUE!</v>
      </c>
      <c r="G24" s="70" t="s">
        <v>30</v>
      </c>
      <c r="J24" s="5">
        <v>2</v>
      </c>
      <c r="K24" s="33" t="s">
        <v>364</v>
      </c>
      <c r="L24" s="95" t="e">
        <f>L5+L8+L11+L14</f>
        <v>#VALUE!</v>
      </c>
      <c r="M24" s="108" t="e">
        <f t="shared" si="3"/>
        <v>#VALUE!</v>
      </c>
      <c r="N24" s="95" t="e">
        <f t="shared" ref="N24:N25" si="4">M24*($F$41)</f>
        <v>#VALUE!</v>
      </c>
    </row>
    <row r="25" spans="1:14" ht="15">
      <c r="A25" s="58">
        <v>4</v>
      </c>
      <c r="B25" s="58" t="s">
        <v>31</v>
      </c>
      <c r="C25" s="194" t="e">
        <f>IF(AND(F3&gt;=5000,F3&lt;8000),"163.9+(249.6-163.9)/3000*(建安费-5000)",IF(AND(F3&gt;=8000,F3&lt;10000),"249.6+(304.8-249.6)/2000*(建安费-8000)",IF(AND(F3&gt;=10000,F3&lt;20000),"304.8+(566.8-304.8)/10000*(建安费-10000)",IF(AND(F3&gt;=20000,F3&lt;40000),"566.8+(1054-566.8)/20000*(建安费-20000)",IF(AND(F3&gt;=40000,F3&lt;60000),"1054+(1515.2-1054)/20000*(建安费-40000)",IF(AND(F3&gt;=60000,F3&lt;80000),"1515.2+(1960.1-1515.2)/20000*(建安费-60000)",IF(AND(F3&gt;=80000,F3&lt;100000),"1960.1+(2393.4-1960.1)/20000*(建安费-80000)",IF(AND(F3&gt;=100000,F3&lt;200000),"2393.4+(4450.8-2393.4)/100000*(建安费-100000)",IF(AND(F3&gt;=200000,F3&lt;400000),"4450.8+(8276.7-4450.8)/200000*(建安费-200000)",IF(AND(F3&gt;=400000,F3&lt;600000),"8276.7+(11897.5-8276.7)/200000*(建安费-400000)"))))))))))</f>
        <v>#VALUE!</v>
      </c>
      <c r="D25" s="194"/>
      <c r="E25" s="194"/>
      <c r="F25" s="60" t="e">
        <f>IF(AND(F3&gt;=50,F3&lt;100),2.7+(4.9-2.7)/50*(F3-50),IF(AND(F3&gt;=100,F3&lt;200),4.9+(9-4.9)/100*(F3-100),IF(AND(F3&gt;=200,F3&lt;500),9+(20.9-9)/300*(F3-200),IF(AND(F3&gt;=500,F3&lt;1000),20.9+(38.8-20.9)/500*(F3-500),IF(AND(F3&gt;=1000,F3&lt;3000),28.8+(103.8-38.8)/2000*(F3-1000),IF(AND(F3&gt;=3000,F3&lt;5000),103.8+(163.9-103.8)/2000*(F3-3000),IF(AND(F3&gt;=5000,F3&lt;8000),163.9+(249.6-163.9)/3000*(F3-5000),IF(AND(F3&gt;=8000,F3&lt;10000),249.6+(304.8-249.6)/2000*(F3-8000),IF(AND(F3&gt;=10000,F3&lt;20000),304.8+(566.8-304.8)/10000*(F3-10000),IF(AND(F3&gt;=20000,F3&lt;40000),566.8+(1054-566.8)/20000*(F3-20000),IF(AND(F3&gt;=40000,F3&lt;60000),1054+(1515.2-1054)/20000*(F3-40000),IF(AND(F3&gt;=60000,F3&lt;80000),1515.2+(1960.1-1515.2)/20000*(F3-60000),IF(AND(F3&gt;=80000,F3&lt;100000),1960.1+(2393.4-1960.1)/20000*(F3-80000),IF(AND(F3&gt;=100000,F3&lt;200000),2393.4+(4450.8-2393.4)/100000*(F3-100000),IF(AND(F3&gt;=200000,F3&lt;400000),4450.8+(8276.7-4450.8)/200000*(F3-200000),IF(AND(F3&gt;=400000,F3&lt;600000),8276.7+(11897.5-8276.7)/200000*(F3-400000),IF(AND(F3&gt;=600000,F3&lt;800000),11897.5+(15391.4-11897.5)/200000*(F3-600000),IF(AND(F3&gt;=800000,F3&lt;1000000),15391.4+(18793.8-15391.4)/200000*(F3-800000),IF(AND(F3&gt;=1000000,F3&lt;2000000),18793.8+(34948.9-18793.8)/1000000*(F3-1000000))))))))))))))))))))</f>
        <v>#VALUE!</v>
      </c>
      <c r="G25" s="70" t="s">
        <v>32</v>
      </c>
      <c r="J25" s="5">
        <v>3</v>
      </c>
      <c r="K25" s="33" t="s">
        <v>362</v>
      </c>
      <c r="L25" s="95" t="e">
        <f>SUM(L23:L24)</f>
        <v>#VALUE!</v>
      </c>
      <c r="M25" s="108" t="e">
        <f>L25/$L$25</f>
        <v>#VALUE!</v>
      </c>
      <c r="N25" s="95" t="e">
        <f t="shared" si="4"/>
        <v>#VALUE!</v>
      </c>
    </row>
    <row r="26" spans="1:14" ht="15">
      <c r="A26" s="58">
        <v>5</v>
      </c>
      <c r="B26" s="58" t="s">
        <v>33</v>
      </c>
      <c r="C26" s="194" t="s">
        <v>34</v>
      </c>
      <c r="D26" s="194"/>
      <c r="E26" s="194"/>
      <c r="F26" s="60" t="e">
        <f>F25*0.3</f>
        <v>#VALUE!</v>
      </c>
      <c r="G26" s="70" t="s">
        <v>35</v>
      </c>
    </row>
    <row r="27" spans="1:14" ht="15">
      <c r="A27" s="58">
        <v>6</v>
      </c>
      <c r="B27" s="58" t="s">
        <v>4</v>
      </c>
      <c r="C27" s="194" t="s">
        <v>36</v>
      </c>
      <c r="D27" s="194"/>
      <c r="E27" s="194"/>
      <c r="F27" s="60" t="e">
        <f>(F25+F26)*0.065</f>
        <v>#VALUE!</v>
      </c>
      <c r="G27" s="70" t="s">
        <v>37</v>
      </c>
    </row>
    <row r="28" spans="1:14" ht="15">
      <c r="A28" s="58">
        <v>7</v>
      </c>
      <c r="B28" s="58" t="s">
        <v>38</v>
      </c>
      <c r="C28" s="194"/>
      <c r="D28" s="194"/>
      <c r="E28" s="194"/>
      <c r="F28" s="60" t="e">
        <f>SUM(F29:F31)</f>
        <v>#VALUE!</v>
      </c>
      <c r="G28" s="70"/>
    </row>
    <row r="29" spans="1:14" ht="15">
      <c r="A29" s="62">
        <v>7.1</v>
      </c>
      <c r="B29" s="62" t="s">
        <v>39</v>
      </c>
      <c r="C29" s="198" t="e">
        <f>IF(F3&lt;=100,"0.002*建安费",IF(AND(F3&gt;100,F3&lt;=500),"0.2+0.0018*(建安费-100)",IF(AND(500&lt;F3,F3&lt;=1000),"0.92+0.0016*(建安费-500)",IF(AND(1000&lt;F3,F3&lt;=5000),"1.72+0.0013*(建安费-1000)",IF(AND(5000&lt;F3,F3&lt;=10000),"6.92+0.0012*(建安费-5000)","12.92+0.0011*(建安费-10000)")))))</f>
        <v>#VALUE!</v>
      </c>
      <c r="D29" s="199"/>
      <c r="E29" s="200"/>
      <c r="F29" s="60" t="e">
        <f>IF(F3&lt;=100,0.002*F3,IF(AND(F3&gt;100,F3&lt;=500),0.2+0.0018*(F3-100),IF(AND(500&lt;F3,F3&lt;=1000),0.92+0.0016*(F3-500),IF(AND(1000&lt;F3,F3&lt;=5000),1.72+0.0013*(F3-1000),IF(AND(5000&lt;F3,F3&lt;=10000),6.92+0.0012*(F3-5000),12.92+0.0011*(F3-10000))))))</f>
        <v>#VALUE!</v>
      </c>
      <c r="G29" s="70" t="s">
        <v>40</v>
      </c>
    </row>
    <row r="30" spans="1:14" ht="15">
      <c r="A30" s="62">
        <v>7.2</v>
      </c>
      <c r="B30" s="62" t="s">
        <v>41</v>
      </c>
      <c r="C30" s="198" t="e">
        <f>IF(F3&lt;=100,"0.0048*建安费",IF(AND(F3&gt;100,F3&lt;=500),"0.48+0.0041*(建安费-100)",IF(AND(500&lt;F3,F3&lt;=1000),"2.12+0.0038*(建安费-500)",IF(AND(1000&lt;F3,F3&lt;=5000),"4.02+0.0034*(建安费-1000)",IF(AND(5000&lt;F3,F3&lt;=10000),"17.62+0.0029*(建安费-5000)","32.12+0.0026*(建安费-10000)")))))</f>
        <v>#VALUE!</v>
      </c>
      <c r="D30" s="199"/>
      <c r="E30" s="200"/>
      <c r="F30" s="60" t="e">
        <f>IF(F3&lt;=100,0.0048*F3,IF(AND(F3&gt;100,F3&lt;=500),0.48+0.0041*(F3-100),IF(AND(500&lt;F3,F3&lt;=1000),2.12+0.0038*(F3-500),IF(AND(1000&lt;F3,F3&lt;=5000),4.02+0.0034*(F3-1000),IF(AND(5000&lt;F3,F3&lt;=10000),17.62+0.0029*(F3-5000),32.12+0.0026*(F3-10000))))))</f>
        <v>#VALUE!</v>
      </c>
      <c r="G30" s="70" t="s">
        <v>40</v>
      </c>
    </row>
    <row r="31" spans="1:14" ht="15">
      <c r="A31" s="62">
        <v>7.3</v>
      </c>
      <c r="B31" s="62" t="s">
        <v>42</v>
      </c>
      <c r="C31" s="198" t="e">
        <f>IF(F3&lt;=100,"0.0045*建安费",IF(AND(F3&gt;100,F3&lt;=500),"0.45+0.004*(建安费-100)",IF(AND(500&lt;F3,F3&lt;=1000),"2.05+0.0035*(建安费-500)",IF(AND(1000&lt;F3,F3&lt;=5000),"3.8+0.0033*(建安费-1000)",IF(AND(5000&lt;F3,F3&lt;=10000),"17+0.003*(建安费-5000)","32+0.0025*(建安费-10000)")))))</f>
        <v>#VALUE!</v>
      </c>
      <c r="D31" s="199"/>
      <c r="E31" s="200"/>
      <c r="F31" s="60" t="e">
        <f>IF(F3&lt;=100,0.0045*F3,IF(AND(F3&gt;100,F3&lt;=500),0.45+0.004*(F3-100),IF(AND(500&lt;F3,F3&lt;=1000),2.05+0.0035*(F3-500),IF(AND(1000&lt;F3,F3&lt;=5000),3.8+0.0033*(F3-1000),IF(AND(5000&lt;F3,F3&lt;=10000),17+0.003*(F3-5000),32+0.0025*(F3-10000))))))</f>
        <v>#VALUE!</v>
      </c>
      <c r="G31" s="70" t="s">
        <v>40</v>
      </c>
    </row>
    <row r="32" spans="1:14" ht="15">
      <c r="A32" s="58">
        <v>8</v>
      </c>
      <c r="B32" s="58" t="s">
        <v>43</v>
      </c>
      <c r="C32" s="194" t="s">
        <v>44</v>
      </c>
      <c r="D32" s="194"/>
      <c r="E32" s="194"/>
      <c r="F32" s="60" t="e">
        <f>F3*0.001</f>
        <v>#VALUE!</v>
      </c>
      <c r="G32" s="70" t="s">
        <v>45</v>
      </c>
    </row>
    <row r="33" spans="1:14" ht="15">
      <c r="A33" s="58">
        <v>9</v>
      </c>
      <c r="B33" s="58" t="s">
        <v>46</v>
      </c>
      <c r="C33" s="194" t="s">
        <v>44</v>
      </c>
      <c r="D33" s="194"/>
      <c r="E33" s="194"/>
      <c r="F33" s="60" t="e">
        <f>F3*0.001</f>
        <v>#VALUE!</v>
      </c>
      <c r="G33" s="70" t="s">
        <v>47</v>
      </c>
    </row>
    <row r="34" spans="1:14" ht="15">
      <c r="A34" s="58">
        <v>10</v>
      </c>
      <c r="B34" s="58" t="s">
        <v>48</v>
      </c>
      <c r="C34" s="194" t="e">
        <f>IF(F3&lt;3000,"7.5+(27-7.5)/3000*建安费",IF(AND(F3&gt;=3000,F3&lt;10000),"27+(60-27)/7000*(建安费-3000)",IF(AND(10000&lt;=F3,F3&lt;50000),"60+(139-60)/40000*(建安费-10000)",IF(AND(50000&lt;=F3,F3&lt;100000),"139+(200-139)/50000*(建安费-50000)",IF(AND(100000&lt;=F3,F3&lt;500000),"200+(342-200)/400000*(建安费-100000)","342+(430-342)/500000*(建安费-500000)")))))</f>
        <v>#VALUE!</v>
      </c>
      <c r="D34" s="194"/>
      <c r="E34" s="194"/>
      <c r="F34" s="60" t="e">
        <f>IF(F3&lt;3000,7.5+(27-7.5)/3000*F3,IF(AND(F3&gt;=3000,F3&lt;10000),27+(60-27)/7000*(F3-3000),IF(AND(10000&lt;=F3,F3&lt;50000),60+(139-60)/40000*(F3-10000),IF(AND(50000&lt;=F3,F3&lt;100000),139+(200-139)/50000*(F3-50000),IF(AND(100000&lt;=F3,F3&lt;500000),200+(342-200)/400000*(F3-100000),342+(430-342)/500000*(F3-500000))))))</f>
        <v>#VALUE!</v>
      </c>
      <c r="G34" s="70" t="s">
        <v>49</v>
      </c>
    </row>
    <row r="35" spans="1:14" ht="15">
      <c r="A35" s="58">
        <v>11</v>
      </c>
      <c r="B35" s="58" t="s">
        <v>50</v>
      </c>
      <c r="C35" s="194" t="e">
        <f>IF(AND(F3&gt;=1000,F3&lt;5000),"1+2.8+2.75+(建安费-1000)*0.55%",IF(AND(F3&gt;=5000,F3&lt;10000),"1+2.8+2.75+14+(建安费-5000)*0.2%",IF(AND(F3&gt;=10000,F3&lt;100000),"1+2.8+2.75+14+10+(建安费-10000)*0.05%",IF(F3&gt;=100000,"1+2.8+2.75+14+10+45+(建安费-100000)*0.01%","小于200万另计"))))</f>
        <v>#VALUE!</v>
      </c>
      <c r="D35" s="194"/>
      <c r="E35" s="194"/>
      <c r="F35" s="60" t="e">
        <f>IF(AND(F3&gt;=1000,F3&lt;5000),1+2.8+2.75+(F3-1000)*0.55%,IF(AND(F3&gt;=5000,F3&lt;10000),1+2.8+2.75+14+(F3-5000)*0.2%,IF(AND(F3&gt;=10000,F3&lt;100000),1+2.8+2.75+14+10+(F3-10000)*0.05%,IF(F3&gt;=100000,1+2.8+2.75+14+10+45+(F3-100000)*0.01%,""))))</f>
        <v>#VALUE!</v>
      </c>
      <c r="G35" s="70" t="s">
        <v>51</v>
      </c>
    </row>
    <row r="36" spans="1:14" ht="15">
      <c r="A36" s="58">
        <v>12</v>
      </c>
      <c r="B36" s="58" t="s">
        <v>52</v>
      </c>
      <c r="C36" s="194" t="s">
        <v>53</v>
      </c>
      <c r="D36" s="194"/>
      <c r="E36" s="194"/>
      <c r="F36" s="60" t="e">
        <f>IF(F3&lt;3000,7.3+(10.3-7.3)/3000*F3,IF(AND(F3&gt;=3000,F3&lt;20000),10.3+(23.5-10.3)/17000*(F3-3000),IF(AND(F3&gt;=20000,F3&lt;100000),23.5+(51-23.5)/80000*(F3-20000),IF(AND(F3&gt;=100000,F3&lt;500000),51+(93-51)/400000*(F3-100000),IF(AND(F3&gt;=500000,F3&lt;1000000),93+(132-93)/500000*(F3-500000),"")))))</f>
        <v>#VALUE!</v>
      </c>
      <c r="G36" s="70" t="s">
        <v>54</v>
      </c>
    </row>
    <row r="37" spans="1:14" ht="15">
      <c r="A37" s="58">
        <v>13</v>
      </c>
      <c r="B37" s="58" t="s">
        <v>55</v>
      </c>
      <c r="C37" s="194" t="s">
        <v>44</v>
      </c>
      <c r="D37" s="194"/>
      <c r="E37" s="194"/>
      <c r="F37" s="60" t="e">
        <f>F3*0.001</f>
        <v>#VALUE!</v>
      </c>
      <c r="G37" s="70" t="s">
        <v>56</v>
      </c>
    </row>
    <row r="38" spans="1:14" ht="15">
      <c r="A38" s="58">
        <v>14</v>
      </c>
      <c r="B38" s="58" t="s">
        <v>57</v>
      </c>
      <c r="C38" s="194" t="s">
        <v>58</v>
      </c>
      <c r="D38" s="194"/>
      <c r="E38" s="194"/>
      <c r="F38" s="60" t="e">
        <f>F25*0.08</f>
        <v>#VALUE!</v>
      </c>
      <c r="G38" s="70" t="s">
        <v>59</v>
      </c>
    </row>
    <row r="39" spans="1:14" ht="15">
      <c r="A39" s="58">
        <v>15</v>
      </c>
      <c r="B39" s="58" t="s">
        <v>60</v>
      </c>
      <c r="C39" s="198" t="s">
        <v>44</v>
      </c>
      <c r="D39" s="199"/>
      <c r="E39" s="200"/>
      <c r="F39" s="60" t="e">
        <f>F3*0.001</f>
        <v>#VALUE!</v>
      </c>
      <c r="G39" s="70" t="s">
        <v>61</v>
      </c>
      <c r="J39" s="49"/>
      <c r="K39" s="49"/>
      <c r="L39" s="49"/>
      <c r="M39" s="49"/>
      <c r="N39" s="49"/>
    </row>
    <row r="40" spans="1:14" ht="15">
      <c r="A40" s="53" t="s">
        <v>62</v>
      </c>
      <c r="B40" s="53" t="s">
        <v>5</v>
      </c>
      <c r="C40" s="195" t="s">
        <v>63</v>
      </c>
      <c r="D40" s="196"/>
      <c r="E40" s="197"/>
      <c r="F40" s="68" t="e">
        <f>(F3+F21)*5%</f>
        <v>#VALUE!</v>
      </c>
      <c r="G40" s="71" t="s">
        <v>270</v>
      </c>
    </row>
    <row r="41" spans="1:14" s="49" customFormat="1" ht="15">
      <c r="A41" s="72" t="s">
        <v>101</v>
      </c>
      <c r="B41" s="72" t="s">
        <v>103</v>
      </c>
      <c r="C41" s="55" t="s">
        <v>20</v>
      </c>
      <c r="D41" s="55" t="str">
        <f>输入值【1】!C4</f>
        <v>由必填项计算可得</v>
      </c>
      <c r="E41" s="68" t="e">
        <f>F41/D41*10000</f>
        <v>#VALUE!</v>
      </c>
      <c r="F41" s="68" t="e">
        <f>SUM(F42:F43)</f>
        <v>#VALUE!</v>
      </c>
      <c r="G41" s="72"/>
      <c r="J41"/>
      <c r="K41"/>
      <c r="L41"/>
      <c r="M41"/>
      <c r="N41"/>
    </row>
    <row r="42" spans="1:14" ht="15">
      <c r="A42" s="58">
        <v>1</v>
      </c>
      <c r="B42" s="58" t="s">
        <v>271</v>
      </c>
      <c r="C42" s="58" t="s">
        <v>20</v>
      </c>
      <c r="D42" s="58" t="str">
        <f>输入值【1】!C5</f>
        <v>必填</v>
      </c>
      <c r="E42" s="58" t="str">
        <f>输入值【1】!C43</f>
        <v>必填</v>
      </c>
      <c r="F42" s="60" t="e">
        <f>D42*E42/10000</f>
        <v>#VALUE!</v>
      </c>
      <c r="G42" s="73"/>
    </row>
    <row r="43" spans="1:14" ht="15">
      <c r="A43" s="58">
        <v>2</v>
      </c>
      <c r="B43" s="58" t="s">
        <v>272</v>
      </c>
      <c r="C43" s="58" t="s">
        <v>20</v>
      </c>
      <c r="D43" s="58" t="str">
        <f>输入值【1】!C6</f>
        <v>必填</v>
      </c>
      <c r="E43" s="58" t="str">
        <f>输入值【1】!C44</f>
        <v>必填</v>
      </c>
      <c r="F43" s="60" t="e">
        <f>D43*E43/10000</f>
        <v>#VALUE!</v>
      </c>
      <c r="G43" s="73"/>
    </row>
    <row r="44" spans="1:14" ht="15">
      <c r="A44" s="53" t="s">
        <v>102</v>
      </c>
      <c r="B44" s="53" t="s">
        <v>125</v>
      </c>
      <c r="C44" s="195" t="s">
        <v>64</v>
      </c>
      <c r="D44" s="196"/>
      <c r="E44" s="197"/>
      <c r="F44" s="74" t="e">
        <f>F3+F21+F40+F41</f>
        <v>#VALUE!</v>
      </c>
      <c r="G44" s="75"/>
    </row>
    <row r="46" spans="1:14" ht="13">
      <c r="B46" s="2" t="s">
        <v>422</v>
      </c>
      <c r="F46" s="161" t="e">
        <f>F44-F41</f>
        <v>#VALUE!</v>
      </c>
    </row>
    <row r="47" spans="1:14" ht="15" customHeight="1">
      <c r="B47" s="2" t="s">
        <v>423</v>
      </c>
      <c r="F47" s="162" t="e">
        <f>F46/(D4+D10+D13+D16)*10000</f>
        <v>#VALUE!</v>
      </c>
    </row>
    <row r="48" spans="1:14" ht="13">
      <c r="B48" s="2" t="s">
        <v>426</v>
      </c>
      <c r="F48" t="e">
        <f>F46/(D4+D10)*10000</f>
        <v>#VALUE!</v>
      </c>
    </row>
    <row r="49" spans="2:6" ht="13">
      <c r="B49" s="2" t="s">
        <v>427</v>
      </c>
      <c r="F49" t="e">
        <f>F46/(D5+D10)*10000</f>
        <v>#VALUE!</v>
      </c>
    </row>
  </sheetData>
  <mergeCells count="24">
    <mergeCell ref="A1:G1"/>
    <mergeCell ref="C31:E31"/>
    <mergeCell ref="C32:E32"/>
    <mergeCell ref="C21:E21"/>
    <mergeCell ref="C22:E22"/>
    <mergeCell ref="C23:E23"/>
    <mergeCell ref="C24:E24"/>
    <mergeCell ref="C25:E25"/>
    <mergeCell ref="J21:N21"/>
    <mergeCell ref="J1:N1"/>
    <mergeCell ref="C33:E33"/>
    <mergeCell ref="C40:E40"/>
    <mergeCell ref="C44:E44"/>
    <mergeCell ref="C26:E26"/>
    <mergeCell ref="C27:E27"/>
    <mergeCell ref="C28:E28"/>
    <mergeCell ref="C29:E29"/>
    <mergeCell ref="C30:E30"/>
    <mergeCell ref="C39:E39"/>
    <mergeCell ref="C34:E34"/>
    <mergeCell ref="C35:E35"/>
    <mergeCell ref="C36:E36"/>
    <mergeCell ref="C37:E37"/>
    <mergeCell ref="C38:E38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76DA-1E08-400F-9E70-01F57DB09895}">
  <dimension ref="A1:W33"/>
  <sheetViews>
    <sheetView zoomScale="85" zoomScaleNormal="85" workbookViewId="0">
      <selection activeCell="A3" sqref="A3:XFD3"/>
    </sheetView>
  </sheetViews>
  <sheetFormatPr defaultRowHeight="12.5"/>
  <cols>
    <col min="1" max="1" width="11.1796875" customWidth="1"/>
    <col min="2" max="2" width="35.1796875" customWidth="1"/>
    <col min="3" max="3" width="14.81640625" customWidth="1"/>
    <col min="4" max="5" width="7.36328125" bestFit="1" customWidth="1"/>
    <col min="6" max="7" width="13.54296875" bestFit="1" customWidth="1"/>
    <col min="8" max="23" width="11.1796875" bestFit="1" customWidth="1"/>
  </cols>
  <sheetData>
    <row r="1" spans="1:23" ht="21">
      <c r="A1" s="191" t="s">
        <v>323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3"/>
    </row>
    <row r="2" spans="1:23" ht="15">
      <c r="A2" s="76" t="s">
        <v>0</v>
      </c>
      <c r="B2" s="76" t="s">
        <v>6</v>
      </c>
      <c r="C2" s="76" t="s">
        <v>105</v>
      </c>
      <c r="D2" s="76">
        <v>1</v>
      </c>
      <c r="E2" s="76">
        <v>2</v>
      </c>
      <c r="F2" s="76">
        <v>3</v>
      </c>
      <c r="G2" s="76">
        <v>4</v>
      </c>
      <c r="H2" s="76">
        <v>5</v>
      </c>
      <c r="I2" s="76">
        <v>6</v>
      </c>
      <c r="J2" s="76">
        <v>7</v>
      </c>
      <c r="K2" s="76">
        <v>8</v>
      </c>
      <c r="L2" s="76">
        <v>9</v>
      </c>
      <c r="M2" s="76">
        <v>10</v>
      </c>
      <c r="N2" s="76">
        <v>11</v>
      </c>
      <c r="O2" s="76">
        <v>12</v>
      </c>
      <c r="P2" s="76">
        <v>13</v>
      </c>
      <c r="Q2" s="76">
        <v>14</v>
      </c>
      <c r="R2" s="76">
        <v>15</v>
      </c>
      <c r="S2" s="76">
        <v>16</v>
      </c>
      <c r="T2" s="76">
        <v>17</v>
      </c>
      <c r="U2" s="76">
        <v>18</v>
      </c>
      <c r="V2" s="76">
        <v>19</v>
      </c>
      <c r="W2" s="76">
        <v>20</v>
      </c>
    </row>
    <row r="3" spans="1:23" s="49" customFormat="1" ht="15">
      <c r="A3" s="86" t="s">
        <v>279</v>
      </c>
      <c r="B3" s="87" t="s">
        <v>296</v>
      </c>
      <c r="C3" s="174" t="e">
        <f>SUM(D3:W3)</f>
        <v>#VALUE!</v>
      </c>
      <c r="D3" s="174">
        <f>D4+D11+D18+D25</f>
        <v>0</v>
      </c>
      <c r="E3" s="174">
        <f t="shared" ref="E3:W3" si="0">E4+E11+E18+E25</f>
        <v>0</v>
      </c>
      <c r="F3" s="174" t="e">
        <f t="shared" si="0"/>
        <v>#VALUE!</v>
      </c>
      <c r="G3" s="174" t="e">
        <f t="shared" si="0"/>
        <v>#VALUE!</v>
      </c>
      <c r="H3" s="174" t="e">
        <f t="shared" si="0"/>
        <v>#VALUE!</v>
      </c>
      <c r="I3" s="174" t="e">
        <f t="shared" si="0"/>
        <v>#VALUE!</v>
      </c>
      <c r="J3" s="174" t="e">
        <f t="shared" si="0"/>
        <v>#VALUE!</v>
      </c>
      <c r="K3" s="174" t="e">
        <f t="shared" si="0"/>
        <v>#VALUE!</v>
      </c>
      <c r="L3" s="174" t="e">
        <f t="shared" si="0"/>
        <v>#VALUE!</v>
      </c>
      <c r="M3" s="174" t="e">
        <f t="shared" si="0"/>
        <v>#VALUE!</v>
      </c>
      <c r="N3" s="174" t="e">
        <f t="shared" si="0"/>
        <v>#VALUE!</v>
      </c>
      <c r="O3" s="174" t="e">
        <f t="shared" si="0"/>
        <v>#VALUE!</v>
      </c>
      <c r="P3" s="174" t="e">
        <f t="shared" si="0"/>
        <v>#VALUE!</v>
      </c>
      <c r="Q3" s="174" t="e">
        <f t="shared" si="0"/>
        <v>#VALUE!</v>
      </c>
      <c r="R3" s="174" t="e">
        <f t="shared" si="0"/>
        <v>#VALUE!</v>
      </c>
      <c r="S3" s="174" t="e">
        <f t="shared" si="0"/>
        <v>#VALUE!</v>
      </c>
      <c r="T3" s="174" t="e">
        <f t="shared" si="0"/>
        <v>#VALUE!</v>
      </c>
      <c r="U3" s="174" t="e">
        <f t="shared" si="0"/>
        <v>#VALUE!</v>
      </c>
      <c r="V3" s="174" t="e">
        <f t="shared" si="0"/>
        <v>#VALUE!</v>
      </c>
      <c r="W3" s="174" t="e">
        <f t="shared" si="0"/>
        <v>#VALUE!</v>
      </c>
    </row>
    <row r="4" spans="1:23" s="49" customFormat="1" ht="16.5" customHeight="1">
      <c r="A4" s="76">
        <v>1</v>
      </c>
      <c r="B4" s="76" t="s">
        <v>297</v>
      </c>
      <c r="C4" s="174" t="e">
        <f t="shared" ref="C4:C22" si="1">SUM(D4:W4)</f>
        <v>#VALUE!</v>
      </c>
      <c r="D4" s="174">
        <f>D5+D8</f>
        <v>0</v>
      </c>
      <c r="E4" s="174">
        <f t="shared" ref="E4:W4" si="2">E5+E8</f>
        <v>0</v>
      </c>
      <c r="F4" s="174" t="e">
        <f t="shared" si="2"/>
        <v>#VALUE!</v>
      </c>
      <c r="G4" s="174" t="e">
        <f t="shared" si="2"/>
        <v>#VALUE!</v>
      </c>
      <c r="H4" s="174" t="e">
        <f t="shared" si="2"/>
        <v>#VALUE!</v>
      </c>
      <c r="I4" s="174" t="e">
        <f t="shared" si="2"/>
        <v>#VALUE!</v>
      </c>
      <c r="J4" s="174" t="e">
        <f t="shared" si="2"/>
        <v>#VALUE!</v>
      </c>
      <c r="K4" s="174" t="e">
        <f t="shared" si="2"/>
        <v>#VALUE!</v>
      </c>
      <c r="L4" s="174" t="e">
        <f t="shared" si="2"/>
        <v>#VALUE!</v>
      </c>
      <c r="M4" s="174" t="e">
        <f t="shared" si="2"/>
        <v>#VALUE!</v>
      </c>
      <c r="N4" s="174" t="e">
        <f t="shared" si="2"/>
        <v>#VALUE!</v>
      </c>
      <c r="O4" s="174" t="e">
        <f t="shared" si="2"/>
        <v>#VALUE!</v>
      </c>
      <c r="P4" s="174" t="e">
        <f t="shared" si="2"/>
        <v>#VALUE!</v>
      </c>
      <c r="Q4" s="174" t="e">
        <f t="shared" si="2"/>
        <v>#VALUE!</v>
      </c>
      <c r="R4" s="174" t="e">
        <f t="shared" si="2"/>
        <v>#VALUE!</v>
      </c>
      <c r="S4" s="174" t="e">
        <f t="shared" si="2"/>
        <v>#VALUE!</v>
      </c>
      <c r="T4" s="174" t="e">
        <f t="shared" si="2"/>
        <v>#VALUE!</v>
      </c>
      <c r="U4" s="174" t="e">
        <f t="shared" si="2"/>
        <v>#VALUE!</v>
      </c>
      <c r="V4" s="174" t="e">
        <f t="shared" si="2"/>
        <v>#VALUE!</v>
      </c>
      <c r="W4" s="174" t="e">
        <f t="shared" si="2"/>
        <v>#VALUE!</v>
      </c>
    </row>
    <row r="5" spans="1:23" ht="16.5" customHeight="1">
      <c r="A5" s="63">
        <v>1.1000000000000001</v>
      </c>
      <c r="B5" s="63" t="s">
        <v>298</v>
      </c>
      <c r="C5" s="171" t="e">
        <f t="shared" si="1"/>
        <v>#VALUE!</v>
      </c>
      <c r="D5" s="169">
        <f>D6*D7/10000</f>
        <v>0</v>
      </c>
      <c r="E5" s="169">
        <f t="shared" ref="E5:G5" si="3">E6*E7/10000</f>
        <v>0</v>
      </c>
      <c r="F5" s="169" t="e">
        <f t="shared" si="3"/>
        <v>#VALUE!</v>
      </c>
      <c r="G5" s="169" t="e">
        <f t="shared" si="3"/>
        <v>#VALUE!</v>
      </c>
      <c r="H5" s="169" t="e">
        <f t="shared" ref="H5" si="4">H6*H7/10000</f>
        <v>#VALUE!</v>
      </c>
      <c r="I5" s="169" t="e">
        <f t="shared" ref="I5:J5" si="5">I6*I7/10000</f>
        <v>#VALUE!</v>
      </c>
      <c r="J5" s="169" t="e">
        <f t="shared" si="5"/>
        <v>#VALUE!</v>
      </c>
      <c r="K5" s="169" t="e">
        <f t="shared" ref="K5" si="6">K6*K7/10000</f>
        <v>#VALUE!</v>
      </c>
      <c r="L5" s="169" t="e">
        <f t="shared" ref="L5:M5" si="7">L6*L7/10000</f>
        <v>#VALUE!</v>
      </c>
      <c r="M5" s="169" t="e">
        <f t="shared" si="7"/>
        <v>#VALUE!</v>
      </c>
      <c r="N5" s="169" t="e">
        <f t="shared" ref="N5" si="8">N6*N7/10000</f>
        <v>#VALUE!</v>
      </c>
      <c r="O5" s="169" t="e">
        <f t="shared" ref="O5:P5" si="9">O6*O7/10000</f>
        <v>#VALUE!</v>
      </c>
      <c r="P5" s="169" t="e">
        <f t="shared" si="9"/>
        <v>#VALUE!</v>
      </c>
      <c r="Q5" s="169" t="e">
        <f t="shared" ref="Q5" si="10">Q6*Q7/10000</f>
        <v>#VALUE!</v>
      </c>
      <c r="R5" s="169" t="e">
        <f t="shared" ref="R5:S5" si="11">R6*R7/10000</f>
        <v>#VALUE!</v>
      </c>
      <c r="S5" s="169" t="e">
        <f t="shared" si="11"/>
        <v>#VALUE!</v>
      </c>
      <c r="T5" s="169" t="e">
        <f t="shared" ref="T5" si="12">T6*T7/10000</f>
        <v>#VALUE!</v>
      </c>
      <c r="U5" s="169" t="e">
        <f t="shared" ref="U5:V5" si="13">U6*U7/10000</f>
        <v>#VALUE!</v>
      </c>
      <c r="V5" s="169" t="e">
        <f t="shared" si="13"/>
        <v>#VALUE!</v>
      </c>
      <c r="W5" s="169" t="e">
        <f t="shared" ref="W5" si="14">W6*W7/10000</f>
        <v>#VALUE!</v>
      </c>
    </row>
    <row r="6" spans="1:23" ht="16.5" customHeight="1">
      <c r="A6" s="63" t="s">
        <v>204</v>
      </c>
      <c r="B6" s="63" t="s">
        <v>294</v>
      </c>
      <c r="C6" s="171" t="s">
        <v>202</v>
      </c>
      <c r="D6" s="169">
        <f>输入值【2】!B13</f>
        <v>0</v>
      </c>
      <c r="E6" s="169">
        <f>输入值【2】!C13</f>
        <v>0</v>
      </c>
      <c r="F6" s="169" t="str">
        <f>输入值【2】!D13</f>
        <v>必填</v>
      </c>
      <c r="G6" s="169" t="e">
        <f>输入值【2】!E13</f>
        <v>#VALUE!</v>
      </c>
      <c r="H6" s="169" t="e">
        <f>输入值【2】!F13</f>
        <v>#VALUE!</v>
      </c>
      <c r="I6" s="169" t="e">
        <f>输入值【2】!G13</f>
        <v>#VALUE!</v>
      </c>
      <c r="J6" s="169" t="e">
        <f>输入值【2】!H13</f>
        <v>#VALUE!</v>
      </c>
      <c r="K6" s="169" t="e">
        <f>输入值【2】!I13</f>
        <v>#VALUE!</v>
      </c>
      <c r="L6" s="169" t="e">
        <f>输入值【2】!J13</f>
        <v>#VALUE!</v>
      </c>
      <c r="M6" s="169" t="e">
        <f>输入值【2】!K13</f>
        <v>#VALUE!</v>
      </c>
      <c r="N6" s="169" t="e">
        <f>输入值【2】!L13</f>
        <v>#VALUE!</v>
      </c>
      <c r="O6" s="169" t="e">
        <f>输入值【2】!M13</f>
        <v>#VALUE!</v>
      </c>
      <c r="P6" s="169" t="e">
        <f>输入值【2】!N13</f>
        <v>#VALUE!</v>
      </c>
      <c r="Q6" s="169" t="e">
        <f>输入值【2】!O13</f>
        <v>#VALUE!</v>
      </c>
      <c r="R6" s="169" t="e">
        <f>输入值【2】!P13</f>
        <v>#VALUE!</v>
      </c>
      <c r="S6" s="169" t="e">
        <f>输入值【2】!Q13</f>
        <v>#VALUE!</v>
      </c>
      <c r="T6" s="169" t="e">
        <f>输入值【2】!R13</f>
        <v>#VALUE!</v>
      </c>
      <c r="U6" s="169" t="e">
        <f>输入值【2】!S13</f>
        <v>#VALUE!</v>
      </c>
      <c r="V6" s="169" t="e">
        <f>输入值【2】!T13</f>
        <v>#VALUE!</v>
      </c>
      <c r="W6" s="169" t="e">
        <f>输入值【2】!U13</f>
        <v>#VALUE!</v>
      </c>
    </row>
    <row r="7" spans="1:23" ht="16.5" customHeight="1">
      <c r="A7" s="63" t="s">
        <v>205</v>
      </c>
      <c r="B7" s="63" t="s">
        <v>295</v>
      </c>
      <c r="C7" s="171" t="s">
        <v>202</v>
      </c>
      <c r="D7" s="169">
        <f>输入值【2】!B15</f>
        <v>0</v>
      </c>
      <c r="E7" s="169">
        <f>输入值【2】!C15</f>
        <v>0</v>
      </c>
      <c r="F7" s="169" t="e">
        <f>输入值【2】!D15</f>
        <v>#VALUE!</v>
      </c>
      <c r="G7" s="169" t="e">
        <f>输入值【2】!E15</f>
        <v>#VALUE!</v>
      </c>
      <c r="H7" s="169" t="e">
        <f>输入值【2】!F15</f>
        <v>#VALUE!</v>
      </c>
      <c r="I7" s="169" t="e">
        <f>输入值【2】!G15</f>
        <v>#VALUE!</v>
      </c>
      <c r="J7" s="169" t="e">
        <f>输入值【2】!H15</f>
        <v>#VALUE!</v>
      </c>
      <c r="K7" s="169" t="e">
        <f>输入值【2】!I15</f>
        <v>#VALUE!</v>
      </c>
      <c r="L7" s="169" t="e">
        <f>输入值【2】!J15</f>
        <v>#VALUE!</v>
      </c>
      <c r="M7" s="169" t="e">
        <f>输入值【2】!K15</f>
        <v>#VALUE!</v>
      </c>
      <c r="N7" s="169" t="e">
        <f>输入值【2】!L15</f>
        <v>#VALUE!</v>
      </c>
      <c r="O7" s="169" t="e">
        <f>输入值【2】!M15</f>
        <v>#VALUE!</v>
      </c>
      <c r="P7" s="169" t="e">
        <f>输入值【2】!N15</f>
        <v>#VALUE!</v>
      </c>
      <c r="Q7" s="169" t="e">
        <f>输入值【2】!O15</f>
        <v>#VALUE!</v>
      </c>
      <c r="R7" s="169" t="e">
        <f>输入值【2】!P15</f>
        <v>#VALUE!</v>
      </c>
      <c r="S7" s="169" t="e">
        <f>输入值【2】!Q15</f>
        <v>#VALUE!</v>
      </c>
      <c r="T7" s="169" t="e">
        <f>输入值【2】!R15</f>
        <v>#VALUE!</v>
      </c>
      <c r="U7" s="169" t="e">
        <f>输入值【2】!S15</f>
        <v>#VALUE!</v>
      </c>
      <c r="V7" s="169" t="e">
        <f>输入值【2】!T15</f>
        <v>#VALUE!</v>
      </c>
      <c r="W7" s="169" t="e">
        <f>输入值【2】!U15</f>
        <v>#VALUE!</v>
      </c>
    </row>
    <row r="8" spans="1:23" ht="16.5" customHeight="1">
      <c r="A8" s="63">
        <v>1.2</v>
      </c>
      <c r="B8" s="63" t="s">
        <v>301</v>
      </c>
      <c r="C8" s="171" t="e">
        <f t="shared" si="1"/>
        <v>#VALUE!</v>
      </c>
      <c r="D8" s="169">
        <f>D9*D10*365/10000</f>
        <v>0</v>
      </c>
      <c r="E8" s="169">
        <f t="shared" ref="E8:G8" si="15">E9*E10*365/10000</f>
        <v>0</v>
      </c>
      <c r="F8" s="169" t="e">
        <f t="shared" si="15"/>
        <v>#VALUE!</v>
      </c>
      <c r="G8" s="169" t="e">
        <f t="shared" si="15"/>
        <v>#VALUE!</v>
      </c>
      <c r="H8" s="169" t="e">
        <f t="shared" ref="H8" si="16">H9*H10*365/10000</f>
        <v>#VALUE!</v>
      </c>
      <c r="I8" s="169" t="e">
        <f t="shared" ref="I8:J8" si="17">I9*I10*365/10000</f>
        <v>#VALUE!</v>
      </c>
      <c r="J8" s="169" t="e">
        <f t="shared" si="17"/>
        <v>#VALUE!</v>
      </c>
      <c r="K8" s="169" t="e">
        <f t="shared" ref="K8" si="18">K9*K10*365/10000</f>
        <v>#VALUE!</v>
      </c>
      <c r="L8" s="169" t="e">
        <f t="shared" ref="L8:M8" si="19">L9*L10*365/10000</f>
        <v>#VALUE!</v>
      </c>
      <c r="M8" s="169" t="e">
        <f t="shared" si="19"/>
        <v>#VALUE!</v>
      </c>
      <c r="N8" s="169" t="e">
        <f t="shared" ref="N8" si="20">N9*N10*365/10000</f>
        <v>#VALUE!</v>
      </c>
      <c r="O8" s="169" t="e">
        <f t="shared" ref="O8:P8" si="21">O9*O10*365/10000</f>
        <v>#VALUE!</v>
      </c>
      <c r="P8" s="169" t="e">
        <f t="shared" si="21"/>
        <v>#VALUE!</v>
      </c>
      <c r="Q8" s="169" t="e">
        <f t="shared" ref="Q8" si="22">Q9*Q10*365/10000</f>
        <v>#VALUE!</v>
      </c>
      <c r="R8" s="169" t="e">
        <f t="shared" ref="R8:S8" si="23">R9*R10*365/10000</f>
        <v>#VALUE!</v>
      </c>
      <c r="S8" s="169" t="e">
        <f t="shared" si="23"/>
        <v>#VALUE!</v>
      </c>
      <c r="T8" s="169" t="e">
        <f t="shared" ref="T8" si="24">T9*T10*365/10000</f>
        <v>#VALUE!</v>
      </c>
      <c r="U8" s="169" t="e">
        <f t="shared" ref="U8:V8" si="25">U9*U10*365/10000</f>
        <v>#VALUE!</v>
      </c>
      <c r="V8" s="169" t="e">
        <f t="shared" si="25"/>
        <v>#VALUE!</v>
      </c>
      <c r="W8" s="169" t="e">
        <f t="shared" ref="W8" si="26">W9*W10*365/10000</f>
        <v>#VALUE!</v>
      </c>
    </row>
    <row r="9" spans="1:23" ht="16.5" customHeight="1">
      <c r="A9" s="63" t="s">
        <v>151</v>
      </c>
      <c r="B9" s="63" t="s">
        <v>299</v>
      </c>
      <c r="C9" s="171" t="s">
        <v>202</v>
      </c>
      <c r="D9" s="169">
        <f>输入值【2】!B5</f>
        <v>0</v>
      </c>
      <c r="E9" s="169">
        <f>输入值【2】!C5</f>
        <v>0</v>
      </c>
      <c r="F9" s="169" t="str">
        <f>输入值【2】!D5</f>
        <v>必填</v>
      </c>
      <c r="G9" s="169" t="e">
        <f>输入值【2】!E5</f>
        <v>#VALUE!</v>
      </c>
      <c r="H9" s="169" t="e">
        <f>输入值【2】!F5</f>
        <v>#VALUE!</v>
      </c>
      <c r="I9" s="169" t="e">
        <f>输入值【2】!G5</f>
        <v>#VALUE!</v>
      </c>
      <c r="J9" s="169" t="e">
        <f>输入值【2】!H5</f>
        <v>#VALUE!</v>
      </c>
      <c r="K9" s="169" t="e">
        <f>输入值【2】!I5</f>
        <v>#VALUE!</v>
      </c>
      <c r="L9" s="169" t="e">
        <f>输入值【2】!J5</f>
        <v>#VALUE!</v>
      </c>
      <c r="M9" s="169" t="e">
        <f>输入值【2】!K5</f>
        <v>#VALUE!</v>
      </c>
      <c r="N9" s="169" t="e">
        <f>输入值【2】!L5</f>
        <v>#VALUE!</v>
      </c>
      <c r="O9" s="169" t="e">
        <f>输入值【2】!M5</f>
        <v>#VALUE!</v>
      </c>
      <c r="P9" s="169" t="e">
        <f>输入值【2】!N5</f>
        <v>#VALUE!</v>
      </c>
      <c r="Q9" s="169" t="e">
        <f>输入值【2】!O5</f>
        <v>#VALUE!</v>
      </c>
      <c r="R9" s="169" t="e">
        <f>输入值【2】!P5</f>
        <v>#VALUE!</v>
      </c>
      <c r="S9" s="169" t="e">
        <f>输入值【2】!Q5</f>
        <v>#VALUE!</v>
      </c>
      <c r="T9" s="169" t="e">
        <f>输入值【2】!R5</f>
        <v>#VALUE!</v>
      </c>
      <c r="U9" s="169" t="e">
        <f>输入值【2】!S5</f>
        <v>#VALUE!</v>
      </c>
      <c r="V9" s="169" t="e">
        <f>输入值【2】!T5</f>
        <v>#VALUE!</v>
      </c>
      <c r="W9" s="169" t="e">
        <f>输入值【2】!U5</f>
        <v>#VALUE!</v>
      </c>
    </row>
    <row r="10" spans="1:23" ht="16.5" customHeight="1">
      <c r="A10" s="63" t="s">
        <v>152</v>
      </c>
      <c r="B10" s="63" t="s">
        <v>300</v>
      </c>
      <c r="C10" s="171" t="s">
        <v>202</v>
      </c>
      <c r="D10" s="169">
        <f>输入值【2】!B7</f>
        <v>0</v>
      </c>
      <c r="E10" s="169">
        <f>输入值【2】!C7</f>
        <v>0</v>
      </c>
      <c r="F10" s="169" t="e">
        <f>输入值【2】!D7</f>
        <v>#VALUE!</v>
      </c>
      <c r="G10" s="169" t="e">
        <f>输入值【2】!E7</f>
        <v>#VALUE!</v>
      </c>
      <c r="H10" s="169" t="e">
        <f>输入值【2】!F7</f>
        <v>#VALUE!</v>
      </c>
      <c r="I10" s="169" t="e">
        <f>输入值【2】!G7</f>
        <v>#VALUE!</v>
      </c>
      <c r="J10" s="169" t="e">
        <f>输入值【2】!H7</f>
        <v>#VALUE!</v>
      </c>
      <c r="K10" s="169" t="e">
        <f>输入值【2】!I7</f>
        <v>#VALUE!</v>
      </c>
      <c r="L10" s="169" t="e">
        <f>输入值【2】!J7</f>
        <v>#VALUE!</v>
      </c>
      <c r="M10" s="169" t="e">
        <f>输入值【2】!K7</f>
        <v>#VALUE!</v>
      </c>
      <c r="N10" s="169" t="e">
        <f>输入值【2】!L7</f>
        <v>#VALUE!</v>
      </c>
      <c r="O10" s="169" t="e">
        <f>输入值【2】!M7</f>
        <v>#VALUE!</v>
      </c>
      <c r="P10" s="169" t="e">
        <f>输入值【2】!N7</f>
        <v>#VALUE!</v>
      </c>
      <c r="Q10" s="169" t="e">
        <f>输入值【2】!O7</f>
        <v>#VALUE!</v>
      </c>
      <c r="R10" s="169" t="e">
        <f>输入值【2】!P7</f>
        <v>#VALUE!</v>
      </c>
      <c r="S10" s="169" t="e">
        <f>输入值【2】!Q7</f>
        <v>#VALUE!</v>
      </c>
      <c r="T10" s="169" t="e">
        <f>输入值【2】!R7</f>
        <v>#VALUE!</v>
      </c>
      <c r="U10" s="169" t="e">
        <f>输入值【2】!S7</f>
        <v>#VALUE!</v>
      </c>
      <c r="V10" s="169" t="e">
        <f>输入值【2】!T7</f>
        <v>#VALUE!</v>
      </c>
      <c r="W10" s="169" t="e">
        <f>输入值【2】!U7</f>
        <v>#VALUE!</v>
      </c>
    </row>
    <row r="11" spans="1:23" s="49" customFormat="1" ht="15">
      <c r="A11" s="76">
        <v>2</v>
      </c>
      <c r="B11" s="76" t="s">
        <v>308</v>
      </c>
      <c r="C11" s="174" t="e">
        <f t="shared" si="1"/>
        <v>#VALUE!</v>
      </c>
      <c r="D11" s="174">
        <f>D12+D15</f>
        <v>0</v>
      </c>
      <c r="E11" s="174">
        <f t="shared" ref="E11:W11" si="27">E12+E15</f>
        <v>0</v>
      </c>
      <c r="F11" s="174" t="e">
        <f t="shared" si="27"/>
        <v>#VALUE!</v>
      </c>
      <c r="G11" s="174" t="e">
        <f t="shared" si="27"/>
        <v>#VALUE!</v>
      </c>
      <c r="H11" s="174" t="e">
        <f t="shared" si="27"/>
        <v>#VALUE!</v>
      </c>
      <c r="I11" s="174" t="e">
        <f t="shared" si="27"/>
        <v>#VALUE!</v>
      </c>
      <c r="J11" s="174" t="e">
        <f t="shared" si="27"/>
        <v>#VALUE!</v>
      </c>
      <c r="K11" s="174" t="e">
        <f t="shared" si="27"/>
        <v>#VALUE!</v>
      </c>
      <c r="L11" s="174" t="e">
        <f t="shared" si="27"/>
        <v>#VALUE!</v>
      </c>
      <c r="M11" s="174" t="e">
        <f t="shared" si="27"/>
        <v>#VALUE!</v>
      </c>
      <c r="N11" s="174" t="e">
        <f t="shared" si="27"/>
        <v>#VALUE!</v>
      </c>
      <c r="O11" s="174" t="e">
        <f t="shared" si="27"/>
        <v>#VALUE!</v>
      </c>
      <c r="P11" s="174" t="e">
        <f t="shared" si="27"/>
        <v>#VALUE!</v>
      </c>
      <c r="Q11" s="174" t="e">
        <f t="shared" si="27"/>
        <v>#VALUE!</v>
      </c>
      <c r="R11" s="174" t="e">
        <f t="shared" si="27"/>
        <v>#VALUE!</v>
      </c>
      <c r="S11" s="174" t="e">
        <f t="shared" si="27"/>
        <v>#VALUE!</v>
      </c>
      <c r="T11" s="174" t="e">
        <f t="shared" si="27"/>
        <v>#VALUE!</v>
      </c>
      <c r="U11" s="174" t="e">
        <f t="shared" si="27"/>
        <v>#VALUE!</v>
      </c>
      <c r="V11" s="174" t="e">
        <f t="shared" si="27"/>
        <v>#VALUE!</v>
      </c>
      <c r="W11" s="174" t="e">
        <f t="shared" si="27"/>
        <v>#VALUE!</v>
      </c>
    </row>
    <row r="12" spans="1:23" ht="15">
      <c r="A12" s="63">
        <v>2.1</v>
      </c>
      <c r="B12" s="63" t="s">
        <v>302</v>
      </c>
      <c r="C12" s="171" t="e">
        <f t="shared" si="1"/>
        <v>#VALUE!</v>
      </c>
      <c r="D12" s="169">
        <f>D13*D14/10000</f>
        <v>0</v>
      </c>
      <c r="E12" s="169">
        <f t="shared" ref="E12:W12" si="28">E13*E14/10000</f>
        <v>0</v>
      </c>
      <c r="F12" s="169" t="e">
        <f t="shared" si="28"/>
        <v>#VALUE!</v>
      </c>
      <c r="G12" s="169" t="e">
        <f t="shared" si="28"/>
        <v>#VALUE!</v>
      </c>
      <c r="H12" s="169" t="e">
        <f t="shared" si="28"/>
        <v>#VALUE!</v>
      </c>
      <c r="I12" s="169" t="e">
        <f t="shared" si="28"/>
        <v>#VALUE!</v>
      </c>
      <c r="J12" s="169" t="e">
        <f t="shared" si="28"/>
        <v>#VALUE!</v>
      </c>
      <c r="K12" s="169" t="e">
        <f t="shared" si="28"/>
        <v>#VALUE!</v>
      </c>
      <c r="L12" s="169" t="e">
        <f t="shared" si="28"/>
        <v>#VALUE!</v>
      </c>
      <c r="M12" s="169" t="e">
        <f t="shared" si="28"/>
        <v>#VALUE!</v>
      </c>
      <c r="N12" s="169" t="e">
        <f t="shared" si="28"/>
        <v>#VALUE!</v>
      </c>
      <c r="O12" s="169" t="e">
        <f t="shared" si="28"/>
        <v>#VALUE!</v>
      </c>
      <c r="P12" s="169" t="e">
        <f t="shared" si="28"/>
        <v>#VALUE!</v>
      </c>
      <c r="Q12" s="169" t="e">
        <f t="shared" si="28"/>
        <v>#VALUE!</v>
      </c>
      <c r="R12" s="169" t="e">
        <f t="shared" si="28"/>
        <v>#VALUE!</v>
      </c>
      <c r="S12" s="169" t="e">
        <f t="shared" si="28"/>
        <v>#VALUE!</v>
      </c>
      <c r="T12" s="169" t="e">
        <f t="shared" si="28"/>
        <v>#VALUE!</v>
      </c>
      <c r="U12" s="169" t="e">
        <f t="shared" si="28"/>
        <v>#VALUE!</v>
      </c>
      <c r="V12" s="169" t="e">
        <f t="shared" si="28"/>
        <v>#VALUE!</v>
      </c>
      <c r="W12" s="169" t="e">
        <f t="shared" si="28"/>
        <v>#VALUE!</v>
      </c>
    </row>
    <row r="13" spans="1:23" ht="15">
      <c r="A13" s="63" t="s">
        <v>209</v>
      </c>
      <c r="B13" s="63" t="s">
        <v>303</v>
      </c>
      <c r="C13" s="171" t="s">
        <v>202</v>
      </c>
      <c r="D13" s="169">
        <f>输入值【2】!B29</f>
        <v>0</v>
      </c>
      <c r="E13" s="169">
        <f>输入值【2】!C29</f>
        <v>0</v>
      </c>
      <c r="F13" s="169" t="str">
        <f>输入值【2】!D29</f>
        <v>必填</v>
      </c>
      <c r="G13" s="169" t="e">
        <f>输入值【2】!E29</f>
        <v>#VALUE!</v>
      </c>
      <c r="H13" s="169" t="e">
        <f>输入值【2】!F29</f>
        <v>#VALUE!</v>
      </c>
      <c r="I13" s="169" t="e">
        <f>输入值【2】!G29</f>
        <v>#VALUE!</v>
      </c>
      <c r="J13" s="169" t="e">
        <f>输入值【2】!H29</f>
        <v>#VALUE!</v>
      </c>
      <c r="K13" s="169" t="e">
        <f>输入值【2】!I29</f>
        <v>#VALUE!</v>
      </c>
      <c r="L13" s="169" t="e">
        <f>输入值【2】!J29</f>
        <v>#VALUE!</v>
      </c>
      <c r="M13" s="169" t="e">
        <f>输入值【2】!K29</f>
        <v>#VALUE!</v>
      </c>
      <c r="N13" s="169" t="e">
        <f>输入值【2】!L29</f>
        <v>#VALUE!</v>
      </c>
      <c r="O13" s="169" t="e">
        <f>输入值【2】!M29</f>
        <v>#VALUE!</v>
      </c>
      <c r="P13" s="169" t="e">
        <f>输入值【2】!N29</f>
        <v>#VALUE!</v>
      </c>
      <c r="Q13" s="169" t="e">
        <f>输入值【2】!O29</f>
        <v>#VALUE!</v>
      </c>
      <c r="R13" s="169" t="e">
        <f>输入值【2】!P29</f>
        <v>#VALUE!</v>
      </c>
      <c r="S13" s="169" t="e">
        <f>输入值【2】!Q29</f>
        <v>#VALUE!</v>
      </c>
      <c r="T13" s="169" t="e">
        <f>输入值【2】!R29</f>
        <v>#VALUE!</v>
      </c>
      <c r="U13" s="169" t="e">
        <f>输入值【2】!S29</f>
        <v>#VALUE!</v>
      </c>
      <c r="V13" s="169" t="e">
        <f>输入值【2】!T29</f>
        <v>#VALUE!</v>
      </c>
      <c r="W13" s="169" t="e">
        <f>输入值【2】!U29</f>
        <v>#VALUE!</v>
      </c>
    </row>
    <row r="14" spans="1:23" ht="15">
      <c r="A14" s="63" t="s">
        <v>210</v>
      </c>
      <c r="B14" s="63" t="s">
        <v>304</v>
      </c>
      <c r="C14" s="171" t="s">
        <v>202</v>
      </c>
      <c r="D14" s="169">
        <f>输入值【2】!B31</f>
        <v>0</v>
      </c>
      <c r="E14" s="169">
        <f>输入值【2】!C31</f>
        <v>0</v>
      </c>
      <c r="F14" s="169" t="e">
        <f>输入值【2】!D31</f>
        <v>#VALUE!</v>
      </c>
      <c r="G14" s="169" t="e">
        <f>输入值【2】!E31</f>
        <v>#VALUE!</v>
      </c>
      <c r="H14" s="169" t="e">
        <f>输入值【2】!F31</f>
        <v>#VALUE!</v>
      </c>
      <c r="I14" s="169" t="e">
        <f>输入值【2】!G31</f>
        <v>#VALUE!</v>
      </c>
      <c r="J14" s="169" t="e">
        <f>输入值【2】!H31</f>
        <v>#VALUE!</v>
      </c>
      <c r="K14" s="169" t="e">
        <f>输入值【2】!I31</f>
        <v>#VALUE!</v>
      </c>
      <c r="L14" s="169" t="e">
        <f>输入值【2】!J31</f>
        <v>#VALUE!</v>
      </c>
      <c r="M14" s="169" t="e">
        <f>输入值【2】!K31</f>
        <v>#VALUE!</v>
      </c>
      <c r="N14" s="169" t="e">
        <f>输入值【2】!L31</f>
        <v>#VALUE!</v>
      </c>
      <c r="O14" s="169" t="e">
        <f>输入值【2】!M31</f>
        <v>#VALUE!</v>
      </c>
      <c r="P14" s="169" t="e">
        <f>输入值【2】!N31</f>
        <v>#VALUE!</v>
      </c>
      <c r="Q14" s="169" t="e">
        <f>输入值【2】!O31</f>
        <v>#VALUE!</v>
      </c>
      <c r="R14" s="169" t="e">
        <f>输入值【2】!P31</f>
        <v>#VALUE!</v>
      </c>
      <c r="S14" s="169" t="e">
        <f>输入值【2】!Q31</f>
        <v>#VALUE!</v>
      </c>
      <c r="T14" s="169" t="e">
        <f>输入值【2】!R31</f>
        <v>#VALUE!</v>
      </c>
      <c r="U14" s="169" t="e">
        <f>输入值【2】!S31</f>
        <v>#VALUE!</v>
      </c>
      <c r="V14" s="169" t="e">
        <f>输入值【2】!T31</f>
        <v>#VALUE!</v>
      </c>
      <c r="W14" s="169" t="e">
        <f>输入值【2】!U31</f>
        <v>#VALUE!</v>
      </c>
    </row>
    <row r="15" spans="1:23" ht="15">
      <c r="A15" s="63">
        <v>2.2000000000000002</v>
      </c>
      <c r="B15" s="63" t="s">
        <v>305</v>
      </c>
      <c r="C15" s="171" t="e">
        <f t="shared" si="1"/>
        <v>#VALUE!</v>
      </c>
      <c r="D15" s="169">
        <f>D16*D17*365/10000</f>
        <v>0</v>
      </c>
      <c r="E15" s="169">
        <f t="shared" ref="E15:W15" si="29">E16*E17*365/10000</f>
        <v>0</v>
      </c>
      <c r="F15" s="169" t="e">
        <f t="shared" si="29"/>
        <v>#VALUE!</v>
      </c>
      <c r="G15" s="169" t="e">
        <f t="shared" si="29"/>
        <v>#VALUE!</v>
      </c>
      <c r="H15" s="169" t="e">
        <f t="shared" si="29"/>
        <v>#VALUE!</v>
      </c>
      <c r="I15" s="169" t="e">
        <f t="shared" si="29"/>
        <v>#VALUE!</v>
      </c>
      <c r="J15" s="169" t="e">
        <f t="shared" si="29"/>
        <v>#VALUE!</v>
      </c>
      <c r="K15" s="169" t="e">
        <f t="shared" si="29"/>
        <v>#VALUE!</v>
      </c>
      <c r="L15" s="169" t="e">
        <f t="shared" si="29"/>
        <v>#VALUE!</v>
      </c>
      <c r="M15" s="169" t="e">
        <f t="shared" si="29"/>
        <v>#VALUE!</v>
      </c>
      <c r="N15" s="169" t="e">
        <f t="shared" si="29"/>
        <v>#VALUE!</v>
      </c>
      <c r="O15" s="169" t="e">
        <f t="shared" si="29"/>
        <v>#VALUE!</v>
      </c>
      <c r="P15" s="169" t="e">
        <f t="shared" si="29"/>
        <v>#VALUE!</v>
      </c>
      <c r="Q15" s="169" t="e">
        <f t="shared" si="29"/>
        <v>#VALUE!</v>
      </c>
      <c r="R15" s="169" t="e">
        <f t="shared" si="29"/>
        <v>#VALUE!</v>
      </c>
      <c r="S15" s="169" t="e">
        <f t="shared" si="29"/>
        <v>#VALUE!</v>
      </c>
      <c r="T15" s="169" t="e">
        <f t="shared" si="29"/>
        <v>#VALUE!</v>
      </c>
      <c r="U15" s="169" t="e">
        <f t="shared" si="29"/>
        <v>#VALUE!</v>
      </c>
      <c r="V15" s="169" t="e">
        <f t="shared" si="29"/>
        <v>#VALUE!</v>
      </c>
      <c r="W15" s="169" t="e">
        <f t="shared" si="29"/>
        <v>#VALUE!</v>
      </c>
    </row>
    <row r="16" spans="1:23" ht="15">
      <c r="A16" s="63" t="s">
        <v>99</v>
      </c>
      <c r="B16" s="63" t="s">
        <v>306</v>
      </c>
      <c r="C16" s="171" t="s">
        <v>202</v>
      </c>
      <c r="D16" s="169">
        <f>输入值【2】!B21</f>
        <v>0</v>
      </c>
      <c r="E16" s="169">
        <f>输入值【2】!C21</f>
        <v>0</v>
      </c>
      <c r="F16" s="169" t="str">
        <f>输入值【2】!D21</f>
        <v>必填</v>
      </c>
      <c r="G16" s="169" t="e">
        <f>输入值【2】!E21</f>
        <v>#VALUE!</v>
      </c>
      <c r="H16" s="169" t="e">
        <f>输入值【2】!F21</f>
        <v>#VALUE!</v>
      </c>
      <c r="I16" s="169" t="e">
        <f>输入值【2】!G21</f>
        <v>#VALUE!</v>
      </c>
      <c r="J16" s="169" t="e">
        <f>输入值【2】!H21</f>
        <v>#VALUE!</v>
      </c>
      <c r="K16" s="169" t="e">
        <f>输入值【2】!I21</f>
        <v>#VALUE!</v>
      </c>
      <c r="L16" s="169" t="e">
        <f>输入值【2】!J21</f>
        <v>#VALUE!</v>
      </c>
      <c r="M16" s="169" t="e">
        <f>输入值【2】!K21</f>
        <v>#VALUE!</v>
      </c>
      <c r="N16" s="169" t="e">
        <f>输入值【2】!L21</f>
        <v>#VALUE!</v>
      </c>
      <c r="O16" s="169" t="e">
        <f>输入值【2】!M21</f>
        <v>#VALUE!</v>
      </c>
      <c r="P16" s="169" t="e">
        <f>输入值【2】!N21</f>
        <v>#VALUE!</v>
      </c>
      <c r="Q16" s="169" t="e">
        <f>输入值【2】!O21</f>
        <v>#VALUE!</v>
      </c>
      <c r="R16" s="169" t="e">
        <f>输入值【2】!P21</f>
        <v>#VALUE!</v>
      </c>
      <c r="S16" s="169" t="e">
        <f>输入值【2】!Q21</f>
        <v>#VALUE!</v>
      </c>
      <c r="T16" s="169" t="e">
        <f>输入值【2】!R21</f>
        <v>#VALUE!</v>
      </c>
      <c r="U16" s="169" t="e">
        <f>输入值【2】!S21</f>
        <v>#VALUE!</v>
      </c>
      <c r="V16" s="169" t="e">
        <f>输入值【2】!T21</f>
        <v>#VALUE!</v>
      </c>
      <c r="W16" s="169" t="e">
        <f>输入值【2】!U21</f>
        <v>#VALUE!</v>
      </c>
    </row>
    <row r="17" spans="1:23" ht="15">
      <c r="A17" s="63" t="s">
        <v>217</v>
      </c>
      <c r="B17" s="63" t="s">
        <v>307</v>
      </c>
      <c r="C17" s="171" t="s">
        <v>202</v>
      </c>
      <c r="D17" s="169">
        <f>输入值【2】!B23</f>
        <v>0</v>
      </c>
      <c r="E17" s="169">
        <f>输入值【2】!C23</f>
        <v>0</v>
      </c>
      <c r="F17" s="169" t="e">
        <f>输入值【2】!D23</f>
        <v>#VALUE!</v>
      </c>
      <c r="G17" s="169" t="e">
        <f>输入值【2】!E23</f>
        <v>#VALUE!</v>
      </c>
      <c r="H17" s="169" t="e">
        <f>输入值【2】!F23</f>
        <v>#VALUE!</v>
      </c>
      <c r="I17" s="169" t="e">
        <f>输入值【2】!G23</f>
        <v>#VALUE!</v>
      </c>
      <c r="J17" s="169" t="e">
        <f>输入值【2】!H23</f>
        <v>#VALUE!</v>
      </c>
      <c r="K17" s="169" t="e">
        <f>输入值【2】!I23</f>
        <v>#VALUE!</v>
      </c>
      <c r="L17" s="169" t="e">
        <f>输入值【2】!J23</f>
        <v>#VALUE!</v>
      </c>
      <c r="M17" s="169" t="e">
        <f>输入值【2】!K23</f>
        <v>#VALUE!</v>
      </c>
      <c r="N17" s="169" t="e">
        <f>输入值【2】!L23</f>
        <v>#VALUE!</v>
      </c>
      <c r="O17" s="169" t="e">
        <f>输入值【2】!M23</f>
        <v>#VALUE!</v>
      </c>
      <c r="P17" s="169" t="e">
        <f>输入值【2】!N23</f>
        <v>#VALUE!</v>
      </c>
      <c r="Q17" s="169" t="e">
        <f>输入值【2】!O23</f>
        <v>#VALUE!</v>
      </c>
      <c r="R17" s="169" t="e">
        <f>输入值【2】!P23</f>
        <v>#VALUE!</v>
      </c>
      <c r="S17" s="169" t="e">
        <f>输入值【2】!Q23</f>
        <v>#VALUE!</v>
      </c>
      <c r="T17" s="169" t="e">
        <f>输入值【2】!R23</f>
        <v>#VALUE!</v>
      </c>
      <c r="U17" s="169" t="e">
        <f>输入值【2】!S23</f>
        <v>#VALUE!</v>
      </c>
      <c r="V17" s="169" t="e">
        <f>输入值【2】!T23</f>
        <v>#VALUE!</v>
      </c>
      <c r="W17" s="169" t="e">
        <f>输入值【2】!U23</f>
        <v>#VALUE!</v>
      </c>
    </row>
    <row r="18" spans="1:23" s="49" customFormat="1" ht="15">
      <c r="A18" s="76">
        <v>3</v>
      </c>
      <c r="B18" s="76" t="s">
        <v>309</v>
      </c>
      <c r="C18" s="174" t="e">
        <f t="shared" si="1"/>
        <v>#VALUE!</v>
      </c>
      <c r="D18" s="174">
        <f>D19+D22</f>
        <v>0</v>
      </c>
      <c r="E18" s="174">
        <f t="shared" ref="E18" si="30">E19+E22</f>
        <v>0</v>
      </c>
      <c r="F18" s="174" t="e">
        <f t="shared" ref="F18" si="31">F19+F22</f>
        <v>#VALUE!</v>
      </c>
      <c r="G18" s="174" t="e">
        <f t="shared" ref="G18" si="32">G19+G22</f>
        <v>#VALUE!</v>
      </c>
      <c r="H18" s="174" t="e">
        <f t="shared" ref="H18" si="33">H19+H22</f>
        <v>#VALUE!</v>
      </c>
      <c r="I18" s="174" t="e">
        <f t="shared" ref="I18" si="34">I19+I22</f>
        <v>#VALUE!</v>
      </c>
      <c r="J18" s="174" t="e">
        <f t="shared" ref="J18" si="35">J19+J22</f>
        <v>#VALUE!</v>
      </c>
      <c r="K18" s="174" t="e">
        <f t="shared" ref="K18" si="36">K19+K22</f>
        <v>#VALUE!</v>
      </c>
      <c r="L18" s="174" t="e">
        <f t="shared" ref="L18" si="37">L19+L22</f>
        <v>#VALUE!</v>
      </c>
      <c r="M18" s="174" t="e">
        <f t="shared" ref="M18" si="38">M19+M22</f>
        <v>#VALUE!</v>
      </c>
      <c r="N18" s="174" t="e">
        <f t="shared" ref="N18" si="39">N19+N22</f>
        <v>#VALUE!</v>
      </c>
      <c r="O18" s="174" t="e">
        <f t="shared" ref="O18" si="40">O19+O22</f>
        <v>#VALUE!</v>
      </c>
      <c r="P18" s="174" t="e">
        <f t="shared" ref="P18" si="41">P19+P22</f>
        <v>#VALUE!</v>
      </c>
      <c r="Q18" s="174" t="e">
        <f t="shared" ref="Q18" si="42">Q19+Q22</f>
        <v>#VALUE!</v>
      </c>
      <c r="R18" s="174" t="e">
        <f t="shared" ref="R18" si="43">R19+R22</f>
        <v>#VALUE!</v>
      </c>
      <c r="S18" s="174" t="e">
        <f t="shared" ref="S18" si="44">S19+S22</f>
        <v>#VALUE!</v>
      </c>
      <c r="T18" s="174" t="e">
        <f t="shared" ref="T18" si="45">T19+T22</f>
        <v>#VALUE!</v>
      </c>
      <c r="U18" s="174" t="e">
        <f t="shared" ref="U18" si="46">U19+U22</f>
        <v>#VALUE!</v>
      </c>
      <c r="V18" s="174" t="e">
        <f t="shared" ref="V18" si="47">V19+V22</f>
        <v>#VALUE!</v>
      </c>
      <c r="W18" s="174" t="e">
        <f t="shared" ref="W18" si="48">W19+W22</f>
        <v>#VALUE!</v>
      </c>
    </row>
    <row r="19" spans="1:23" ht="15">
      <c r="A19" s="63">
        <v>3.1</v>
      </c>
      <c r="B19" s="63" t="s">
        <v>312</v>
      </c>
      <c r="C19" s="171" t="e">
        <f t="shared" si="1"/>
        <v>#VALUE!</v>
      </c>
      <c r="D19" s="169">
        <f>D20*D21/10000</f>
        <v>0</v>
      </c>
      <c r="E19" s="169">
        <f t="shared" ref="E19:W19" si="49">E20*E21/10000</f>
        <v>0</v>
      </c>
      <c r="F19" s="169" t="e">
        <f t="shared" si="49"/>
        <v>#VALUE!</v>
      </c>
      <c r="G19" s="169" t="e">
        <f t="shared" si="49"/>
        <v>#VALUE!</v>
      </c>
      <c r="H19" s="169" t="e">
        <f t="shared" si="49"/>
        <v>#VALUE!</v>
      </c>
      <c r="I19" s="169" t="e">
        <f t="shared" si="49"/>
        <v>#VALUE!</v>
      </c>
      <c r="J19" s="169" t="e">
        <f t="shared" si="49"/>
        <v>#VALUE!</v>
      </c>
      <c r="K19" s="169" t="e">
        <f t="shared" si="49"/>
        <v>#VALUE!</v>
      </c>
      <c r="L19" s="169" t="e">
        <f t="shared" si="49"/>
        <v>#VALUE!</v>
      </c>
      <c r="M19" s="169" t="e">
        <f t="shared" si="49"/>
        <v>#VALUE!</v>
      </c>
      <c r="N19" s="169" t="e">
        <f t="shared" si="49"/>
        <v>#VALUE!</v>
      </c>
      <c r="O19" s="169" t="e">
        <f t="shared" si="49"/>
        <v>#VALUE!</v>
      </c>
      <c r="P19" s="169" t="e">
        <f t="shared" si="49"/>
        <v>#VALUE!</v>
      </c>
      <c r="Q19" s="169" t="e">
        <f t="shared" si="49"/>
        <v>#VALUE!</v>
      </c>
      <c r="R19" s="169" t="e">
        <f t="shared" si="49"/>
        <v>#VALUE!</v>
      </c>
      <c r="S19" s="169" t="e">
        <f t="shared" si="49"/>
        <v>#VALUE!</v>
      </c>
      <c r="T19" s="169" t="e">
        <f t="shared" si="49"/>
        <v>#VALUE!</v>
      </c>
      <c r="U19" s="169" t="e">
        <f t="shared" si="49"/>
        <v>#VALUE!</v>
      </c>
      <c r="V19" s="169" t="e">
        <f t="shared" si="49"/>
        <v>#VALUE!</v>
      </c>
      <c r="W19" s="169" t="e">
        <f t="shared" si="49"/>
        <v>#VALUE!</v>
      </c>
    </row>
    <row r="20" spans="1:23" ht="15">
      <c r="A20" s="63" t="s">
        <v>220</v>
      </c>
      <c r="B20" s="63" t="s">
        <v>313</v>
      </c>
      <c r="C20" s="171" t="s">
        <v>202</v>
      </c>
      <c r="D20" s="169">
        <f>输入值【2】!B45</f>
        <v>0</v>
      </c>
      <c r="E20" s="169">
        <f>输入值【2】!C45</f>
        <v>0</v>
      </c>
      <c r="F20" s="169" t="str">
        <f>输入值【2】!D45</f>
        <v>必填</v>
      </c>
      <c r="G20" s="169" t="e">
        <f>输入值【2】!E45</f>
        <v>#VALUE!</v>
      </c>
      <c r="H20" s="169" t="e">
        <f>输入值【2】!F45</f>
        <v>#VALUE!</v>
      </c>
      <c r="I20" s="169" t="e">
        <f>输入值【2】!G45</f>
        <v>#VALUE!</v>
      </c>
      <c r="J20" s="169" t="e">
        <f>输入值【2】!H45</f>
        <v>#VALUE!</v>
      </c>
      <c r="K20" s="169" t="e">
        <f>输入值【2】!I45</f>
        <v>#VALUE!</v>
      </c>
      <c r="L20" s="169" t="e">
        <f>输入值【2】!J45</f>
        <v>#VALUE!</v>
      </c>
      <c r="M20" s="169" t="e">
        <f>输入值【2】!K45</f>
        <v>#VALUE!</v>
      </c>
      <c r="N20" s="169" t="e">
        <f>输入值【2】!L45</f>
        <v>#VALUE!</v>
      </c>
      <c r="O20" s="169" t="e">
        <f>输入值【2】!M45</f>
        <v>#VALUE!</v>
      </c>
      <c r="P20" s="169" t="e">
        <f>输入值【2】!N45</f>
        <v>#VALUE!</v>
      </c>
      <c r="Q20" s="169" t="e">
        <f>输入值【2】!O45</f>
        <v>#VALUE!</v>
      </c>
      <c r="R20" s="169" t="e">
        <f>输入值【2】!P45</f>
        <v>#VALUE!</v>
      </c>
      <c r="S20" s="169" t="e">
        <f>输入值【2】!Q45</f>
        <v>#VALUE!</v>
      </c>
      <c r="T20" s="169" t="e">
        <f>输入值【2】!R45</f>
        <v>#VALUE!</v>
      </c>
      <c r="U20" s="169" t="e">
        <f>输入值【2】!S45</f>
        <v>#VALUE!</v>
      </c>
      <c r="V20" s="169" t="e">
        <f>输入值【2】!T45</f>
        <v>#VALUE!</v>
      </c>
      <c r="W20" s="169" t="e">
        <f>输入值【2】!U45</f>
        <v>#VALUE!</v>
      </c>
    </row>
    <row r="21" spans="1:23" ht="15">
      <c r="A21" s="63" t="s">
        <v>310</v>
      </c>
      <c r="B21" s="63" t="s">
        <v>314</v>
      </c>
      <c r="C21" s="171" t="s">
        <v>202</v>
      </c>
      <c r="D21" s="169">
        <f>输入值【2】!B47</f>
        <v>0</v>
      </c>
      <c r="E21" s="169">
        <f>输入值【2】!C47</f>
        <v>0</v>
      </c>
      <c r="F21" s="169" t="e">
        <f>输入值【2】!D47</f>
        <v>#VALUE!</v>
      </c>
      <c r="G21" s="169" t="e">
        <f>输入值【2】!E47</f>
        <v>#VALUE!</v>
      </c>
      <c r="H21" s="169" t="e">
        <f>输入值【2】!F47</f>
        <v>#VALUE!</v>
      </c>
      <c r="I21" s="169" t="e">
        <f>输入值【2】!G47</f>
        <v>#VALUE!</v>
      </c>
      <c r="J21" s="169" t="e">
        <f>输入值【2】!H47</f>
        <v>#VALUE!</v>
      </c>
      <c r="K21" s="169" t="e">
        <f>输入值【2】!I47</f>
        <v>#VALUE!</v>
      </c>
      <c r="L21" s="169" t="e">
        <f>输入值【2】!J47</f>
        <v>#VALUE!</v>
      </c>
      <c r="M21" s="169" t="e">
        <f>输入值【2】!K47</f>
        <v>#VALUE!</v>
      </c>
      <c r="N21" s="169" t="e">
        <f>输入值【2】!L47</f>
        <v>#VALUE!</v>
      </c>
      <c r="O21" s="169" t="e">
        <f>输入值【2】!M47</f>
        <v>#VALUE!</v>
      </c>
      <c r="P21" s="169" t="e">
        <f>输入值【2】!N47</f>
        <v>#VALUE!</v>
      </c>
      <c r="Q21" s="169" t="e">
        <f>输入值【2】!O47</f>
        <v>#VALUE!</v>
      </c>
      <c r="R21" s="169" t="e">
        <f>输入值【2】!P47</f>
        <v>#VALUE!</v>
      </c>
      <c r="S21" s="169" t="e">
        <f>输入值【2】!Q47</f>
        <v>#VALUE!</v>
      </c>
      <c r="T21" s="169" t="e">
        <f>输入值【2】!R47</f>
        <v>#VALUE!</v>
      </c>
      <c r="U21" s="169" t="e">
        <f>输入值【2】!S47</f>
        <v>#VALUE!</v>
      </c>
      <c r="V21" s="169" t="e">
        <f>输入值【2】!T47</f>
        <v>#VALUE!</v>
      </c>
      <c r="W21" s="169" t="e">
        <f>输入值【2】!U47</f>
        <v>#VALUE!</v>
      </c>
    </row>
    <row r="22" spans="1:23" ht="15">
      <c r="A22" s="63">
        <v>3.2</v>
      </c>
      <c r="B22" s="63" t="s">
        <v>315</v>
      </c>
      <c r="C22" s="171" t="e">
        <f t="shared" si="1"/>
        <v>#VALUE!</v>
      </c>
      <c r="D22" s="169">
        <f>D23*D24*365/10000</f>
        <v>0</v>
      </c>
      <c r="E22" s="169">
        <f t="shared" ref="E22:W22" si="50">E23*E24*365/10000</f>
        <v>0</v>
      </c>
      <c r="F22" s="169" t="e">
        <f t="shared" si="50"/>
        <v>#VALUE!</v>
      </c>
      <c r="G22" s="169" t="e">
        <f t="shared" si="50"/>
        <v>#VALUE!</v>
      </c>
      <c r="H22" s="169" t="e">
        <f t="shared" si="50"/>
        <v>#VALUE!</v>
      </c>
      <c r="I22" s="169" t="e">
        <f t="shared" si="50"/>
        <v>#VALUE!</v>
      </c>
      <c r="J22" s="169" t="e">
        <f t="shared" si="50"/>
        <v>#VALUE!</v>
      </c>
      <c r="K22" s="169" t="e">
        <f t="shared" si="50"/>
        <v>#VALUE!</v>
      </c>
      <c r="L22" s="169" t="e">
        <f t="shared" si="50"/>
        <v>#VALUE!</v>
      </c>
      <c r="M22" s="169" t="e">
        <f t="shared" si="50"/>
        <v>#VALUE!</v>
      </c>
      <c r="N22" s="169" t="e">
        <f t="shared" si="50"/>
        <v>#VALUE!</v>
      </c>
      <c r="O22" s="169" t="e">
        <f t="shared" si="50"/>
        <v>#VALUE!</v>
      </c>
      <c r="P22" s="169" t="e">
        <f t="shared" si="50"/>
        <v>#VALUE!</v>
      </c>
      <c r="Q22" s="169" t="e">
        <f t="shared" si="50"/>
        <v>#VALUE!</v>
      </c>
      <c r="R22" s="169" t="e">
        <f t="shared" si="50"/>
        <v>#VALUE!</v>
      </c>
      <c r="S22" s="169" t="e">
        <f t="shared" si="50"/>
        <v>#VALUE!</v>
      </c>
      <c r="T22" s="169" t="e">
        <f t="shared" si="50"/>
        <v>#VALUE!</v>
      </c>
      <c r="U22" s="169" t="e">
        <f t="shared" si="50"/>
        <v>#VALUE!</v>
      </c>
      <c r="V22" s="169" t="e">
        <f t="shared" si="50"/>
        <v>#VALUE!</v>
      </c>
      <c r="W22" s="169" t="e">
        <f t="shared" si="50"/>
        <v>#VALUE!</v>
      </c>
    </row>
    <row r="23" spans="1:23" ht="15">
      <c r="A23" s="63" t="s">
        <v>229</v>
      </c>
      <c r="B23" s="63" t="s">
        <v>316</v>
      </c>
      <c r="C23" s="171" t="s">
        <v>202</v>
      </c>
      <c r="D23" s="169">
        <f>输入值【2】!B37</f>
        <v>0</v>
      </c>
      <c r="E23" s="169">
        <f>输入值【2】!C37</f>
        <v>0</v>
      </c>
      <c r="F23" s="169" t="str">
        <f>输入值【2】!D37</f>
        <v>必填</v>
      </c>
      <c r="G23" s="169" t="e">
        <f>输入值【2】!E37</f>
        <v>#VALUE!</v>
      </c>
      <c r="H23" s="169" t="e">
        <f>输入值【2】!F37</f>
        <v>#VALUE!</v>
      </c>
      <c r="I23" s="169" t="e">
        <f>输入值【2】!G37</f>
        <v>#VALUE!</v>
      </c>
      <c r="J23" s="169" t="e">
        <f>输入值【2】!H37</f>
        <v>#VALUE!</v>
      </c>
      <c r="K23" s="169" t="e">
        <f>输入值【2】!I37</f>
        <v>#VALUE!</v>
      </c>
      <c r="L23" s="169" t="e">
        <f>输入值【2】!J37</f>
        <v>#VALUE!</v>
      </c>
      <c r="M23" s="169" t="e">
        <f>输入值【2】!K37</f>
        <v>#VALUE!</v>
      </c>
      <c r="N23" s="169" t="e">
        <f>输入值【2】!L37</f>
        <v>#VALUE!</v>
      </c>
      <c r="O23" s="169" t="e">
        <f>输入值【2】!M37</f>
        <v>#VALUE!</v>
      </c>
      <c r="P23" s="169" t="e">
        <f>输入值【2】!N37</f>
        <v>#VALUE!</v>
      </c>
      <c r="Q23" s="169" t="e">
        <f>输入值【2】!O37</f>
        <v>#VALUE!</v>
      </c>
      <c r="R23" s="169" t="e">
        <f>输入值【2】!P37</f>
        <v>#VALUE!</v>
      </c>
      <c r="S23" s="169" t="e">
        <f>输入值【2】!Q37</f>
        <v>#VALUE!</v>
      </c>
      <c r="T23" s="169" t="e">
        <f>输入值【2】!R37</f>
        <v>#VALUE!</v>
      </c>
      <c r="U23" s="169" t="e">
        <f>输入值【2】!S37</f>
        <v>#VALUE!</v>
      </c>
      <c r="V23" s="169" t="e">
        <f>输入值【2】!T37</f>
        <v>#VALUE!</v>
      </c>
      <c r="W23" s="169" t="e">
        <f>输入值【2】!U37</f>
        <v>#VALUE!</v>
      </c>
    </row>
    <row r="24" spans="1:23" ht="15">
      <c r="A24" s="63" t="s">
        <v>230</v>
      </c>
      <c r="B24" s="63" t="s">
        <v>317</v>
      </c>
      <c r="C24" s="171" t="s">
        <v>202</v>
      </c>
      <c r="D24" s="169">
        <f>输入值【2】!B39</f>
        <v>0</v>
      </c>
      <c r="E24" s="169">
        <f>输入值【2】!C39</f>
        <v>0</v>
      </c>
      <c r="F24" s="169" t="e">
        <f>输入值【2】!D39</f>
        <v>#VALUE!</v>
      </c>
      <c r="G24" s="169" t="e">
        <f>输入值【2】!E39</f>
        <v>#VALUE!</v>
      </c>
      <c r="H24" s="169" t="e">
        <f>输入值【2】!F39</f>
        <v>#VALUE!</v>
      </c>
      <c r="I24" s="169" t="e">
        <f>输入值【2】!G39</f>
        <v>#VALUE!</v>
      </c>
      <c r="J24" s="169" t="e">
        <f>输入值【2】!H39</f>
        <v>#VALUE!</v>
      </c>
      <c r="K24" s="169" t="e">
        <f>输入值【2】!I39</f>
        <v>#VALUE!</v>
      </c>
      <c r="L24" s="169" t="e">
        <f>输入值【2】!J39</f>
        <v>#VALUE!</v>
      </c>
      <c r="M24" s="169" t="e">
        <f>输入值【2】!K39</f>
        <v>#VALUE!</v>
      </c>
      <c r="N24" s="169" t="e">
        <f>输入值【2】!L39</f>
        <v>#VALUE!</v>
      </c>
      <c r="O24" s="169" t="e">
        <f>输入值【2】!M39</f>
        <v>#VALUE!</v>
      </c>
      <c r="P24" s="169" t="e">
        <f>输入值【2】!N39</f>
        <v>#VALUE!</v>
      </c>
      <c r="Q24" s="169" t="e">
        <f>输入值【2】!O39</f>
        <v>#VALUE!</v>
      </c>
      <c r="R24" s="169" t="e">
        <f>输入值【2】!P39</f>
        <v>#VALUE!</v>
      </c>
      <c r="S24" s="169" t="e">
        <f>输入值【2】!Q39</f>
        <v>#VALUE!</v>
      </c>
      <c r="T24" s="169" t="e">
        <f>输入值【2】!R39</f>
        <v>#VALUE!</v>
      </c>
      <c r="U24" s="169" t="e">
        <f>输入值【2】!S39</f>
        <v>#VALUE!</v>
      </c>
      <c r="V24" s="169" t="e">
        <f>输入值【2】!T39</f>
        <v>#VALUE!</v>
      </c>
      <c r="W24" s="169" t="e">
        <f>输入值【2】!U39</f>
        <v>#VALUE!</v>
      </c>
    </row>
    <row r="25" spans="1:23" ht="15">
      <c r="A25" s="76">
        <v>4</v>
      </c>
      <c r="B25" s="76" t="s">
        <v>311</v>
      </c>
      <c r="C25" s="174" t="e">
        <f t="shared" ref="C25" si="51">SUM(D25:W25)</f>
        <v>#VALUE!</v>
      </c>
      <c r="D25" s="174">
        <f>D26+D29</f>
        <v>0</v>
      </c>
      <c r="E25" s="174">
        <f t="shared" ref="E25" si="52">E26+E29</f>
        <v>0</v>
      </c>
      <c r="F25" s="174" t="e">
        <f t="shared" ref="F25" si="53">F26+F29</f>
        <v>#VALUE!</v>
      </c>
      <c r="G25" s="174" t="e">
        <f t="shared" ref="G25" si="54">G26+G29</f>
        <v>#VALUE!</v>
      </c>
      <c r="H25" s="174" t="e">
        <f t="shared" ref="H25" si="55">H26+H29</f>
        <v>#VALUE!</v>
      </c>
      <c r="I25" s="174" t="e">
        <f t="shared" ref="I25" si="56">I26+I29</f>
        <v>#VALUE!</v>
      </c>
      <c r="J25" s="174" t="e">
        <f t="shared" ref="J25" si="57">J26+J29</f>
        <v>#VALUE!</v>
      </c>
      <c r="K25" s="174" t="e">
        <f t="shared" ref="K25" si="58">K26+K29</f>
        <v>#VALUE!</v>
      </c>
      <c r="L25" s="174" t="e">
        <f t="shared" ref="L25" si="59">L26+L29</f>
        <v>#VALUE!</v>
      </c>
      <c r="M25" s="174" t="e">
        <f t="shared" ref="M25" si="60">M26+M29</f>
        <v>#VALUE!</v>
      </c>
      <c r="N25" s="174" t="e">
        <f t="shared" ref="N25" si="61">N26+N29</f>
        <v>#VALUE!</v>
      </c>
      <c r="O25" s="174" t="e">
        <f t="shared" ref="O25" si="62">O26+O29</f>
        <v>#VALUE!</v>
      </c>
      <c r="P25" s="174" t="e">
        <f t="shared" ref="P25" si="63">P26+P29</f>
        <v>#VALUE!</v>
      </c>
      <c r="Q25" s="174" t="e">
        <f t="shared" ref="Q25" si="64">Q26+Q29</f>
        <v>#VALUE!</v>
      </c>
      <c r="R25" s="174" t="e">
        <f t="shared" ref="R25" si="65">R26+R29</f>
        <v>#VALUE!</v>
      </c>
      <c r="S25" s="174" t="e">
        <f t="shared" ref="S25" si="66">S26+S29</f>
        <v>#VALUE!</v>
      </c>
      <c r="T25" s="174" t="e">
        <f t="shared" ref="T25" si="67">T26+T29</f>
        <v>#VALUE!</v>
      </c>
      <c r="U25" s="174" t="e">
        <f t="shared" ref="U25" si="68">U26+U29</f>
        <v>#VALUE!</v>
      </c>
      <c r="V25" s="174" t="e">
        <f t="shared" ref="V25" si="69">V26+V29</f>
        <v>#VALUE!</v>
      </c>
      <c r="W25" s="174" t="e">
        <f t="shared" ref="W25" si="70">W26+W29</f>
        <v>#VALUE!</v>
      </c>
    </row>
    <row r="26" spans="1:23" ht="15">
      <c r="A26" s="63">
        <v>3.1</v>
      </c>
      <c r="B26" s="63" t="s">
        <v>318</v>
      </c>
      <c r="C26" s="171" t="e">
        <f t="shared" ref="C26:C29" si="71">SUM(D26:W26)</f>
        <v>#VALUE!</v>
      </c>
      <c r="D26" s="169">
        <f>D27*D28/10000</f>
        <v>0</v>
      </c>
      <c r="E26" s="169">
        <f t="shared" ref="E26:W26" si="72">E27*E28/10000</f>
        <v>0</v>
      </c>
      <c r="F26" s="169" t="e">
        <f t="shared" si="72"/>
        <v>#VALUE!</v>
      </c>
      <c r="G26" s="169" t="e">
        <f t="shared" si="72"/>
        <v>#VALUE!</v>
      </c>
      <c r="H26" s="169" t="e">
        <f t="shared" si="72"/>
        <v>#VALUE!</v>
      </c>
      <c r="I26" s="169" t="e">
        <f t="shared" si="72"/>
        <v>#VALUE!</v>
      </c>
      <c r="J26" s="169" t="e">
        <f t="shared" si="72"/>
        <v>#VALUE!</v>
      </c>
      <c r="K26" s="169" t="e">
        <f t="shared" si="72"/>
        <v>#VALUE!</v>
      </c>
      <c r="L26" s="169" t="e">
        <f t="shared" si="72"/>
        <v>#VALUE!</v>
      </c>
      <c r="M26" s="169" t="e">
        <f t="shared" si="72"/>
        <v>#VALUE!</v>
      </c>
      <c r="N26" s="169" t="e">
        <f t="shared" si="72"/>
        <v>#VALUE!</v>
      </c>
      <c r="O26" s="169" t="e">
        <f t="shared" si="72"/>
        <v>#VALUE!</v>
      </c>
      <c r="P26" s="169" t="e">
        <f t="shared" si="72"/>
        <v>#VALUE!</v>
      </c>
      <c r="Q26" s="169" t="e">
        <f t="shared" si="72"/>
        <v>#VALUE!</v>
      </c>
      <c r="R26" s="169" t="e">
        <f t="shared" si="72"/>
        <v>#VALUE!</v>
      </c>
      <c r="S26" s="169" t="e">
        <f t="shared" si="72"/>
        <v>#VALUE!</v>
      </c>
      <c r="T26" s="169" t="e">
        <f t="shared" si="72"/>
        <v>#VALUE!</v>
      </c>
      <c r="U26" s="169" t="e">
        <f t="shared" si="72"/>
        <v>#VALUE!</v>
      </c>
      <c r="V26" s="169" t="e">
        <f t="shared" si="72"/>
        <v>#VALUE!</v>
      </c>
      <c r="W26" s="169" t="e">
        <f t="shared" si="72"/>
        <v>#VALUE!</v>
      </c>
    </row>
    <row r="27" spans="1:23" ht="15">
      <c r="A27" s="63" t="s">
        <v>220</v>
      </c>
      <c r="B27" s="63" t="s">
        <v>127</v>
      </c>
      <c r="C27" s="171" t="s">
        <v>202</v>
      </c>
      <c r="D27" s="169">
        <f>输入值【2】!B61</f>
        <v>0</v>
      </c>
      <c r="E27" s="169">
        <f>输入值【2】!C61</f>
        <v>0</v>
      </c>
      <c r="F27" s="169" t="str">
        <f>输入值【2】!D61</f>
        <v>必填</v>
      </c>
      <c r="G27" s="169" t="e">
        <f>输入值【2】!E61</f>
        <v>#VALUE!</v>
      </c>
      <c r="H27" s="169" t="e">
        <f>输入值【2】!F61</f>
        <v>#VALUE!</v>
      </c>
      <c r="I27" s="169" t="e">
        <f>输入值【2】!G61</f>
        <v>#VALUE!</v>
      </c>
      <c r="J27" s="169" t="e">
        <f>输入值【2】!H61</f>
        <v>#VALUE!</v>
      </c>
      <c r="K27" s="169" t="e">
        <f>输入值【2】!I61</f>
        <v>#VALUE!</v>
      </c>
      <c r="L27" s="169" t="e">
        <f>输入值【2】!J61</f>
        <v>#VALUE!</v>
      </c>
      <c r="M27" s="169" t="e">
        <f>输入值【2】!K61</f>
        <v>#VALUE!</v>
      </c>
      <c r="N27" s="169" t="e">
        <f>输入值【2】!L61</f>
        <v>#VALUE!</v>
      </c>
      <c r="O27" s="169" t="e">
        <f>输入值【2】!M61</f>
        <v>#VALUE!</v>
      </c>
      <c r="P27" s="169" t="e">
        <f>输入值【2】!N61</f>
        <v>#VALUE!</v>
      </c>
      <c r="Q27" s="169" t="e">
        <f>输入值【2】!O61</f>
        <v>#VALUE!</v>
      </c>
      <c r="R27" s="169" t="e">
        <f>输入值【2】!P61</f>
        <v>#VALUE!</v>
      </c>
      <c r="S27" s="169" t="e">
        <f>输入值【2】!Q61</f>
        <v>#VALUE!</v>
      </c>
      <c r="T27" s="169" t="e">
        <f>输入值【2】!R61</f>
        <v>#VALUE!</v>
      </c>
      <c r="U27" s="169" t="e">
        <f>输入值【2】!S61</f>
        <v>#VALUE!</v>
      </c>
      <c r="V27" s="169" t="e">
        <f>输入值【2】!T61</f>
        <v>#VALUE!</v>
      </c>
      <c r="W27" s="169" t="e">
        <f>输入值【2】!U61</f>
        <v>#VALUE!</v>
      </c>
    </row>
    <row r="28" spans="1:23" ht="15">
      <c r="A28" s="63" t="s">
        <v>310</v>
      </c>
      <c r="B28" s="63" t="s">
        <v>320</v>
      </c>
      <c r="C28" s="171" t="s">
        <v>202</v>
      </c>
      <c r="D28" s="175">
        <f>输入值【2】!B63</f>
        <v>0</v>
      </c>
      <c r="E28" s="175">
        <f>输入值【2】!C63</f>
        <v>0</v>
      </c>
      <c r="F28" s="175" t="e">
        <f>输入值【2】!D63</f>
        <v>#VALUE!</v>
      </c>
      <c r="G28" s="175" t="e">
        <f>输入值【2】!E63</f>
        <v>#VALUE!</v>
      </c>
      <c r="H28" s="175" t="e">
        <f>输入值【2】!F63</f>
        <v>#VALUE!</v>
      </c>
      <c r="I28" s="175" t="e">
        <f>输入值【2】!G63</f>
        <v>#VALUE!</v>
      </c>
      <c r="J28" s="175" t="e">
        <f>输入值【2】!H63</f>
        <v>#VALUE!</v>
      </c>
      <c r="K28" s="175" t="e">
        <f>输入值【2】!I63</f>
        <v>#VALUE!</v>
      </c>
      <c r="L28" s="175" t="e">
        <f>输入值【2】!J63</f>
        <v>#VALUE!</v>
      </c>
      <c r="M28" s="175" t="e">
        <f>输入值【2】!K63</f>
        <v>#VALUE!</v>
      </c>
      <c r="N28" s="175" t="e">
        <f>输入值【2】!L63</f>
        <v>#VALUE!</v>
      </c>
      <c r="O28" s="175" t="e">
        <f>输入值【2】!M63</f>
        <v>#VALUE!</v>
      </c>
      <c r="P28" s="175" t="e">
        <f>输入值【2】!N63</f>
        <v>#VALUE!</v>
      </c>
      <c r="Q28" s="175" t="e">
        <f>输入值【2】!O63</f>
        <v>#VALUE!</v>
      </c>
      <c r="R28" s="175" t="e">
        <f>输入值【2】!P63</f>
        <v>#VALUE!</v>
      </c>
      <c r="S28" s="175" t="e">
        <f>输入值【2】!Q63</f>
        <v>#VALUE!</v>
      </c>
      <c r="T28" s="175" t="e">
        <f>输入值【2】!R63</f>
        <v>#VALUE!</v>
      </c>
      <c r="U28" s="175" t="e">
        <f>输入值【2】!S63</f>
        <v>#VALUE!</v>
      </c>
      <c r="V28" s="175" t="e">
        <f>输入值【2】!T63</f>
        <v>#VALUE!</v>
      </c>
      <c r="W28" s="175" t="e">
        <f>输入值【2】!U63</f>
        <v>#VALUE!</v>
      </c>
    </row>
    <row r="29" spans="1:23" ht="15">
      <c r="A29" s="63">
        <v>3.2</v>
      </c>
      <c r="B29" s="63" t="s">
        <v>319</v>
      </c>
      <c r="C29" s="171" t="e">
        <f t="shared" si="71"/>
        <v>#VALUE!</v>
      </c>
      <c r="D29" s="169">
        <f>D30*D31*12/10000</f>
        <v>0</v>
      </c>
      <c r="E29" s="169">
        <f t="shared" ref="E29:G29" si="73">E30*E31*12/10000</f>
        <v>0</v>
      </c>
      <c r="F29" s="169" t="e">
        <f t="shared" si="73"/>
        <v>#VALUE!</v>
      </c>
      <c r="G29" s="169" t="e">
        <f t="shared" si="73"/>
        <v>#VALUE!</v>
      </c>
      <c r="H29" s="169" t="e">
        <f t="shared" ref="H29" si="74">H30*H31*12/10000</f>
        <v>#VALUE!</v>
      </c>
      <c r="I29" s="169" t="e">
        <f t="shared" ref="I29:J29" si="75">I30*I31*12/10000</f>
        <v>#VALUE!</v>
      </c>
      <c r="J29" s="169" t="e">
        <f t="shared" si="75"/>
        <v>#VALUE!</v>
      </c>
      <c r="K29" s="169" t="e">
        <f t="shared" ref="K29" si="76">K30*K31*12/10000</f>
        <v>#VALUE!</v>
      </c>
      <c r="L29" s="169" t="e">
        <f t="shared" ref="L29:M29" si="77">L30*L31*12/10000</f>
        <v>#VALUE!</v>
      </c>
      <c r="M29" s="169" t="e">
        <f t="shared" si="77"/>
        <v>#VALUE!</v>
      </c>
      <c r="N29" s="169" t="e">
        <f t="shared" ref="N29" si="78">N30*N31*12/10000</f>
        <v>#VALUE!</v>
      </c>
      <c r="O29" s="169" t="e">
        <f t="shared" ref="O29:P29" si="79">O30*O31*12/10000</f>
        <v>#VALUE!</v>
      </c>
      <c r="P29" s="169" t="e">
        <f t="shared" si="79"/>
        <v>#VALUE!</v>
      </c>
      <c r="Q29" s="169" t="e">
        <f t="shared" ref="Q29" si="80">Q30*Q31*12/10000</f>
        <v>#VALUE!</v>
      </c>
      <c r="R29" s="169" t="e">
        <f t="shared" ref="R29:S29" si="81">R30*R31*12/10000</f>
        <v>#VALUE!</v>
      </c>
      <c r="S29" s="169" t="e">
        <f t="shared" si="81"/>
        <v>#VALUE!</v>
      </c>
      <c r="T29" s="169" t="e">
        <f t="shared" ref="T29" si="82">T30*T31*12/10000</f>
        <v>#VALUE!</v>
      </c>
      <c r="U29" s="169" t="e">
        <f t="shared" ref="U29:V29" si="83">U30*U31*12/10000</f>
        <v>#VALUE!</v>
      </c>
      <c r="V29" s="169" t="e">
        <f t="shared" si="83"/>
        <v>#VALUE!</v>
      </c>
      <c r="W29" s="169" t="e">
        <f t="shared" ref="W29" si="84">W30*W31*12/10000</f>
        <v>#VALUE!</v>
      </c>
    </row>
    <row r="30" spans="1:23" ht="15">
      <c r="A30" s="63" t="s">
        <v>229</v>
      </c>
      <c r="B30" s="63" t="s">
        <v>322</v>
      </c>
      <c r="C30" s="171" t="s">
        <v>202</v>
      </c>
      <c r="D30" s="169">
        <f>输入值【2】!B53</f>
        <v>0</v>
      </c>
      <c r="E30" s="169">
        <f>输入值【2】!C53</f>
        <v>0</v>
      </c>
      <c r="F30" s="169">
        <f>输入值【2】!D53</f>
        <v>200</v>
      </c>
      <c r="G30" s="169">
        <f>输入值【2】!E53</f>
        <v>206</v>
      </c>
      <c r="H30" s="169">
        <f>输入值【2】!F53</f>
        <v>212.18</v>
      </c>
      <c r="I30" s="169">
        <f>输入值【2】!G53</f>
        <v>218.5454</v>
      </c>
      <c r="J30" s="169">
        <f>输入值【2】!H53</f>
        <v>225.10176200000001</v>
      </c>
      <c r="K30" s="169">
        <f>输入值【2】!I53</f>
        <v>231.85481486</v>
      </c>
      <c r="L30" s="169">
        <f>输入值【2】!J53</f>
        <v>238.81045930580001</v>
      </c>
      <c r="M30" s="169">
        <f>输入值【2】!K53</f>
        <v>245.974773084974</v>
      </c>
      <c r="N30" s="169">
        <f>输入值【2】!L53</f>
        <v>253.35401627752324</v>
      </c>
      <c r="O30" s="169">
        <f>输入值【2】!M53</f>
        <v>260.95463676584893</v>
      </c>
      <c r="P30" s="169">
        <f>输入值【2】!N53</f>
        <v>268.78327586882443</v>
      </c>
      <c r="Q30" s="169">
        <f>输入值【2】!O53</f>
        <v>276.8467741448892</v>
      </c>
      <c r="R30" s="169">
        <f>输入值【2】!P53</f>
        <v>285.15217736923586</v>
      </c>
      <c r="S30" s="169">
        <f>输入值【2】!Q53</f>
        <v>293.70674269031292</v>
      </c>
      <c r="T30" s="169">
        <f>输入值【2】!R53</f>
        <v>302.5179449710223</v>
      </c>
      <c r="U30" s="169">
        <f>输入值【2】!S53</f>
        <v>311.59348332015298</v>
      </c>
      <c r="V30" s="169">
        <f>输入值【2】!T53</f>
        <v>320.94128781975758</v>
      </c>
      <c r="W30" s="169">
        <f>输入值【2】!U53</f>
        <v>330.5695264543503</v>
      </c>
    </row>
    <row r="31" spans="1:23" ht="15">
      <c r="A31" s="63" t="s">
        <v>230</v>
      </c>
      <c r="B31" s="63" t="s">
        <v>321</v>
      </c>
      <c r="C31" s="171" t="s">
        <v>202</v>
      </c>
      <c r="D31" s="175">
        <f>输入值【2】!B55</f>
        <v>0</v>
      </c>
      <c r="E31" s="175">
        <f>输入值【2】!C55</f>
        <v>0</v>
      </c>
      <c r="F31" s="175" t="e">
        <f>输入值【2】!D55</f>
        <v>#VALUE!</v>
      </c>
      <c r="G31" s="175" t="e">
        <f>输入值【2】!E55</f>
        <v>#VALUE!</v>
      </c>
      <c r="H31" s="175" t="e">
        <f>输入值【2】!F55</f>
        <v>#VALUE!</v>
      </c>
      <c r="I31" s="175" t="e">
        <f>输入值【2】!G55</f>
        <v>#VALUE!</v>
      </c>
      <c r="J31" s="175" t="e">
        <f>输入值【2】!H55</f>
        <v>#VALUE!</v>
      </c>
      <c r="K31" s="175" t="e">
        <f>输入值【2】!I55</f>
        <v>#VALUE!</v>
      </c>
      <c r="L31" s="175" t="e">
        <f>输入值【2】!J55</f>
        <v>#VALUE!</v>
      </c>
      <c r="M31" s="175" t="e">
        <f>输入值【2】!K55</f>
        <v>#VALUE!</v>
      </c>
      <c r="N31" s="175" t="e">
        <f>输入值【2】!L55</f>
        <v>#VALUE!</v>
      </c>
      <c r="O31" s="175" t="e">
        <f>输入值【2】!M55</f>
        <v>#VALUE!</v>
      </c>
      <c r="P31" s="175" t="e">
        <f>输入值【2】!N55</f>
        <v>#VALUE!</v>
      </c>
      <c r="Q31" s="175" t="e">
        <f>输入值【2】!O55</f>
        <v>#VALUE!</v>
      </c>
      <c r="R31" s="175" t="e">
        <f>输入值【2】!P55</f>
        <v>#VALUE!</v>
      </c>
      <c r="S31" s="175" t="e">
        <f>输入值【2】!Q55</f>
        <v>#VALUE!</v>
      </c>
      <c r="T31" s="175" t="e">
        <f>输入值【2】!R55</f>
        <v>#VALUE!</v>
      </c>
      <c r="U31" s="175" t="e">
        <f>输入值【2】!S55</f>
        <v>#VALUE!</v>
      </c>
      <c r="V31" s="175" t="e">
        <f>输入值【2】!T55</f>
        <v>#VALUE!</v>
      </c>
      <c r="W31" s="175" t="e">
        <f>输入值【2】!U55</f>
        <v>#VALUE!</v>
      </c>
    </row>
    <row r="32" spans="1:23" ht="15">
      <c r="A32" s="79"/>
      <c r="B32" s="79"/>
      <c r="C32" s="80"/>
      <c r="D32" s="79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</row>
    <row r="33" spans="1:23">
      <c r="A33" s="8"/>
      <c r="B33" s="8"/>
      <c r="C33" s="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</sheetData>
  <mergeCells count="1">
    <mergeCell ref="A1:W1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30BF-DF47-4C69-A27B-301907A9844D}">
  <dimension ref="A1:W44"/>
  <sheetViews>
    <sheetView zoomScale="85" zoomScaleNormal="85" workbookViewId="0">
      <selection activeCell="A3" sqref="A3:XFD3"/>
    </sheetView>
  </sheetViews>
  <sheetFormatPr defaultRowHeight="12.5"/>
  <cols>
    <col min="1" max="1" width="8.81640625" bestFit="1" customWidth="1"/>
    <col min="2" max="2" width="26.54296875" customWidth="1"/>
    <col min="3" max="3" width="12.36328125" bestFit="1" customWidth="1"/>
    <col min="4" max="4" width="11.1796875" bestFit="1" customWidth="1"/>
    <col min="5" max="5" width="12.36328125" bestFit="1" customWidth="1"/>
    <col min="6" max="6" width="22.81640625" bestFit="1" customWidth="1"/>
    <col min="7" max="7" width="13.1796875" bestFit="1" customWidth="1"/>
    <col min="8" max="23" width="9" bestFit="1" customWidth="1"/>
  </cols>
  <sheetData>
    <row r="1" spans="1:23" ht="21">
      <c r="A1" s="191" t="s">
        <v>70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3"/>
    </row>
    <row r="2" spans="1:23" ht="15">
      <c r="A2" s="76" t="s">
        <v>0</v>
      </c>
      <c r="B2" s="76" t="s">
        <v>6</v>
      </c>
      <c r="C2" s="76" t="s">
        <v>105</v>
      </c>
      <c r="D2" s="76">
        <v>1</v>
      </c>
      <c r="E2" s="76">
        <v>2</v>
      </c>
      <c r="F2" s="76">
        <v>3</v>
      </c>
      <c r="G2" s="76">
        <v>4</v>
      </c>
      <c r="H2" s="76">
        <v>5</v>
      </c>
      <c r="I2" s="76">
        <v>6</v>
      </c>
      <c r="J2" s="76">
        <v>7</v>
      </c>
      <c r="K2" s="76">
        <v>8</v>
      </c>
      <c r="L2" s="76">
        <v>9</v>
      </c>
      <c r="M2" s="76">
        <v>10</v>
      </c>
      <c r="N2" s="76">
        <v>11</v>
      </c>
      <c r="O2" s="76">
        <v>12</v>
      </c>
      <c r="P2" s="76">
        <v>13</v>
      </c>
      <c r="Q2" s="76">
        <v>14</v>
      </c>
      <c r="R2" s="76">
        <v>15</v>
      </c>
      <c r="S2" s="76">
        <v>16</v>
      </c>
      <c r="T2" s="76">
        <v>17</v>
      </c>
      <c r="U2" s="76">
        <v>18</v>
      </c>
      <c r="V2" s="76">
        <v>19</v>
      </c>
      <c r="W2" s="76">
        <v>20</v>
      </c>
    </row>
    <row r="3" spans="1:23" ht="15">
      <c r="A3" s="61">
        <v>1</v>
      </c>
      <c r="B3" s="61" t="s">
        <v>65</v>
      </c>
      <c r="C3" s="88" t="e">
        <f t="shared" ref="C3:C11" si="0">SUM(D3:W3)</f>
        <v>#VALUE!</v>
      </c>
      <c r="D3" s="172" t="e">
        <f>SUM(D4:D11)</f>
        <v>#VALUE!</v>
      </c>
      <c r="E3" s="172" t="e">
        <f t="shared" ref="E3:W3" si="1">SUM(E4:E11)</f>
        <v>#VALUE!</v>
      </c>
      <c r="F3" s="172" t="e">
        <f t="shared" si="1"/>
        <v>#VALUE!</v>
      </c>
      <c r="G3" s="172" t="e">
        <f t="shared" si="1"/>
        <v>#VALUE!</v>
      </c>
      <c r="H3" s="172" t="e">
        <f t="shared" si="1"/>
        <v>#VALUE!</v>
      </c>
      <c r="I3" s="172" t="e">
        <f t="shared" si="1"/>
        <v>#VALUE!</v>
      </c>
      <c r="J3" s="172" t="e">
        <f t="shared" si="1"/>
        <v>#VALUE!</v>
      </c>
      <c r="K3" s="172" t="e">
        <f t="shared" si="1"/>
        <v>#VALUE!</v>
      </c>
      <c r="L3" s="172" t="e">
        <f t="shared" si="1"/>
        <v>#VALUE!</v>
      </c>
      <c r="M3" s="172" t="e">
        <f t="shared" si="1"/>
        <v>#VALUE!</v>
      </c>
      <c r="N3" s="172" t="e">
        <f t="shared" si="1"/>
        <v>#VALUE!</v>
      </c>
      <c r="O3" s="172" t="e">
        <f t="shared" si="1"/>
        <v>#VALUE!</v>
      </c>
      <c r="P3" s="172" t="e">
        <f t="shared" si="1"/>
        <v>#VALUE!</v>
      </c>
      <c r="Q3" s="172" t="e">
        <f t="shared" si="1"/>
        <v>#VALUE!</v>
      </c>
      <c r="R3" s="172" t="e">
        <f t="shared" si="1"/>
        <v>#VALUE!</v>
      </c>
      <c r="S3" s="172" t="e">
        <f t="shared" si="1"/>
        <v>#VALUE!</v>
      </c>
      <c r="T3" s="172" t="e">
        <f t="shared" si="1"/>
        <v>#VALUE!</v>
      </c>
      <c r="U3" s="172" t="e">
        <f t="shared" si="1"/>
        <v>#VALUE!</v>
      </c>
      <c r="V3" s="172" t="e">
        <f t="shared" si="1"/>
        <v>#VALUE!</v>
      </c>
      <c r="W3" s="172" t="e">
        <f t="shared" si="1"/>
        <v>#VALUE!</v>
      </c>
    </row>
    <row r="4" spans="1:23" ht="15">
      <c r="A4" s="70">
        <v>1.1000000000000001</v>
      </c>
      <c r="B4" s="70" t="s">
        <v>324</v>
      </c>
      <c r="C4" s="88" t="e">
        <f t="shared" si="0"/>
        <v>#VALUE!</v>
      </c>
      <c r="D4" s="172" t="e">
        <f>'输出值2-营业收入估算表'!D5/(1+输入值【1】!$C$105)*输入值【1】!$C$105</f>
        <v>#VALUE!</v>
      </c>
      <c r="E4" s="172" t="e">
        <f>'输出值2-营业收入估算表'!E5/(1+输入值【1】!$C$105)*输入值【1】!$C$105</f>
        <v>#VALUE!</v>
      </c>
      <c r="F4" s="172" t="e">
        <f>'输出值2-营业收入估算表'!F5/(1+输入值【1】!$C$105)*输入值【1】!$C$105</f>
        <v>#VALUE!</v>
      </c>
      <c r="G4" s="172" t="e">
        <f>'输出值2-营业收入估算表'!G5/(1+输入值【1】!$C$105)*输入值【1】!$C$105</f>
        <v>#VALUE!</v>
      </c>
      <c r="H4" s="172" t="e">
        <f>'输出值2-营业收入估算表'!H5/(1+输入值【1】!$C$105)*输入值【1】!$C$105</f>
        <v>#VALUE!</v>
      </c>
      <c r="I4" s="172" t="e">
        <f>'输出值2-营业收入估算表'!I5/(1+输入值【1】!$C$105)*输入值【1】!$C$105</f>
        <v>#VALUE!</v>
      </c>
      <c r="J4" s="172" t="e">
        <f>'输出值2-营业收入估算表'!J5/(1+输入值【1】!$C$105)*输入值【1】!$C$105</f>
        <v>#VALUE!</v>
      </c>
      <c r="K4" s="172" t="e">
        <f>'输出值2-营业收入估算表'!K5/(1+输入值【1】!$C$105)*输入值【1】!$C$105</f>
        <v>#VALUE!</v>
      </c>
      <c r="L4" s="172" t="e">
        <f>'输出值2-营业收入估算表'!L5/(1+输入值【1】!$C$105)*输入值【1】!$C$105</f>
        <v>#VALUE!</v>
      </c>
      <c r="M4" s="172" t="e">
        <f>'输出值2-营业收入估算表'!M5/(1+输入值【1】!$C$105)*输入值【1】!$C$105</f>
        <v>#VALUE!</v>
      </c>
      <c r="N4" s="172" t="e">
        <f>'输出值2-营业收入估算表'!N5/(1+输入值【1】!$C$105)*输入值【1】!$C$105</f>
        <v>#VALUE!</v>
      </c>
      <c r="O4" s="172" t="e">
        <f>'输出值2-营业收入估算表'!O5/(1+输入值【1】!$C$105)*输入值【1】!$C$105</f>
        <v>#VALUE!</v>
      </c>
      <c r="P4" s="172" t="e">
        <f>'输出值2-营业收入估算表'!P5/(1+输入值【1】!$C$105)*输入值【1】!$C$105</f>
        <v>#VALUE!</v>
      </c>
      <c r="Q4" s="172" t="e">
        <f>'输出值2-营业收入估算表'!Q5/(1+输入值【1】!$C$105)*输入值【1】!$C$105</f>
        <v>#VALUE!</v>
      </c>
      <c r="R4" s="172" t="e">
        <f>'输出值2-营业收入估算表'!R5/(1+输入值【1】!$C$105)*输入值【1】!$C$105</f>
        <v>#VALUE!</v>
      </c>
      <c r="S4" s="172" t="e">
        <f>'输出值2-营业收入估算表'!S5/(1+输入值【1】!$C$105)*输入值【1】!$C$105</f>
        <v>#VALUE!</v>
      </c>
      <c r="T4" s="172" t="e">
        <f>'输出值2-营业收入估算表'!T5/(1+输入值【1】!$C$105)*输入值【1】!$C$105</f>
        <v>#VALUE!</v>
      </c>
      <c r="U4" s="172" t="e">
        <f>'输出值2-营业收入估算表'!U5/(1+输入值【1】!$C$105)*输入值【1】!$C$105</f>
        <v>#VALUE!</v>
      </c>
      <c r="V4" s="172" t="e">
        <f>'输出值2-营业收入估算表'!V5/(1+输入值【1】!$C$105)*输入值【1】!$C$105</f>
        <v>#VALUE!</v>
      </c>
      <c r="W4" s="172" t="e">
        <f>'输出值2-营业收入估算表'!W5/(1+输入值【1】!$C$105)*输入值【1】!$C$105</f>
        <v>#VALUE!</v>
      </c>
    </row>
    <row r="5" spans="1:23" ht="15">
      <c r="A5" s="70">
        <v>1.2</v>
      </c>
      <c r="B5" s="70" t="s">
        <v>325</v>
      </c>
      <c r="C5" s="88" t="e">
        <f t="shared" si="0"/>
        <v>#VALUE!</v>
      </c>
      <c r="D5" s="172" t="e">
        <f>'输出值2-营业收入估算表'!D8/(1+输入值【1】!$C$106)*输入值【1】!$C$106</f>
        <v>#VALUE!</v>
      </c>
      <c r="E5" s="172" t="e">
        <f>'输出值2-营业收入估算表'!E8/(1+输入值【1】!$C$106)*输入值【1】!$C$106</f>
        <v>#VALUE!</v>
      </c>
      <c r="F5" s="172" t="e">
        <f>'输出值2-营业收入估算表'!F8/(1+输入值【1】!$C$106)*输入值【1】!$C$106</f>
        <v>#VALUE!</v>
      </c>
      <c r="G5" s="172" t="e">
        <f>'输出值2-营业收入估算表'!G8/(1+输入值【1】!$C$106)*输入值【1】!$C$106</f>
        <v>#VALUE!</v>
      </c>
      <c r="H5" s="172" t="e">
        <f>'输出值2-营业收入估算表'!H8/(1+输入值【1】!$C$106)*输入值【1】!$C$106</f>
        <v>#VALUE!</v>
      </c>
      <c r="I5" s="172" t="e">
        <f>'输出值2-营业收入估算表'!I8/(1+输入值【1】!$C$106)*输入值【1】!$C$106</f>
        <v>#VALUE!</v>
      </c>
      <c r="J5" s="172" t="e">
        <f>'输出值2-营业收入估算表'!J8/(1+输入值【1】!$C$106)*输入值【1】!$C$106</f>
        <v>#VALUE!</v>
      </c>
      <c r="K5" s="172" t="e">
        <f>'输出值2-营业收入估算表'!K8/(1+输入值【1】!$C$106)*输入值【1】!$C$106</f>
        <v>#VALUE!</v>
      </c>
      <c r="L5" s="172" t="e">
        <f>'输出值2-营业收入估算表'!L8/(1+输入值【1】!$C$106)*输入值【1】!$C$106</f>
        <v>#VALUE!</v>
      </c>
      <c r="M5" s="172" t="e">
        <f>'输出值2-营业收入估算表'!M8/(1+输入值【1】!$C$106)*输入值【1】!$C$106</f>
        <v>#VALUE!</v>
      </c>
      <c r="N5" s="172" t="e">
        <f>'输出值2-营业收入估算表'!N8/(1+输入值【1】!$C$106)*输入值【1】!$C$106</f>
        <v>#VALUE!</v>
      </c>
      <c r="O5" s="172" t="e">
        <f>'输出值2-营业收入估算表'!O8/(1+输入值【1】!$C$106)*输入值【1】!$C$106</f>
        <v>#VALUE!</v>
      </c>
      <c r="P5" s="172" t="e">
        <f>'输出值2-营业收入估算表'!P8/(1+输入值【1】!$C$106)*输入值【1】!$C$106</f>
        <v>#VALUE!</v>
      </c>
      <c r="Q5" s="172" t="e">
        <f>'输出值2-营业收入估算表'!Q8/(1+输入值【1】!$C$106)*输入值【1】!$C$106</f>
        <v>#VALUE!</v>
      </c>
      <c r="R5" s="172" t="e">
        <f>'输出值2-营业收入估算表'!R8/(1+输入值【1】!$C$106)*输入值【1】!$C$106</f>
        <v>#VALUE!</v>
      </c>
      <c r="S5" s="172" t="e">
        <f>'输出值2-营业收入估算表'!S8/(1+输入值【1】!$C$106)*输入值【1】!$C$106</f>
        <v>#VALUE!</v>
      </c>
      <c r="T5" s="172" t="e">
        <f>'输出值2-营业收入估算表'!T8/(1+输入值【1】!$C$106)*输入值【1】!$C$106</f>
        <v>#VALUE!</v>
      </c>
      <c r="U5" s="172" t="e">
        <f>'输出值2-营业收入估算表'!U8/(1+输入值【1】!$C$106)*输入值【1】!$C$106</f>
        <v>#VALUE!</v>
      </c>
      <c r="V5" s="172" t="e">
        <f>'输出值2-营业收入估算表'!V8/(1+输入值【1】!$C$106)*输入值【1】!$C$106</f>
        <v>#VALUE!</v>
      </c>
      <c r="W5" s="172" t="e">
        <f>'输出值2-营业收入估算表'!W8/(1+输入值【1】!$C$106)*输入值【1】!$C$106</f>
        <v>#VALUE!</v>
      </c>
    </row>
    <row r="6" spans="1:23" ht="15">
      <c r="A6" s="70">
        <v>1.3</v>
      </c>
      <c r="B6" s="70" t="s">
        <v>326</v>
      </c>
      <c r="C6" s="88" t="e">
        <f t="shared" si="0"/>
        <v>#VALUE!</v>
      </c>
      <c r="D6" s="172" t="e">
        <f>'输出值2-营业收入估算表'!D12/(1+输入值【1】!$C$105)*输入值【1】!$C$105</f>
        <v>#VALUE!</v>
      </c>
      <c r="E6" s="172" t="e">
        <f>'输出值2-营业收入估算表'!E12/(1+输入值【1】!$C$105)*输入值【1】!$C$105</f>
        <v>#VALUE!</v>
      </c>
      <c r="F6" s="172" t="e">
        <f>'输出值2-营业收入估算表'!F12/(1+输入值【1】!$C$105)*输入值【1】!$C$105</f>
        <v>#VALUE!</v>
      </c>
      <c r="G6" s="172" t="e">
        <f>'输出值2-营业收入估算表'!G12/(1+输入值【1】!$C$105)*输入值【1】!$C$105</f>
        <v>#VALUE!</v>
      </c>
      <c r="H6" s="172" t="e">
        <f>'输出值2-营业收入估算表'!H12/(1+输入值【1】!$C$105)*输入值【1】!$C$105</f>
        <v>#VALUE!</v>
      </c>
      <c r="I6" s="172" t="e">
        <f>'输出值2-营业收入估算表'!I12/(1+输入值【1】!$C$105)*输入值【1】!$C$105</f>
        <v>#VALUE!</v>
      </c>
      <c r="J6" s="172" t="e">
        <f>'输出值2-营业收入估算表'!J12/(1+输入值【1】!$C$105)*输入值【1】!$C$105</f>
        <v>#VALUE!</v>
      </c>
      <c r="K6" s="172" t="e">
        <f>'输出值2-营业收入估算表'!K12/(1+输入值【1】!$C$105)*输入值【1】!$C$105</f>
        <v>#VALUE!</v>
      </c>
      <c r="L6" s="172" t="e">
        <f>'输出值2-营业收入估算表'!L12/(1+输入值【1】!$C$105)*输入值【1】!$C$105</f>
        <v>#VALUE!</v>
      </c>
      <c r="M6" s="172" t="e">
        <f>'输出值2-营业收入估算表'!M12/(1+输入值【1】!$C$105)*输入值【1】!$C$105</f>
        <v>#VALUE!</v>
      </c>
      <c r="N6" s="172" t="e">
        <f>'输出值2-营业收入估算表'!N12/(1+输入值【1】!$C$105)*输入值【1】!$C$105</f>
        <v>#VALUE!</v>
      </c>
      <c r="O6" s="172" t="e">
        <f>'输出值2-营业收入估算表'!O12/(1+输入值【1】!$C$105)*输入值【1】!$C$105</f>
        <v>#VALUE!</v>
      </c>
      <c r="P6" s="172" t="e">
        <f>'输出值2-营业收入估算表'!P12/(1+输入值【1】!$C$105)*输入值【1】!$C$105</f>
        <v>#VALUE!</v>
      </c>
      <c r="Q6" s="172" t="e">
        <f>'输出值2-营业收入估算表'!Q12/(1+输入值【1】!$C$105)*输入值【1】!$C$105</f>
        <v>#VALUE!</v>
      </c>
      <c r="R6" s="172" t="e">
        <f>'输出值2-营业收入估算表'!R12/(1+输入值【1】!$C$105)*输入值【1】!$C$105</f>
        <v>#VALUE!</v>
      </c>
      <c r="S6" s="172" t="e">
        <f>'输出值2-营业收入估算表'!S12/(1+输入值【1】!$C$105)*输入值【1】!$C$105</f>
        <v>#VALUE!</v>
      </c>
      <c r="T6" s="172" t="e">
        <f>'输出值2-营业收入估算表'!T12/(1+输入值【1】!$C$105)*输入值【1】!$C$105</f>
        <v>#VALUE!</v>
      </c>
      <c r="U6" s="172" t="e">
        <f>'输出值2-营业收入估算表'!U12/(1+输入值【1】!$C$105)*输入值【1】!$C$105</f>
        <v>#VALUE!</v>
      </c>
      <c r="V6" s="172" t="e">
        <f>'输出值2-营业收入估算表'!V12/(1+输入值【1】!$C$105)*输入值【1】!$C$105</f>
        <v>#VALUE!</v>
      </c>
      <c r="W6" s="172" t="e">
        <f>'输出值2-营业收入估算表'!W12/(1+输入值【1】!$C$105)*输入值【1】!$C$105</f>
        <v>#VALUE!</v>
      </c>
    </row>
    <row r="7" spans="1:23" ht="15">
      <c r="A7" s="70">
        <v>1.4</v>
      </c>
      <c r="B7" s="70" t="s">
        <v>327</v>
      </c>
      <c r="C7" s="88" t="e">
        <f t="shared" si="0"/>
        <v>#VALUE!</v>
      </c>
      <c r="D7" s="172" t="e">
        <f>'输出值2-营业收入估算表'!D15/(1+输入值【1】!$C$106)*输入值【1】!$C$106</f>
        <v>#VALUE!</v>
      </c>
      <c r="E7" s="172" t="e">
        <f>'输出值2-营业收入估算表'!E15/(1+输入值【1】!$C$106)*输入值【1】!$C$106</f>
        <v>#VALUE!</v>
      </c>
      <c r="F7" s="172" t="e">
        <f>'输出值2-营业收入估算表'!F15/(1+输入值【1】!$C$106)*输入值【1】!$C$106</f>
        <v>#VALUE!</v>
      </c>
      <c r="G7" s="172" t="e">
        <f>'输出值2-营业收入估算表'!G15/(1+输入值【1】!$C$106)*输入值【1】!$C$106</f>
        <v>#VALUE!</v>
      </c>
      <c r="H7" s="172" t="e">
        <f>'输出值2-营业收入估算表'!H15/(1+输入值【1】!$C$106)*输入值【1】!$C$106</f>
        <v>#VALUE!</v>
      </c>
      <c r="I7" s="172" t="e">
        <f>'输出值2-营业收入估算表'!I15/(1+输入值【1】!$C$106)*输入值【1】!$C$106</f>
        <v>#VALUE!</v>
      </c>
      <c r="J7" s="172" t="e">
        <f>'输出值2-营业收入估算表'!J15/(1+输入值【1】!$C$106)*输入值【1】!$C$106</f>
        <v>#VALUE!</v>
      </c>
      <c r="K7" s="172" t="e">
        <f>'输出值2-营业收入估算表'!K15/(1+输入值【1】!$C$106)*输入值【1】!$C$106</f>
        <v>#VALUE!</v>
      </c>
      <c r="L7" s="172" t="e">
        <f>'输出值2-营业收入估算表'!L15/(1+输入值【1】!$C$106)*输入值【1】!$C$106</f>
        <v>#VALUE!</v>
      </c>
      <c r="M7" s="172" t="e">
        <f>'输出值2-营业收入估算表'!M15/(1+输入值【1】!$C$106)*输入值【1】!$C$106</f>
        <v>#VALUE!</v>
      </c>
      <c r="N7" s="172" t="e">
        <f>'输出值2-营业收入估算表'!N15/(1+输入值【1】!$C$106)*输入值【1】!$C$106</f>
        <v>#VALUE!</v>
      </c>
      <c r="O7" s="172" t="e">
        <f>'输出值2-营业收入估算表'!O15/(1+输入值【1】!$C$106)*输入值【1】!$C$106</f>
        <v>#VALUE!</v>
      </c>
      <c r="P7" s="172" t="e">
        <f>'输出值2-营业收入估算表'!P15/(1+输入值【1】!$C$106)*输入值【1】!$C$106</f>
        <v>#VALUE!</v>
      </c>
      <c r="Q7" s="172" t="e">
        <f>'输出值2-营业收入估算表'!Q15/(1+输入值【1】!$C$106)*输入值【1】!$C$106</f>
        <v>#VALUE!</v>
      </c>
      <c r="R7" s="172" t="e">
        <f>'输出值2-营业收入估算表'!R15/(1+输入值【1】!$C$106)*输入值【1】!$C$106</f>
        <v>#VALUE!</v>
      </c>
      <c r="S7" s="172" t="e">
        <f>'输出值2-营业收入估算表'!S15/(1+输入值【1】!$C$106)*输入值【1】!$C$106</f>
        <v>#VALUE!</v>
      </c>
      <c r="T7" s="172" t="e">
        <f>'输出值2-营业收入估算表'!T15/(1+输入值【1】!$C$106)*输入值【1】!$C$106</f>
        <v>#VALUE!</v>
      </c>
      <c r="U7" s="172" t="e">
        <f>'输出值2-营业收入估算表'!U15/(1+输入值【1】!$C$106)*输入值【1】!$C$106</f>
        <v>#VALUE!</v>
      </c>
      <c r="V7" s="172" t="e">
        <f>'输出值2-营业收入估算表'!V15/(1+输入值【1】!$C$106)*输入值【1】!$C$106</f>
        <v>#VALUE!</v>
      </c>
      <c r="W7" s="172" t="e">
        <f>'输出值2-营业收入估算表'!W15/(1+输入值【1】!$C$106)*输入值【1】!$C$106</f>
        <v>#VALUE!</v>
      </c>
    </row>
    <row r="8" spans="1:23" ht="15">
      <c r="A8" s="70">
        <v>1.5</v>
      </c>
      <c r="B8" s="70" t="s">
        <v>328</v>
      </c>
      <c r="C8" s="88" t="e">
        <f t="shared" si="0"/>
        <v>#VALUE!</v>
      </c>
      <c r="D8" s="172" t="e">
        <f>'输出值2-营业收入估算表'!D19/(1+输入值【1】!$C$105)*输入值【1】!$C$105</f>
        <v>#VALUE!</v>
      </c>
      <c r="E8" s="172" t="e">
        <f>'输出值2-营业收入估算表'!E19/(1+输入值【1】!$C$105)*输入值【1】!$C$105</f>
        <v>#VALUE!</v>
      </c>
      <c r="F8" s="172" t="e">
        <f>'输出值2-营业收入估算表'!F19/(1+输入值【1】!$C$105)*输入值【1】!$C$105</f>
        <v>#VALUE!</v>
      </c>
      <c r="G8" s="172" t="e">
        <f>'输出值2-营业收入估算表'!G19/(1+输入值【1】!$C$105)*输入值【1】!$C$105</f>
        <v>#VALUE!</v>
      </c>
      <c r="H8" s="172" t="e">
        <f>'输出值2-营业收入估算表'!H19/(1+输入值【1】!$C$105)*输入值【1】!$C$105</f>
        <v>#VALUE!</v>
      </c>
      <c r="I8" s="172" t="e">
        <f>'输出值2-营业收入估算表'!I19/(1+输入值【1】!$C$105)*输入值【1】!$C$105</f>
        <v>#VALUE!</v>
      </c>
      <c r="J8" s="172" t="e">
        <f>'输出值2-营业收入估算表'!J19/(1+输入值【1】!$C$105)*输入值【1】!$C$105</f>
        <v>#VALUE!</v>
      </c>
      <c r="K8" s="172" t="e">
        <f>'输出值2-营业收入估算表'!K19/(1+输入值【1】!$C$105)*输入值【1】!$C$105</f>
        <v>#VALUE!</v>
      </c>
      <c r="L8" s="172" t="e">
        <f>'输出值2-营业收入估算表'!L19/(1+输入值【1】!$C$105)*输入值【1】!$C$105</f>
        <v>#VALUE!</v>
      </c>
      <c r="M8" s="172" t="e">
        <f>'输出值2-营业收入估算表'!M19/(1+输入值【1】!$C$105)*输入值【1】!$C$105</f>
        <v>#VALUE!</v>
      </c>
      <c r="N8" s="172" t="e">
        <f>'输出值2-营业收入估算表'!N19/(1+输入值【1】!$C$105)*输入值【1】!$C$105</f>
        <v>#VALUE!</v>
      </c>
      <c r="O8" s="172" t="e">
        <f>'输出值2-营业收入估算表'!O19/(1+输入值【1】!$C$105)*输入值【1】!$C$105</f>
        <v>#VALUE!</v>
      </c>
      <c r="P8" s="172" t="e">
        <f>'输出值2-营业收入估算表'!P19/(1+输入值【1】!$C$105)*输入值【1】!$C$105</f>
        <v>#VALUE!</v>
      </c>
      <c r="Q8" s="172" t="e">
        <f>'输出值2-营业收入估算表'!Q19/(1+输入值【1】!$C$105)*输入值【1】!$C$105</f>
        <v>#VALUE!</v>
      </c>
      <c r="R8" s="172" t="e">
        <f>'输出值2-营业收入估算表'!R19/(1+输入值【1】!$C$105)*输入值【1】!$C$105</f>
        <v>#VALUE!</v>
      </c>
      <c r="S8" s="172" t="e">
        <f>'输出值2-营业收入估算表'!S19/(1+输入值【1】!$C$105)*输入值【1】!$C$105</f>
        <v>#VALUE!</v>
      </c>
      <c r="T8" s="172" t="e">
        <f>'输出值2-营业收入估算表'!T19/(1+输入值【1】!$C$105)*输入值【1】!$C$105</f>
        <v>#VALUE!</v>
      </c>
      <c r="U8" s="172" t="e">
        <f>'输出值2-营业收入估算表'!U19/(1+输入值【1】!$C$105)*输入值【1】!$C$105</f>
        <v>#VALUE!</v>
      </c>
      <c r="V8" s="172" t="e">
        <f>'输出值2-营业收入估算表'!V19/(1+输入值【1】!$C$105)*输入值【1】!$C$105</f>
        <v>#VALUE!</v>
      </c>
      <c r="W8" s="172" t="e">
        <f>'输出值2-营业收入估算表'!W19/(1+输入值【1】!$C$105)*输入值【1】!$C$105</f>
        <v>#VALUE!</v>
      </c>
    </row>
    <row r="9" spans="1:23" ht="15">
      <c r="A9" s="70">
        <v>1.6</v>
      </c>
      <c r="B9" s="70" t="s">
        <v>329</v>
      </c>
      <c r="C9" s="88" t="e">
        <f t="shared" si="0"/>
        <v>#VALUE!</v>
      </c>
      <c r="D9" s="172" t="e">
        <f>'输出值2-营业收入估算表'!D22/(1+输入值【1】!$C$106)*输入值【1】!$C$106</f>
        <v>#VALUE!</v>
      </c>
      <c r="E9" s="172" t="e">
        <f>'输出值2-营业收入估算表'!E22/(1+输入值【1】!$C$106)*输入值【1】!$C$106</f>
        <v>#VALUE!</v>
      </c>
      <c r="F9" s="172" t="e">
        <f>'输出值2-营业收入估算表'!F22/(1+输入值【1】!$C$106)*输入值【1】!$C$106</f>
        <v>#VALUE!</v>
      </c>
      <c r="G9" s="172" t="e">
        <f>'输出值2-营业收入估算表'!G22/(1+输入值【1】!$C$106)*输入值【1】!$C$106</f>
        <v>#VALUE!</v>
      </c>
      <c r="H9" s="172" t="e">
        <f>'输出值2-营业收入估算表'!H22/(1+输入值【1】!$C$106)*输入值【1】!$C$106</f>
        <v>#VALUE!</v>
      </c>
      <c r="I9" s="172" t="e">
        <f>'输出值2-营业收入估算表'!I22/(1+输入值【1】!$C$106)*输入值【1】!$C$106</f>
        <v>#VALUE!</v>
      </c>
      <c r="J9" s="172" t="e">
        <f>'输出值2-营业收入估算表'!J22/(1+输入值【1】!$C$106)*输入值【1】!$C$106</f>
        <v>#VALUE!</v>
      </c>
      <c r="K9" s="172" t="e">
        <f>'输出值2-营业收入估算表'!K22/(1+输入值【1】!$C$106)*输入值【1】!$C$106</f>
        <v>#VALUE!</v>
      </c>
      <c r="L9" s="172" t="e">
        <f>'输出值2-营业收入估算表'!L22/(1+输入值【1】!$C$106)*输入值【1】!$C$106</f>
        <v>#VALUE!</v>
      </c>
      <c r="M9" s="172" t="e">
        <f>'输出值2-营业收入估算表'!M22/(1+输入值【1】!$C$106)*输入值【1】!$C$106</f>
        <v>#VALUE!</v>
      </c>
      <c r="N9" s="172" t="e">
        <f>'输出值2-营业收入估算表'!N22/(1+输入值【1】!$C$106)*输入值【1】!$C$106</f>
        <v>#VALUE!</v>
      </c>
      <c r="O9" s="172" t="e">
        <f>'输出值2-营业收入估算表'!O22/(1+输入值【1】!$C$106)*输入值【1】!$C$106</f>
        <v>#VALUE!</v>
      </c>
      <c r="P9" s="172" t="e">
        <f>'输出值2-营业收入估算表'!P22/(1+输入值【1】!$C$106)*输入值【1】!$C$106</f>
        <v>#VALUE!</v>
      </c>
      <c r="Q9" s="172" t="e">
        <f>'输出值2-营业收入估算表'!Q22/(1+输入值【1】!$C$106)*输入值【1】!$C$106</f>
        <v>#VALUE!</v>
      </c>
      <c r="R9" s="172" t="e">
        <f>'输出值2-营业收入估算表'!R22/(1+输入值【1】!$C$106)*输入值【1】!$C$106</f>
        <v>#VALUE!</v>
      </c>
      <c r="S9" s="172" t="e">
        <f>'输出值2-营业收入估算表'!S22/(1+输入值【1】!$C$106)*输入值【1】!$C$106</f>
        <v>#VALUE!</v>
      </c>
      <c r="T9" s="172" t="e">
        <f>'输出值2-营业收入估算表'!T22/(1+输入值【1】!$C$106)*输入值【1】!$C$106</f>
        <v>#VALUE!</v>
      </c>
      <c r="U9" s="172" t="e">
        <f>'输出值2-营业收入估算表'!U22/(1+输入值【1】!$C$106)*输入值【1】!$C$106</f>
        <v>#VALUE!</v>
      </c>
      <c r="V9" s="172" t="e">
        <f>'输出值2-营业收入估算表'!V22/(1+输入值【1】!$C$106)*输入值【1】!$C$106</f>
        <v>#VALUE!</v>
      </c>
      <c r="W9" s="172" t="e">
        <f>'输出值2-营业收入估算表'!W22/(1+输入值【1】!$C$106)*输入值【1】!$C$106</f>
        <v>#VALUE!</v>
      </c>
    </row>
    <row r="10" spans="1:23" ht="15">
      <c r="A10" s="70">
        <v>1.7</v>
      </c>
      <c r="B10" s="70" t="s">
        <v>331</v>
      </c>
      <c r="C10" s="88" t="e">
        <f t="shared" si="0"/>
        <v>#VALUE!</v>
      </c>
      <c r="D10" s="172" t="e">
        <f>'输出值2-营业收入估算表'!D26/(1+输入值【1】!$C$105)*输入值【1】!$C$105</f>
        <v>#VALUE!</v>
      </c>
      <c r="E10" s="172" t="e">
        <f>'输出值2-营业收入估算表'!E26/(1+输入值【1】!$C$105)*输入值【1】!$C$105</f>
        <v>#VALUE!</v>
      </c>
      <c r="F10" s="172" t="e">
        <f>'输出值2-营业收入估算表'!F26/(1+输入值【1】!$C$105)*输入值【1】!$C$105</f>
        <v>#VALUE!</v>
      </c>
      <c r="G10" s="172" t="e">
        <f>'输出值2-营业收入估算表'!G26/(1+输入值【1】!$C$105)*输入值【1】!$C$105</f>
        <v>#VALUE!</v>
      </c>
      <c r="H10" s="172" t="e">
        <f>'输出值2-营业收入估算表'!H26/(1+输入值【1】!$C$105)*输入值【1】!$C$105</f>
        <v>#VALUE!</v>
      </c>
      <c r="I10" s="172" t="e">
        <f>'输出值2-营业收入估算表'!I26/(1+输入值【1】!$C$105)*输入值【1】!$C$105</f>
        <v>#VALUE!</v>
      </c>
      <c r="J10" s="172" t="e">
        <f>'输出值2-营业收入估算表'!J26/(1+输入值【1】!$C$105)*输入值【1】!$C$105</f>
        <v>#VALUE!</v>
      </c>
      <c r="K10" s="172" t="e">
        <f>'输出值2-营业收入估算表'!K26/(1+输入值【1】!$C$105)*输入值【1】!$C$105</f>
        <v>#VALUE!</v>
      </c>
      <c r="L10" s="172" t="e">
        <f>'输出值2-营业收入估算表'!L26/(1+输入值【1】!$C$105)*输入值【1】!$C$105</f>
        <v>#VALUE!</v>
      </c>
      <c r="M10" s="172" t="e">
        <f>'输出值2-营业收入估算表'!M26/(1+输入值【1】!$C$105)*输入值【1】!$C$105</f>
        <v>#VALUE!</v>
      </c>
      <c r="N10" s="172" t="e">
        <f>'输出值2-营业收入估算表'!N26/(1+输入值【1】!$C$105)*输入值【1】!$C$105</f>
        <v>#VALUE!</v>
      </c>
      <c r="O10" s="172" t="e">
        <f>'输出值2-营业收入估算表'!O26/(1+输入值【1】!$C$105)*输入值【1】!$C$105</f>
        <v>#VALUE!</v>
      </c>
      <c r="P10" s="172" t="e">
        <f>'输出值2-营业收入估算表'!P26/(1+输入值【1】!$C$105)*输入值【1】!$C$105</f>
        <v>#VALUE!</v>
      </c>
      <c r="Q10" s="172" t="e">
        <f>'输出值2-营业收入估算表'!Q26/(1+输入值【1】!$C$105)*输入值【1】!$C$105</f>
        <v>#VALUE!</v>
      </c>
      <c r="R10" s="172" t="e">
        <f>'输出值2-营业收入估算表'!R26/(1+输入值【1】!$C$105)*输入值【1】!$C$105</f>
        <v>#VALUE!</v>
      </c>
      <c r="S10" s="172" t="e">
        <f>'输出值2-营业收入估算表'!S26/(1+输入值【1】!$C$105)*输入值【1】!$C$105</f>
        <v>#VALUE!</v>
      </c>
      <c r="T10" s="172" t="e">
        <f>'输出值2-营业收入估算表'!T26/(1+输入值【1】!$C$105)*输入值【1】!$C$105</f>
        <v>#VALUE!</v>
      </c>
      <c r="U10" s="172" t="e">
        <f>'输出值2-营业收入估算表'!U26/(1+输入值【1】!$C$105)*输入值【1】!$C$105</f>
        <v>#VALUE!</v>
      </c>
      <c r="V10" s="172" t="e">
        <f>'输出值2-营业收入估算表'!V26/(1+输入值【1】!$C$105)*输入值【1】!$C$105</f>
        <v>#VALUE!</v>
      </c>
      <c r="W10" s="172" t="e">
        <f>'输出值2-营业收入估算表'!W26/(1+输入值【1】!$C$105)*输入值【1】!$C$105</f>
        <v>#VALUE!</v>
      </c>
    </row>
    <row r="11" spans="1:23" ht="15">
      <c r="A11" s="70">
        <v>1.8</v>
      </c>
      <c r="B11" s="70" t="s">
        <v>330</v>
      </c>
      <c r="C11" s="88" t="e">
        <f t="shared" si="0"/>
        <v>#VALUE!</v>
      </c>
      <c r="D11" s="172" t="e">
        <f>'输出值2-营业收入估算表'!D29/(1+输入值【1】!$C$106)*输入值【1】!$C$106</f>
        <v>#VALUE!</v>
      </c>
      <c r="E11" s="172" t="e">
        <f>'输出值2-营业收入估算表'!E29/(1+输入值【1】!$C$106)*输入值【1】!$C$106</f>
        <v>#VALUE!</v>
      </c>
      <c r="F11" s="172" t="e">
        <f>'输出值2-营业收入估算表'!F29/(1+输入值【1】!$C$106)*输入值【1】!$C$106</f>
        <v>#VALUE!</v>
      </c>
      <c r="G11" s="172" t="e">
        <f>'输出值2-营业收入估算表'!G29/(1+输入值【1】!$C$106)*输入值【1】!$C$106</f>
        <v>#VALUE!</v>
      </c>
      <c r="H11" s="172" t="e">
        <f>'输出值2-营业收入估算表'!H29/(1+输入值【1】!$C$106)*输入值【1】!$C$106</f>
        <v>#VALUE!</v>
      </c>
      <c r="I11" s="172" t="e">
        <f>'输出值2-营业收入估算表'!I29/(1+输入值【1】!$C$106)*输入值【1】!$C$106</f>
        <v>#VALUE!</v>
      </c>
      <c r="J11" s="172" t="e">
        <f>'输出值2-营业收入估算表'!J29/(1+输入值【1】!$C$106)*输入值【1】!$C$106</f>
        <v>#VALUE!</v>
      </c>
      <c r="K11" s="172" t="e">
        <f>'输出值2-营业收入估算表'!K29/(1+输入值【1】!$C$106)*输入值【1】!$C$106</f>
        <v>#VALUE!</v>
      </c>
      <c r="L11" s="172" t="e">
        <f>'输出值2-营业收入估算表'!L29/(1+输入值【1】!$C$106)*输入值【1】!$C$106</f>
        <v>#VALUE!</v>
      </c>
      <c r="M11" s="172" t="e">
        <f>'输出值2-营业收入估算表'!M29/(1+输入值【1】!$C$106)*输入值【1】!$C$106</f>
        <v>#VALUE!</v>
      </c>
      <c r="N11" s="172" t="e">
        <f>'输出值2-营业收入估算表'!N29/(1+输入值【1】!$C$106)*输入值【1】!$C$106</f>
        <v>#VALUE!</v>
      </c>
      <c r="O11" s="172" t="e">
        <f>'输出值2-营业收入估算表'!O29/(1+输入值【1】!$C$106)*输入值【1】!$C$106</f>
        <v>#VALUE!</v>
      </c>
      <c r="P11" s="172" t="e">
        <f>'输出值2-营业收入估算表'!P29/(1+输入值【1】!$C$106)*输入值【1】!$C$106</f>
        <v>#VALUE!</v>
      </c>
      <c r="Q11" s="172" t="e">
        <f>'输出值2-营业收入估算表'!Q29/(1+输入值【1】!$C$106)*输入值【1】!$C$106</f>
        <v>#VALUE!</v>
      </c>
      <c r="R11" s="172" t="e">
        <f>'输出值2-营业收入估算表'!R29/(1+输入值【1】!$C$106)*输入值【1】!$C$106</f>
        <v>#VALUE!</v>
      </c>
      <c r="S11" s="172" t="e">
        <f>'输出值2-营业收入估算表'!S29/(1+输入值【1】!$C$106)*输入值【1】!$C$106</f>
        <v>#VALUE!</v>
      </c>
      <c r="T11" s="172" t="e">
        <f>'输出值2-营业收入估算表'!T29/(1+输入值【1】!$C$106)*输入值【1】!$C$106</f>
        <v>#VALUE!</v>
      </c>
      <c r="U11" s="172" t="e">
        <f>'输出值2-营业收入估算表'!U29/(1+输入值【1】!$C$106)*输入值【1】!$C$106</f>
        <v>#VALUE!</v>
      </c>
      <c r="V11" s="172" t="e">
        <f>'输出值2-营业收入估算表'!V29/(1+输入值【1】!$C$106)*输入值【1】!$C$106</f>
        <v>#VALUE!</v>
      </c>
      <c r="W11" s="172" t="e">
        <f>'输出值2-营业收入估算表'!W29/(1+输入值【1】!$C$106)*输入值【1】!$C$106</f>
        <v>#VALUE!</v>
      </c>
    </row>
    <row r="12" spans="1:23" ht="15">
      <c r="A12" s="61">
        <v>2</v>
      </c>
      <c r="B12" s="61" t="s">
        <v>66</v>
      </c>
      <c r="C12" s="88" t="e">
        <f t="shared" ref="C12:C16" si="2">SUM(D12:W12)</f>
        <v>#VALUE!</v>
      </c>
      <c r="D12" s="173" t="e">
        <f>D13</f>
        <v>#VALUE!</v>
      </c>
      <c r="E12" s="173" t="e">
        <f t="shared" ref="E12:W12" si="3">E13</f>
        <v>#VALUE!</v>
      </c>
      <c r="F12" s="173">
        <f t="shared" si="3"/>
        <v>0</v>
      </c>
      <c r="G12" s="173">
        <f t="shared" si="3"/>
        <v>0</v>
      </c>
      <c r="H12" s="173">
        <f t="shared" si="3"/>
        <v>0</v>
      </c>
      <c r="I12" s="173">
        <f t="shared" si="3"/>
        <v>0</v>
      </c>
      <c r="J12" s="173">
        <f t="shared" si="3"/>
        <v>0</v>
      </c>
      <c r="K12" s="173">
        <f t="shared" si="3"/>
        <v>0</v>
      </c>
      <c r="L12" s="173">
        <f t="shared" si="3"/>
        <v>0</v>
      </c>
      <c r="M12" s="173">
        <f t="shared" si="3"/>
        <v>0</v>
      </c>
      <c r="N12" s="173">
        <f t="shared" si="3"/>
        <v>0</v>
      </c>
      <c r="O12" s="173">
        <f t="shared" si="3"/>
        <v>0</v>
      </c>
      <c r="P12" s="173">
        <f t="shared" si="3"/>
        <v>0</v>
      </c>
      <c r="Q12" s="173">
        <f t="shared" si="3"/>
        <v>0</v>
      </c>
      <c r="R12" s="173">
        <f t="shared" si="3"/>
        <v>0</v>
      </c>
      <c r="S12" s="173">
        <f t="shared" si="3"/>
        <v>0</v>
      </c>
      <c r="T12" s="173">
        <f t="shared" si="3"/>
        <v>0</v>
      </c>
      <c r="U12" s="173">
        <f t="shared" si="3"/>
        <v>0</v>
      </c>
      <c r="V12" s="173">
        <f t="shared" si="3"/>
        <v>0</v>
      </c>
      <c r="W12" s="173">
        <f t="shared" si="3"/>
        <v>0</v>
      </c>
    </row>
    <row r="13" spans="1:23" ht="15">
      <c r="A13" s="70">
        <v>2.1</v>
      </c>
      <c r="B13" s="70" t="s">
        <v>69</v>
      </c>
      <c r="C13" s="88" t="e">
        <f t="shared" si="2"/>
        <v>#VALUE!</v>
      </c>
      <c r="D13" s="172" t="e">
        <f>('输出值1-总投资估算表'!F44)*输入值【1】!C49/(1+输入值【1】!C104)*输入值【1】!C104</f>
        <v>#VALUE!</v>
      </c>
      <c r="E13" s="173" t="e">
        <f>('输出值1-总投资估算表'!F44)*输入值【1】!C50/(1+输入值【1】!C104)*输入值【1】!C104</f>
        <v>#VALUE!</v>
      </c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</row>
    <row r="14" spans="1:23" ht="15">
      <c r="A14" s="61">
        <v>3</v>
      </c>
      <c r="B14" s="61" t="s">
        <v>67</v>
      </c>
      <c r="C14" s="88" t="e">
        <f t="shared" si="2"/>
        <v>#VALUE!</v>
      </c>
      <c r="D14" s="173">
        <v>0</v>
      </c>
      <c r="E14" s="173" t="e">
        <f t="shared" ref="E14:W14" si="4">IF((D15+E12)&gt;E3,E3,(D15+E12))</f>
        <v>#VALUE!</v>
      </c>
      <c r="F14" s="173" t="e">
        <f t="shared" si="4"/>
        <v>#VALUE!</v>
      </c>
      <c r="G14" s="173" t="e">
        <f t="shared" si="4"/>
        <v>#VALUE!</v>
      </c>
      <c r="H14" s="173" t="e">
        <f t="shared" si="4"/>
        <v>#VALUE!</v>
      </c>
      <c r="I14" s="173" t="e">
        <f t="shared" si="4"/>
        <v>#VALUE!</v>
      </c>
      <c r="J14" s="173" t="e">
        <f t="shared" si="4"/>
        <v>#VALUE!</v>
      </c>
      <c r="K14" s="173" t="e">
        <f t="shared" si="4"/>
        <v>#VALUE!</v>
      </c>
      <c r="L14" s="173" t="e">
        <f t="shared" si="4"/>
        <v>#VALUE!</v>
      </c>
      <c r="M14" s="173" t="e">
        <f t="shared" si="4"/>
        <v>#VALUE!</v>
      </c>
      <c r="N14" s="173" t="e">
        <f t="shared" si="4"/>
        <v>#VALUE!</v>
      </c>
      <c r="O14" s="173" t="e">
        <f t="shared" si="4"/>
        <v>#VALUE!</v>
      </c>
      <c r="P14" s="173" t="e">
        <f t="shared" si="4"/>
        <v>#VALUE!</v>
      </c>
      <c r="Q14" s="173" t="e">
        <f t="shared" si="4"/>
        <v>#VALUE!</v>
      </c>
      <c r="R14" s="173" t="e">
        <f t="shared" si="4"/>
        <v>#VALUE!</v>
      </c>
      <c r="S14" s="173" t="e">
        <f t="shared" si="4"/>
        <v>#VALUE!</v>
      </c>
      <c r="T14" s="173" t="e">
        <f t="shared" si="4"/>
        <v>#VALUE!</v>
      </c>
      <c r="U14" s="173" t="e">
        <f t="shared" si="4"/>
        <v>#VALUE!</v>
      </c>
      <c r="V14" s="173" t="e">
        <f t="shared" si="4"/>
        <v>#VALUE!</v>
      </c>
      <c r="W14" s="173" t="e">
        <f t="shared" si="4"/>
        <v>#VALUE!</v>
      </c>
    </row>
    <row r="15" spans="1:23" ht="15">
      <c r="A15" s="61">
        <v>4</v>
      </c>
      <c r="B15" s="61" t="s">
        <v>68</v>
      </c>
      <c r="C15" s="88" t="e">
        <f t="shared" si="2"/>
        <v>#VALUE!</v>
      </c>
      <c r="D15" s="173" t="e">
        <f>D12</f>
        <v>#VALUE!</v>
      </c>
      <c r="E15" s="173" t="e">
        <f t="shared" ref="E15:W15" si="5">D15+E12-E14</f>
        <v>#VALUE!</v>
      </c>
      <c r="F15" s="173" t="e">
        <f t="shared" si="5"/>
        <v>#VALUE!</v>
      </c>
      <c r="G15" s="173" t="e">
        <f t="shared" si="5"/>
        <v>#VALUE!</v>
      </c>
      <c r="H15" s="173" t="e">
        <f t="shared" si="5"/>
        <v>#VALUE!</v>
      </c>
      <c r="I15" s="173" t="e">
        <f t="shared" si="5"/>
        <v>#VALUE!</v>
      </c>
      <c r="J15" s="173" t="e">
        <f t="shared" si="5"/>
        <v>#VALUE!</v>
      </c>
      <c r="K15" s="173" t="e">
        <f t="shared" si="5"/>
        <v>#VALUE!</v>
      </c>
      <c r="L15" s="173" t="e">
        <f t="shared" si="5"/>
        <v>#VALUE!</v>
      </c>
      <c r="M15" s="173" t="e">
        <f t="shared" si="5"/>
        <v>#VALUE!</v>
      </c>
      <c r="N15" s="173" t="e">
        <f t="shared" si="5"/>
        <v>#VALUE!</v>
      </c>
      <c r="O15" s="173" t="e">
        <f t="shared" si="5"/>
        <v>#VALUE!</v>
      </c>
      <c r="P15" s="173" t="e">
        <f t="shared" si="5"/>
        <v>#VALUE!</v>
      </c>
      <c r="Q15" s="173" t="e">
        <f t="shared" si="5"/>
        <v>#VALUE!</v>
      </c>
      <c r="R15" s="173" t="e">
        <f t="shared" si="5"/>
        <v>#VALUE!</v>
      </c>
      <c r="S15" s="173" t="e">
        <f t="shared" si="5"/>
        <v>#VALUE!</v>
      </c>
      <c r="T15" s="173" t="e">
        <f t="shared" si="5"/>
        <v>#VALUE!</v>
      </c>
      <c r="U15" s="173" t="e">
        <f t="shared" si="5"/>
        <v>#VALUE!</v>
      </c>
      <c r="V15" s="173" t="e">
        <f t="shared" si="5"/>
        <v>#VALUE!</v>
      </c>
      <c r="W15" s="173" t="e">
        <f t="shared" si="5"/>
        <v>#VALUE!</v>
      </c>
    </row>
    <row r="16" spans="1:23" ht="15">
      <c r="A16" s="61">
        <v>5</v>
      </c>
      <c r="B16" s="61" t="s">
        <v>7</v>
      </c>
      <c r="C16" s="88" t="e">
        <f t="shared" si="2"/>
        <v>#VALUE!</v>
      </c>
      <c r="D16" s="173" t="e">
        <f t="shared" ref="D16:W16" si="6">D3-D14</f>
        <v>#VALUE!</v>
      </c>
      <c r="E16" s="173" t="e">
        <f t="shared" si="6"/>
        <v>#VALUE!</v>
      </c>
      <c r="F16" s="173" t="e">
        <f t="shared" si="6"/>
        <v>#VALUE!</v>
      </c>
      <c r="G16" s="173" t="e">
        <f t="shared" si="6"/>
        <v>#VALUE!</v>
      </c>
      <c r="H16" s="173" t="e">
        <f t="shared" si="6"/>
        <v>#VALUE!</v>
      </c>
      <c r="I16" s="173" t="e">
        <f t="shared" si="6"/>
        <v>#VALUE!</v>
      </c>
      <c r="J16" s="173" t="e">
        <f t="shared" si="6"/>
        <v>#VALUE!</v>
      </c>
      <c r="K16" s="173" t="e">
        <f t="shared" si="6"/>
        <v>#VALUE!</v>
      </c>
      <c r="L16" s="173" t="e">
        <f t="shared" si="6"/>
        <v>#VALUE!</v>
      </c>
      <c r="M16" s="173" t="e">
        <f t="shared" si="6"/>
        <v>#VALUE!</v>
      </c>
      <c r="N16" s="173" t="e">
        <f t="shared" si="6"/>
        <v>#VALUE!</v>
      </c>
      <c r="O16" s="173" t="e">
        <f t="shared" si="6"/>
        <v>#VALUE!</v>
      </c>
      <c r="P16" s="173" t="e">
        <f t="shared" si="6"/>
        <v>#VALUE!</v>
      </c>
      <c r="Q16" s="173" t="e">
        <f t="shared" si="6"/>
        <v>#VALUE!</v>
      </c>
      <c r="R16" s="173" t="e">
        <f t="shared" si="6"/>
        <v>#VALUE!</v>
      </c>
      <c r="S16" s="173" t="e">
        <f t="shared" si="6"/>
        <v>#VALUE!</v>
      </c>
      <c r="T16" s="173" t="e">
        <f t="shared" si="6"/>
        <v>#VALUE!</v>
      </c>
      <c r="U16" s="173" t="e">
        <f t="shared" si="6"/>
        <v>#VALUE!</v>
      </c>
      <c r="V16" s="173" t="e">
        <f t="shared" si="6"/>
        <v>#VALUE!</v>
      </c>
      <c r="W16" s="173" t="e">
        <f t="shared" si="6"/>
        <v>#VALUE!</v>
      </c>
    </row>
    <row r="17" spans="1:23" ht="15">
      <c r="A17" s="90">
        <v>6</v>
      </c>
      <c r="B17" s="91" t="s">
        <v>71</v>
      </c>
      <c r="C17" s="88" t="e">
        <f t="shared" ref="C17:C26" si="7">SUM(D17:W17)</f>
        <v>#VALUE!</v>
      </c>
      <c r="D17" s="173" t="e">
        <f>SUM(D18:D20)</f>
        <v>#VALUE!</v>
      </c>
      <c r="E17" s="173" t="e">
        <f t="shared" ref="E17:W17" si="8">SUM(E18:E20)</f>
        <v>#VALUE!</v>
      </c>
      <c r="F17" s="173" t="e">
        <f t="shared" si="8"/>
        <v>#VALUE!</v>
      </c>
      <c r="G17" s="173" t="e">
        <f t="shared" si="8"/>
        <v>#VALUE!</v>
      </c>
      <c r="H17" s="173" t="e">
        <f t="shared" si="8"/>
        <v>#VALUE!</v>
      </c>
      <c r="I17" s="173" t="e">
        <f t="shared" si="8"/>
        <v>#VALUE!</v>
      </c>
      <c r="J17" s="173" t="e">
        <f t="shared" si="8"/>
        <v>#VALUE!</v>
      </c>
      <c r="K17" s="173" t="e">
        <f t="shared" si="8"/>
        <v>#VALUE!</v>
      </c>
      <c r="L17" s="173" t="e">
        <f t="shared" si="8"/>
        <v>#VALUE!</v>
      </c>
      <c r="M17" s="173" t="e">
        <f t="shared" si="8"/>
        <v>#VALUE!</v>
      </c>
      <c r="N17" s="173" t="e">
        <f t="shared" si="8"/>
        <v>#VALUE!</v>
      </c>
      <c r="O17" s="173" t="e">
        <f t="shared" si="8"/>
        <v>#VALUE!</v>
      </c>
      <c r="P17" s="173" t="e">
        <f t="shared" si="8"/>
        <v>#VALUE!</v>
      </c>
      <c r="Q17" s="173" t="e">
        <f t="shared" si="8"/>
        <v>#VALUE!</v>
      </c>
      <c r="R17" s="173" t="e">
        <f t="shared" si="8"/>
        <v>#VALUE!</v>
      </c>
      <c r="S17" s="173" t="e">
        <f t="shared" si="8"/>
        <v>#VALUE!</v>
      </c>
      <c r="T17" s="173" t="e">
        <f t="shared" si="8"/>
        <v>#VALUE!</v>
      </c>
      <c r="U17" s="173" t="e">
        <f t="shared" si="8"/>
        <v>#VALUE!</v>
      </c>
      <c r="V17" s="173" t="e">
        <f t="shared" si="8"/>
        <v>#VALUE!</v>
      </c>
      <c r="W17" s="173" t="e">
        <f t="shared" si="8"/>
        <v>#VALUE!</v>
      </c>
    </row>
    <row r="18" spans="1:23" ht="15">
      <c r="A18" s="89">
        <v>6.1</v>
      </c>
      <c r="B18" s="58" t="s">
        <v>72</v>
      </c>
      <c r="C18" s="88" t="e">
        <f t="shared" si="7"/>
        <v>#VALUE!</v>
      </c>
      <c r="D18" s="173" t="e">
        <f>D16*5%</f>
        <v>#VALUE!</v>
      </c>
      <c r="E18" s="173" t="e">
        <f t="shared" ref="E18:W18" si="9">E16*5%</f>
        <v>#VALUE!</v>
      </c>
      <c r="F18" s="173" t="e">
        <f t="shared" si="9"/>
        <v>#VALUE!</v>
      </c>
      <c r="G18" s="173" t="e">
        <f t="shared" si="9"/>
        <v>#VALUE!</v>
      </c>
      <c r="H18" s="173" t="e">
        <f t="shared" si="9"/>
        <v>#VALUE!</v>
      </c>
      <c r="I18" s="173" t="e">
        <f t="shared" si="9"/>
        <v>#VALUE!</v>
      </c>
      <c r="J18" s="173" t="e">
        <f t="shared" si="9"/>
        <v>#VALUE!</v>
      </c>
      <c r="K18" s="173" t="e">
        <f t="shared" si="9"/>
        <v>#VALUE!</v>
      </c>
      <c r="L18" s="173" t="e">
        <f t="shared" si="9"/>
        <v>#VALUE!</v>
      </c>
      <c r="M18" s="173" t="e">
        <f t="shared" si="9"/>
        <v>#VALUE!</v>
      </c>
      <c r="N18" s="173" t="e">
        <f t="shared" si="9"/>
        <v>#VALUE!</v>
      </c>
      <c r="O18" s="173" t="e">
        <f t="shared" si="9"/>
        <v>#VALUE!</v>
      </c>
      <c r="P18" s="173" t="e">
        <f t="shared" si="9"/>
        <v>#VALUE!</v>
      </c>
      <c r="Q18" s="173" t="e">
        <f t="shared" si="9"/>
        <v>#VALUE!</v>
      </c>
      <c r="R18" s="173" t="e">
        <f t="shared" si="9"/>
        <v>#VALUE!</v>
      </c>
      <c r="S18" s="173" t="e">
        <f t="shared" si="9"/>
        <v>#VALUE!</v>
      </c>
      <c r="T18" s="173" t="e">
        <f t="shared" si="9"/>
        <v>#VALUE!</v>
      </c>
      <c r="U18" s="173" t="e">
        <f t="shared" si="9"/>
        <v>#VALUE!</v>
      </c>
      <c r="V18" s="173" t="e">
        <f t="shared" si="9"/>
        <v>#VALUE!</v>
      </c>
      <c r="W18" s="173" t="e">
        <f t="shared" si="9"/>
        <v>#VALUE!</v>
      </c>
    </row>
    <row r="19" spans="1:23" ht="15">
      <c r="A19" s="89">
        <v>6.2</v>
      </c>
      <c r="B19" s="58" t="s">
        <v>73</v>
      </c>
      <c r="C19" s="88" t="e">
        <f t="shared" si="7"/>
        <v>#VALUE!</v>
      </c>
      <c r="D19" s="173" t="e">
        <f>D16*3%</f>
        <v>#VALUE!</v>
      </c>
      <c r="E19" s="173" t="e">
        <f t="shared" ref="E19:W19" si="10">E16*3%</f>
        <v>#VALUE!</v>
      </c>
      <c r="F19" s="173" t="e">
        <f t="shared" si="10"/>
        <v>#VALUE!</v>
      </c>
      <c r="G19" s="173" t="e">
        <f t="shared" si="10"/>
        <v>#VALUE!</v>
      </c>
      <c r="H19" s="173" t="e">
        <f t="shared" si="10"/>
        <v>#VALUE!</v>
      </c>
      <c r="I19" s="173" t="e">
        <f t="shared" si="10"/>
        <v>#VALUE!</v>
      </c>
      <c r="J19" s="173" t="e">
        <f t="shared" si="10"/>
        <v>#VALUE!</v>
      </c>
      <c r="K19" s="173" t="e">
        <f t="shared" si="10"/>
        <v>#VALUE!</v>
      </c>
      <c r="L19" s="173" t="e">
        <f t="shared" si="10"/>
        <v>#VALUE!</v>
      </c>
      <c r="M19" s="173" t="e">
        <f t="shared" si="10"/>
        <v>#VALUE!</v>
      </c>
      <c r="N19" s="173" t="e">
        <f t="shared" si="10"/>
        <v>#VALUE!</v>
      </c>
      <c r="O19" s="173" t="e">
        <f t="shared" si="10"/>
        <v>#VALUE!</v>
      </c>
      <c r="P19" s="173" t="e">
        <f t="shared" si="10"/>
        <v>#VALUE!</v>
      </c>
      <c r="Q19" s="173" t="e">
        <f t="shared" si="10"/>
        <v>#VALUE!</v>
      </c>
      <c r="R19" s="173" t="e">
        <f t="shared" si="10"/>
        <v>#VALUE!</v>
      </c>
      <c r="S19" s="173" t="e">
        <f t="shared" si="10"/>
        <v>#VALUE!</v>
      </c>
      <c r="T19" s="173" t="e">
        <f t="shared" si="10"/>
        <v>#VALUE!</v>
      </c>
      <c r="U19" s="173" t="e">
        <f t="shared" si="10"/>
        <v>#VALUE!</v>
      </c>
      <c r="V19" s="173" t="e">
        <f t="shared" si="10"/>
        <v>#VALUE!</v>
      </c>
      <c r="W19" s="173" t="e">
        <f t="shared" si="10"/>
        <v>#VALUE!</v>
      </c>
    </row>
    <row r="20" spans="1:23" ht="15">
      <c r="A20" s="89">
        <v>6.3</v>
      </c>
      <c r="B20" s="58" t="s">
        <v>74</v>
      </c>
      <c r="C20" s="88" t="e">
        <f t="shared" si="7"/>
        <v>#VALUE!</v>
      </c>
      <c r="D20" s="173" t="e">
        <f>D16*2%</f>
        <v>#VALUE!</v>
      </c>
      <c r="E20" s="173" t="e">
        <f t="shared" ref="E20:W20" si="11">E16*2%</f>
        <v>#VALUE!</v>
      </c>
      <c r="F20" s="173" t="e">
        <f t="shared" si="11"/>
        <v>#VALUE!</v>
      </c>
      <c r="G20" s="173" t="e">
        <f t="shared" si="11"/>
        <v>#VALUE!</v>
      </c>
      <c r="H20" s="173" t="e">
        <f t="shared" si="11"/>
        <v>#VALUE!</v>
      </c>
      <c r="I20" s="173" t="e">
        <f t="shared" si="11"/>
        <v>#VALUE!</v>
      </c>
      <c r="J20" s="173" t="e">
        <f t="shared" si="11"/>
        <v>#VALUE!</v>
      </c>
      <c r="K20" s="173" t="e">
        <f t="shared" si="11"/>
        <v>#VALUE!</v>
      </c>
      <c r="L20" s="173" t="e">
        <f t="shared" si="11"/>
        <v>#VALUE!</v>
      </c>
      <c r="M20" s="173" t="e">
        <f t="shared" si="11"/>
        <v>#VALUE!</v>
      </c>
      <c r="N20" s="173" t="e">
        <f t="shared" si="11"/>
        <v>#VALUE!</v>
      </c>
      <c r="O20" s="173" t="e">
        <f t="shared" si="11"/>
        <v>#VALUE!</v>
      </c>
      <c r="P20" s="173" t="e">
        <f t="shared" si="11"/>
        <v>#VALUE!</v>
      </c>
      <c r="Q20" s="173" t="e">
        <f t="shared" si="11"/>
        <v>#VALUE!</v>
      </c>
      <c r="R20" s="173" t="e">
        <f t="shared" si="11"/>
        <v>#VALUE!</v>
      </c>
      <c r="S20" s="173" t="e">
        <f t="shared" si="11"/>
        <v>#VALUE!</v>
      </c>
      <c r="T20" s="173" t="e">
        <f t="shared" si="11"/>
        <v>#VALUE!</v>
      </c>
      <c r="U20" s="173" t="e">
        <f t="shared" si="11"/>
        <v>#VALUE!</v>
      </c>
      <c r="V20" s="173" t="e">
        <f t="shared" si="11"/>
        <v>#VALUE!</v>
      </c>
      <c r="W20" s="173" t="e">
        <f t="shared" si="11"/>
        <v>#VALUE!</v>
      </c>
    </row>
    <row r="21" spans="1:23" ht="15">
      <c r="A21" s="90">
        <v>7</v>
      </c>
      <c r="B21" s="91" t="s">
        <v>334</v>
      </c>
      <c r="C21" s="88" t="e">
        <f t="shared" si="7"/>
        <v>#VALUE!</v>
      </c>
      <c r="D21" s="173" t="e">
        <f>'输出值1-总投资估算表'!F41*输入值【1】!C110</f>
        <v>#VALUE!</v>
      </c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</row>
    <row r="22" spans="1:23" ht="15">
      <c r="A22" s="90">
        <v>8</v>
      </c>
      <c r="B22" s="91" t="s">
        <v>335</v>
      </c>
      <c r="C22" s="88" t="e">
        <f t="shared" si="7"/>
        <v>#VALUE!</v>
      </c>
      <c r="D22" s="173" t="e">
        <f>SUM(D23:D24)</f>
        <v>#VALUE!</v>
      </c>
      <c r="E22" s="173" t="e">
        <f t="shared" ref="E22:W22" si="12">SUM(E23:E24)</f>
        <v>#VALUE!</v>
      </c>
      <c r="F22" s="173" t="e">
        <f t="shared" si="12"/>
        <v>#VALUE!</v>
      </c>
      <c r="G22" s="173" t="e">
        <f t="shared" si="12"/>
        <v>#VALUE!</v>
      </c>
      <c r="H22" s="173" t="e">
        <f t="shared" si="12"/>
        <v>#VALUE!</v>
      </c>
      <c r="I22" s="173" t="e">
        <f t="shared" si="12"/>
        <v>#VALUE!</v>
      </c>
      <c r="J22" s="173" t="e">
        <f t="shared" si="12"/>
        <v>#VALUE!</v>
      </c>
      <c r="K22" s="173" t="e">
        <f t="shared" si="12"/>
        <v>#VALUE!</v>
      </c>
      <c r="L22" s="173" t="e">
        <f t="shared" si="12"/>
        <v>#VALUE!</v>
      </c>
      <c r="M22" s="173" t="e">
        <f t="shared" si="12"/>
        <v>#VALUE!</v>
      </c>
      <c r="N22" s="173" t="e">
        <f t="shared" si="12"/>
        <v>#VALUE!</v>
      </c>
      <c r="O22" s="173" t="e">
        <f t="shared" si="12"/>
        <v>#VALUE!</v>
      </c>
      <c r="P22" s="173" t="e">
        <f t="shared" si="12"/>
        <v>#VALUE!</v>
      </c>
      <c r="Q22" s="173" t="e">
        <f t="shared" si="12"/>
        <v>#VALUE!</v>
      </c>
      <c r="R22" s="173" t="e">
        <f t="shared" si="12"/>
        <v>#VALUE!</v>
      </c>
      <c r="S22" s="173" t="e">
        <f t="shared" si="12"/>
        <v>#VALUE!</v>
      </c>
      <c r="T22" s="173" t="e">
        <f t="shared" si="12"/>
        <v>#VALUE!</v>
      </c>
      <c r="U22" s="173" t="e">
        <f t="shared" si="12"/>
        <v>#VALUE!</v>
      </c>
      <c r="V22" s="173" t="e">
        <f t="shared" si="12"/>
        <v>#VALUE!</v>
      </c>
      <c r="W22" s="173" t="e">
        <f t="shared" si="12"/>
        <v>#VALUE!</v>
      </c>
    </row>
    <row r="23" spans="1:23" ht="15">
      <c r="A23" s="89">
        <v>8.1</v>
      </c>
      <c r="B23" s="58" t="s">
        <v>342</v>
      </c>
      <c r="C23" s="88" t="e">
        <f t="shared" si="7"/>
        <v>#VALUE!</v>
      </c>
      <c r="D23" s="173" t="e">
        <f>('输出值2-营业收入估算表'!D5+'输出值2-营业收入估算表'!D12+'输出值2-营业收入估算表'!D19+'输出值2-营业收入估算表'!D26)*输入值【1】!$C$112</f>
        <v>#VALUE!</v>
      </c>
      <c r="E23" s="173" t="e">
        <f>('输出值2-营业收入估算表'!E5+'输出值2-营业收入估算表'!E12+'输出值2-营业收入估算表'!E19+'输出值2-营业收入估算表'!E26)*输入值【1】!$C$112</f>
        <v>#VALUE!</v>
      </c>
      <c r="F23" s="173" t="e">
        <f>('输出值2-营业收入估算表'!F5+'输出值2-营业收入估算表'!F12+'输出值2-营业收入估算表'!F19+'输出值2-营业收入估算表'!F26)*输入值【1】!$C$112</f>
        <v>#VALUE!</v>
      </c>
      <c r="G23" s="173" t="e">
        <f>('输出值2-营业收入估算表'!G5+'输出值2-营业收入估算表'!G12+'输出值2-营业收入估算表'!G19+'输出值2-营业收入估算表'!G26)*输入值【1】!$C$112</f>
        <v>#VALUE!</v>
      </c>
      <c r="H23" s="173" t="e">
        <f>('输出值2-营业收入估算表'!H5+'输出值2-营业收入估算表'!H12+'输出值2-营业收入估算表'!H19+'输出值2-营业收入估算表'!H26)*输入值【1】!$C$112</f>
        <v>#VALUE!</v>
      </c>
      <c r="I23" s="173" t="e">
        <f>('输出值2-营业收入估算表'!I5+'输出值2-营业收入估算表'!I12+'输出值2-营业收入估算表'!I19+'输出值2-营业收入估算表'!I26)*输入值【1】!$C$112</f>
        <v>#VALUE!</v>
      </c>
      <c r="J23" s="173" t="e">
        <f>('输出值2-营业收入估算表'!J5+'输出值2-营业收入估算表'!J12+'输出值2-营业收入估算表'!J19+'输出值2-营业收入估算表'!J26)*输入值【1】!$C$112</f>
        <v>#VALUE!</v>
      </c>
      <c r="K23" s="173" t="e">
        <f>('输出值2-营业收入估算表'!K5+'输出值2-营业收入估算表'!K12+'输出值2-营业收入估算表'!K19+'输出值2-营业收入估算表'!K26)*输入值【1】!$C$112</f>
        <v>#VALUE!</v>
      </c>
      <c r="L23" s="173" t="e">
        <f>('输出值2-营业收入估算表'!L5+'输出值2-营业收入估算表'!L12+'输出值2-营业收入估算表'!L19+'输出值2-营业收入估算表'!L26)*输入值【1】!$C$112</f>
        <v>#VALUE!</v>
      </c>
      <c r="M23" s="173" t="e">
        <f>('输出值2-营业收入估算表'!M5+'输出值2-营业收入估算表'!M12+'输出值2-营业收入估算表'!M19+'输出值2-营业收入估算表'!M26)*输入值【1】!$C$112</f>
        <v>#VALUE!</v>
      </c>
      <c r="N23" s="173" t="e">
        <f>('输出值2-营业收入估算表'!N5+'输出值2-营业收入估算表'!N12+'输出值2-营业收入估算表'!N19+'输出值2-营业收入估算表'!N26)*输入值【1】!$C$112</f>
        <v>#VALUE!</v>
      </c>
      <c r="O23" s="173" t="e">
        <f>('输出值2-营业收入估算表'!O5+'输出值2-营业收入估算表'!O12+'输出值2-营业收入估算表'!O19+'输出值2-营业收入估算表'!O26)*输入值【1】!$C$112</f>
        <v>#VALUE!</v>
      </c>
      <c r="P23" s="173" t="e">
        <f>('输出值2-营业收入估算表'!P5+'输出值2-营业收入估算表'!P12+'输出值2-营业收入估算表'!P19+'输出值2-营业收入估算表'!P26)*输入值【1】!$C$112</f>
        <v>#VALUE!</v>
      </c>
      <c r="Q23" s="173" t="e">
        <f>('输出值2-营业收入估算表'!Q5+'输出值2-营业收入估算表'!Q12+'输出值2-营业收入估算表'!Q19+'输出值2-营业收入估算表'!Q26)*输入值【1】!$C$112</f>
        <v>#VALUE!</v>
      </c>
      <c r="R23" s="173" t="e">
        <f>('输出值2-营业收入估算表'!R5+'输出值2-营业收入估算表'!R12+'输出值2-营业收入估算表'!R19+'输出值2-营业收入估算表'!R26)*输入值【1】!$C$112</f>
        <v>#VALUE!</v>
      </c>
      <c r="S23" s="173" t="e">
        <f>('输出值2-营业收入估算表'!S5+'输出值2-营业收入估算表'!S12+'输出值2-营业收入估算表'!S19+'输出值2-营业收入估算表'!S26)*输入值【1】!$C$112</f>
        <v>#VALUE!</v>
      </c>
      <c r="T23" s="173" t="e">
        <f>('输出值2-营业收入估算表'!T5+'输出值2-营业收入估算表'!T12+'输出值2-营业收入估算表'!T19+'输出值2-营业收入估算表'!T26)*输入值【1】!$C$112</f>
        <v>#VALUE!</v>
      </c>
      <c r="U23" s="173" t="e">
        <f>('输出值2-营业收入估算表'!U5+'输出值2-营业收入估算表'!U12+'输出值2-营业收入估算表'!U19+'输出值2-营业收入估算表'!U26)*输入值【1】!$C$112</f>
        <v>#VALUE!</v>
      </c>
      <c r="V23" s="173" t="e">
        <f>('输出值2-营业收入估算表'!V5+'输出值2-营业收入估算表'!V12+'输出值2-营业收入估算表'!V19+'输出值2-营业收入估算表'!V26)*输入值【1】!$C$112</f>
        <v>#VALUE!</v>
      </c>
      <c r="W23" s="173" t="e">
        <f>('输出值2-营业收入估算表'!W5+'输出值2-营业收入估算表'!W12+'输出值2-营业收入估算表'!W19+'输出值2-营业收入估算表'!W26)*输入值【1】!$C$112</f>
        <v>#VALUE!</v>
      </c>
    </row>
    <row r="24" spans="1:23" ht="15">
      <c r="A24" s="89">
        <v>8.1999999999999993</v>
      </c>
      <c r="B24" s="58" t="s">
        <v>343</v>
      </c>
      <c r="C24" s="88" t="e">
        <f t="shared" si="7"/>
        <v>#VALUE!</v>
      </c>
      <c r="D24" s="173" t="e">
        <f>('输出值2-营业收入估算表'!D8+'输出值2-营业收入估算表'!D15+'输出值2-营业收入估算表'!D22+'输出值2-营业收入估算表'!D29)*输入值【1】!$C$113</f>
        <v>#VALUE!</v>
      </c>
      <c r="E24" s="173" t="e">
        <f>('输出值2-营业收入估算表'!E8+'输出值2-营业收入估算表'!E15+'输出值2-营业收入估算表'!E22+'输出值2-营业收入估算表'!E29)*输入值【1】!$C$113</f>
        <v>#VALUE!</v>
      </c>
      <c r="F24" s="173" t="e">
        <f>('输出值2-营业收入估算表'!F8+'输出值2-营业收入估算表'!F15+'输出值2-营业收入估算表'!F22+'输出值2-营业收入估算表'!F29)*输入值【1】!$C$113</f>
        <v>#VALUE!</v>
      </c>
      <c r="G24" s="173" t="e">
        <f>('输出值2-营业收入估算表'!G8+'输出值2-营业收入估算表'!G15+'输出值2-营业收入估算表'!G22+'输出值2-营业收入估算表'!G29)*输入值【1】!$C$113</f>
        <v>#VALUE!</v>
      </c>
      <c r="H24" s="173" t="e">
        <f>('输出值2-营业收入估算表'!H8+'输出值2-营业收入估算表'!H15+'输出值2-营业收入估算表'!H22+'输出值2-营业收入估算表'!H29)*输入值【1】!$C$113</f>
        <v>#VALUE!</v>
      </c>
      <c r="I24" s="173" t="e">
        <f>('输出值2-营业收入估算表'!I8+'输出值2-营业收入估算表'!I15+'输出值2-营业收入估算表'!I22+'输出值2-营业收入估算表'!I29)*输入值【1】!$C$113</f>
        <v>#VALUE!</v>
      </c>
      <c r="J24" s="173" t="e">
        <f>('输出值2-营业收入估算表'!J8+'输出值2-营业收入估算表'!J15+'输出值2-营业收入估算表'!J22+'输出值2-营业收入估算表'!J29)*输入值【1】!$C$113</f>
        <v>#VALUE!</v>
      </c>
      <c r="K24" s="173" t="e">
        <f>('输出值2-营业收入估算表'!K8+'输出值2-营业收入估算表'!K15+'输出值2-营业收入估算表'!K22+'输出值2-营业收入估算表'!K29)*输入值【1】!$C$113</f>
        <v>#VALUE!</v>
      </c>
      <c r="L24" s="173" t="e">
        <f>('输出值2-营业收入估算表'!L8+'输出值2-营业收入估算表'!L15+'输出值2-营业收入估算表'!L22+'输出值2-营业收入估算表'!L29)*输入值【1】!$C$113</f>
        <v>#VALUE!</v>
      </c>
      <c r="M24" s="173" t="e">
        <f>('输出值2-营业收入估算表'!M8+'输出值2-营业收入估算表'!M15+'输出值2-营业收入估算表'!M22+'输出值2-营业收入估算表'!M29)*输入值【1】!$C$113</f>
        <v>#VALUE!</v>
      </c>
      <c r="N24" s="173" t="e">
        <f>('输出值2-营业收入估算表'!N8+'输出值2-营业收入估算表'!N15+'输出值2-营业收入估算表'!N22+'输出值2-营业收入估算表'!N29)*输入值【1】!$C$113</f>
        <v>#VALUE!</v>
      </c>
      <c r="O24" s="173" t="e">
        <f>('输出值2-营业收入估算表'!O8+'输出值2-营业收入估算表'!O15+'输出值2-营业收入估算表'!O22+'输出值2-营业收入估算表'!O29)*输入值【1】!$C$113</f>
        <v>#VALUE!</v>
      </c>
      <c r="P24" s="173" t="e">
        <f>('输出值2-营业收入估算表'!P8+'输出值2-营业收入估算表'!P15+'输出值2-营业收入估算表'!P22+'输出值2-营业收入估算表'!P29)*输入值【1】!$C$113</f>
        <v>#VALUE!</v>
      </c>
      <c r="Q24" s="173" t="e">
        <f>('输出值2-营业收入估算表'!Q8+'输出值2-营业收入估算表'!Q15+'输出值2-营业收入估算表'!Q22+'输出值2-营业收入估算表'!Q29)*输入值【1】!$C$113</f>
        <v>#VALUE!</v>
      </c>
      <c r="R24" s="173" t="e">
        <f>('输出值2-营业收入估算表'!R8+'输出值2-营业收入估算表'!R15+'输出值2-营业收入估算表'!R22+'输出值2-营业收入估算表'!R29)*输入值【1】!$C$113</f>
        <v>#VALUE!</v>
      </c>
      <c r="S24" s="173" t="e">
        <f>('输出值2-营业收入估算表'!S8+'输出值2-营业收入估算表'!S15+'输出值2-营业收入估算表'!S22+'输出值2-营业收入估算表'!S29)*输入值【1】!$C$113</f>
        <v>#VALUE!</v>
      </c>
      <c r="T24" s="173" t="e">
        <f>('输出值2-营业收入估算表'!T8+'输出值2-营业收入估算表'!T15+'输出值2-营业收入估算表'!T22+'输出值2-营业收入估算表'!T29)*输入值【1】!$C$113</f>
        <v>#VALUE!</v>
      </c>
      <c r="U24" s="173" t="e">
        <f>('输出值2-营业收入估算表'!U8+'输出值2-营业收入估算表'!U15+'输出值2-营业收入估算表'!U22+'输出值2-营业收入估算表'!U29)*输入值【1】!$C$113</f>
        <v>#VALUE!</v>
      </c>
      <c r="V24" s="173" t="e">
        <f>('输出值2-营业收入估算表'!V8+'输出值2-营业收入估算表'!V15+'输出值2-营业收入估算表'!V22+'输出值2-营业收入估算表'!V29)*输入值【1】!$C$113</f>
        <v>#VALUE!</v>
      </c>
      <c r="W24" s="173" t="e">
        <f>('输出值2-营业收入估算表'!W8+'输出值2-营业收入估算表'!W15+'输出值2-营业收入估算表'!W22+'输出值2-营业收入估算表'!W29)*输入值【1】!$C$113</f>
        <v>#VALUE!</v>
      </c>
    </row>
    <row r="25" spans="1:23" ht="15">
      <c r="A25" s="90">
        <v>9</v>
      </c>
      <c r="B25" s="91" t="s">
        <v>131</v>
      </c>
      <c r="C25" s="88" t="e">
        <f t="shared" si="7"/>
        <v>#VALUE!</v>
      </c>
      <c r="D25" s="173" t="e">
        <f>$C$43*输入值【2】!B14</f>
        <v>#VALUE!</v>
      </c>
      <c r="E25" s="173" t="e">
        <f>$C$43*输入值【2】!C14</f>
        <v>#VALUE!</v>
      </c>
      <c r="F25" s="173" t="e">
        <f>$C$43*输入值【2】!D14</f>
        <v>#VALUE!</v>
      </c>
      <c r="G25" s="173" t="e">
        <f>$C$43*输入值【2】!E14</f>
        <v>#VALUE!</v>
      </c>
      <c r="H25" s="173" t="e">
        <f>$C$43*输入值【2】!F14</f>
        <v>#VALUE!</v>
      </c>
      <c r="I25" s="173" t="e">
        <f>$C$43*输入值【2】!G14</f>
        <v>#VALUE!</v>
      </c>
      <c r="J25" s="173" t="e">
        <f>$C$43*输入值【2】!H14</f>
        <v>#VALUE!</v>
      </c>
      <c r="K25" s="173" t="e">
        <f>$C$43*输入值【2】!I14</f>
        <v>#VALUE!</v>
      </c>
      <c r="L25" s="173" t="e">
        <f>$C$43*输入值【2】!J14</f>
        <v>#VALUE!</v>
      </c>
      <c r="M25" s="173" t="e">
        <f>$C$43*输入值【2】!K14</f>
        <v>#VALUE!</v>
      </c>
      <c r="N25" s="173" t="e">
        <f>$C$43*输入值【2】!L14</f>
        <v>#VALUE!</v>
      </c>
      <c r="O25" s="173" t="e">
        <f>$C$43*输入值【2】!M14</f>
        <v>#VALUE!</v>
      </c>
      <c r="P25" s="173" t="e">
        <f>$C$43*输入值【2】!N14</f>
        <v>#VALUE!</v>
      </c>
      <c r="Q25" s="173" t="e">
        <f>$C$43*输入值【2】!O14</f>
        <v>#VALUE!</v>
      </c>
      <c r="R25" s="173" t="e">
        <f>$C$43*输入值【2】!P14</f>
        <v>#VALUE!</v>
      </c>
      <c r="S25" s="173" t="e">
        <f>$C$43*输入值【2】!Q14</f>
        <v>#VALUE!</v>
      </c>
      <c r="T25" s="173" t="e">
        <f>$C$43*输入值【2】!R14</f>
        <v>#VALUE!</v>
      </c>
      <c r="U25" s="173" t="e">
        <f>$C$43*输入值【2】!S14</f>
        <v>#VALUE!</v>
      </c>
      <c r="V25" s="173" t="e">
        <f>$C$43*输入值【2】!T14</f>
        <v>#VALUE!</v>
      </c>
      <c r="W25" s="173" t="e">
        <f>$C$43*输入值【2】!U14</f>
        <v>#VALUE!</v>
      </c>
    </row>
    <row r="26" spans="1:23" ht="15">
      <c r="A26" s="90">
        <v>10</v>
      </c>
      <c r="B26" s="91" t="s">
        <v>344</v>
      </c>
      <c r="C26" s="88" t="e">
        <f t="shared" si="7"/>
        <v>#VALUE!</v>
      </c>
      <c r="D26" s="173" t="e">
        <f>D16+D17+D21+D22+D25</f>
        <v>#VALUE!</v>
      </c>
      <c r="E26" s="173" t="e">
        <f t="shared" ref="E26:W26" si="13">E16+E17+E21+E22+E25</f>
        <v>#VALUE!</v>
      </c>
      <c r="F26" s="173" t="e">
        <f t="shared" si="13"/>
        <v>#VALUE!</v>
      </c>
      <c r="G26" s="173" t="e">
        <f t="shared" si="13"/>
        <v>#VALUE!</v>
      </c>
      <c r="H26" s="173" t="e">
        <f t="shared" si="13"/>
        <v>#VALUE!</v>
      </c>
      <c r="I26" s="173" t="e">
        <f t="shared" si="13"/>
        <v>#VALUE!</v>
      </c>
      <c r="J26" s="173" t="e">
        <f t="shared" si="13"/>
        <v>#VALUE!</v>
      </c>
      <c r="K26" s="173" t="e">
        <f t="shared" si="13"/>
        <v>#VALUE!</v>
      </c>
      <c r="L26" s="173" t="e">
        <f t="shared" si="13"/>
        <v>#VALUE!</v>
      </c>
      <c r="M26" s="173" t="e">
        <f t="shared" si="13"/>
        <v>#VALUE!</v>
      </c>
      <c r="N26" s="173" t="e">
        <f t="shared" si="13"/>
        <v>#VALUE!</v>
      </c>
      <c r="O26" s="173" t="e">
        <f t="shared" si="13"/>
        <v>#VALUE!</v>
      </c>
      <c r="P26" s="173" t="e">
        <f t="shared" si="13"/>
        <v>#VALUE!</v>
      </c>
      <c r="Q26" s="173" t="e">
        <f t="shared" si="13"/>
        <v>#VALUE!</v>
      </c>
      <c r="R26" s="173" t="e">
        <f t="shared" si="13"/>
        <v>#VALUE!</v>
      </c>
      <c r="S26" s="173" t="e">
        <f t="shared" si="13"/>
        <v>#VALUE!</v>
      </c>
      <c r="T26" s="173" t="e">
        <f t="shared" si="13"/>
        <v>#VALUE!</v>
      </c>
      <c r="U26" s="173" t="e">
        <f t="shared" si="13"/>
        <v>#VALUE!</v>
      </c>
      <c r="V26" s="173" t="e">
        <f t="shared" si="13"/>
        <v>#VALUE!</v>
      </c>
      <c r="W26" s="173" t="e">
        <f t="shared" si="13"/>
        <v>#VALUE!</v>
      </c>
    </row>
    <row r="29" spans="1:23" ht="15">
      <c r="A29" s="207" t="s">
        <v>361</v>
      </c>
      <c r="B29" s="207"/>
      <c r="C29" s="207"/>
    </row>
    <row r="30" spans="1:23" ht="15.5">
      <c r="A30" s="96">
        <v>1</v>
      </c>
      <c r="B30" s="97" t="s">
        <v>133</v>
      </c>
      <c r="C30" s="110" t="e">
        <f>'输出值2-营业收入估算表'!C5+'输出值2-营业收入估算表'!C12+'输出值2-营业收入估算表'!C19+'输出值2-营业收入估算表'!C26</f>
        <v>#VALUE!</v>
      </c>
    </row>
    <row r="31" spans="1:23" ht="15.5">
      <c r="A31" s="96">
        <v>2</v>
      </c>
      <c r="B31" s="97" t="s">
        <v>132</v>
      </c>
      <c r="C31" s="110" t="e">
        <f>C30/(1+输入值【1】!C105)</f>
        <v>#VALUE!</v>
      </c>
    </row>
    <row r="32" spans="1:23" ht="15.5">
      <c r="A32" s="96">
        <v>3</v>
      </c>
      <c r="B32" s="97" t="s">
        <v>134</v>
      </c>
      <c r="C32" s="110" t="e">
        <f>C33+C37+C38+C39+C40</f>
        <v>#VALUE!</v>
      </c>
    </row>
    <row r="33" spans="1:4" ht="15.5">
      <c r="A33" s="98">
        <v>3.1</v>
      </c>
      <c r="B33" s="99" t="s">
        <v>137</v>
      </c>
      <c r="C33" s="110" t="e">
        <f>SUM(C34:C36)</f>
        <v>#VALUE!</v>
      </c>
    </row>
    <row r="34" spans="1:4" ht="15.5">
      <c r="A34" s="101" t="s">
        <v>220</v>
      </c>
      <c r="B34" s="102" t="s">
        <v>135</v>
      </c>
      <c r="C34" s="112" t="e">
        <f>'输出值1-总投资估算表'!N23</f>
        <v>#VALUE!</v>
      </c>
    </row>
    <row r="35" spans="1:4" ht="15.5">
      <c r="A35" s="101" t="s">
        <v>310</v>
      </c>
      <c r="B35" s="102" t="s">
        <v>334</v>
      </c>
      <c r="C35" s="112" t="e">
        <f>C21*'输出值1-总投资估算表'!M23</f>
        <v>#VALUE!</v>
      </c>
    </row>
    <row r="36" spans="1:4" ht="15.5">
      <c r="A36" s="101" t="s">
        <v>360</v>
      </c>
      <c r="B36" s="102" t="s">
        <v>136</v>
      </c>
      <c r="C36" s="110">
        <f>'输出值1-总投资估算表'!N15</f>
        <v>0</v>
      </c>
    </row>
    <row r="37" spans="1:4" ht="15.5">
      <c r="A37" s="105">
        <v>3.2</v>
      </c>
      <c r="B37" s="104" t="s">
        <v>143</v>
      </c>
      <c r="C37" s="110" t="e">
        <f>('输出值1-总投资估算表'!N17)/(1+输入值【1】!C104)</f>
        <v>#VALUE!</v>
      </c>
    </row>
    <row r="38" spans="1:4" ht="15.5">
      <c r="A38" s="105">
        <v>3.3</v>
      </c>
      <c r="B38" s="104" t="s">
        <v>138</v>
      </c>
      <c r="C38" s="110" t="e">
        <f>(C33+C37)*10%</f>
        <v>#VALUE!</v>
      </c>
    </row>
    <row r="39" spans="1:4" ht="15.5">
      <c r="A39" s="105">
        <v>3.4</v>
      </c>
      <c r="B39" s="104" t="s">
        <v>139</v>
      </c>
      <c r="C39" s="110" t="e">
        <f>C17+C23</f>
        <v>#VALUE!</v>
      </c>
    </row>
    <row r="40" spans="1:4" ht="15.5">
      <c r="A40" s="105">
        <v>3.5</v>
      </c>
      <c r="B40" s="104" t="s">
        <v>140</v>
      </c>
      <c r="C40" s="110" t="e">
        <f>(C33+C37)*20%</f>
        <v>#VALUE!</v>
      </c>
    </row>
    <row r="41" spans="1:4" ht="15.5">
      <c r="A41" s="105">
        <v>3</v>
      </c>
      <c r="B41" s="106" t="s">
        <v>141</v>
      </c>
      <c r="C41" s="110" t="e">
        <f>C31-C32</f>
        <v>#VALUE!</v>
      </c>
    </row>
    <row r="42" spans="1:4" ht="15.5">
      <c r="A42" s="105">
        <v>4</v>
      </c>
      <c r="B42" s="106" t="s">
        <v>142</v>
      </c>
      <c r="C42" s="111" t="e">
        <f>C41/C32</f>
        <v>#VALUE!</v>
      </c>
    </row>
    <row r="43" spans="1:4" ht="15.5">
      <c r="A43" s="105">
        <v>5</v>
      </c>
      <c r="B43" s="106" t="s">
        <v>130</v>
      </c>
      <c r="C43" s="110" t="e">
        <f>IF(C42&lt;0%,0,IF(AND(C42&gt;0%,C42&lt;50%),C41*30%,IF(AND(C42&gt;50%,C42&lt;100%),C41*40%-C41*5%,IF(AND(C42&gt;100%,C42&lt;200%),C41*50%-C41*15%,C41*60%-C41*35%))))</f>
        <v>#VALUE!</v>
      </c>
    </row>
    <row r="44" spans="1:4" ht="15.5">
      <c r="A44" s="107">
        <v>6</v>
      </c>
      <c r="B44" s="97" t="s">
        <v>144</v>
      </c>
      <c r="C44" s="111" t="e">
        <f>C43/C30</f>
        <v>#VALUE!</v>
      </c>
      <c r="D44" s="7" t="s">
        <v>372</v>
      </c>
    </row>
  </sheetData>
  <mergeCells count="2">
    <mergeCell ref="A1:W1"/>
    <mergeCell ref="A29:C29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F340-4E35-489B-953E-FD6C18FFB2AD}">
  <dimension ref="A1:W19"/>
  <sheetViews>
    <sheetView workbookViewId="0">
      <selection activeCell="A3" sqref="A3"/>
    </sheetView>
  </sheetViews>
  <sheetFormatPr defaultRowHeight="12.5"/>
  <cols>
    <col min="1" max="1" width="8.81640625" bestFit="1" customWidth="1"/>
    <col min="2" max="2" width="30.08984375" customWidth="1"/>
    <col min="3" max="3" width="10.81640625" bestFit="1" customWidth="1"/>
    <col min="4" max="4" width="10.1796875" bestFit="1" customWidth="1"/>
    <col min="5" max="5" width="10" bestFit="1" customWidth="1"/>
    <col min="6" max="6" width="11.90625" bestFit="1" customWidth="1"/>
    <col min="7" max="7" width="11.1796875" bestFit="1" customWidth="1"/>
    <col min="8" max="12" width="10.36328125" bestFit="1" customWidth="1"/>
    <col min="13" max="13" width="11.1796875" bestFit="1" customWidth="1"/>
    <col min="14" max="14" width="12.08984375" bestFit="1" customWidth="1"/>
    <col min="15" max="16" width="13" bestFit="1" customWidth="1"/>
    <col min="17" max="17" width="13.81640625" bestFit="1" customWidth="1"/>
    <col min="18" max="18" width="14.81640625" bestFit="1" customWidth="1"/>
    <col min="19" max="20" width="15.6328125" bestFit="1" customWidth="1"/>
    <col min="21" max="21" width="16.453125" bestFit="1" customWidth="1"/>
    <col min="22" max="22" width="17.36328125" bestFit="1" customWidth="1"/>
    <col min="23" max="23" width="18.1796875" bestFit="1" customWidth="1"/>
  </cols>
  <sheetData>
    <row r="1" spans="1:23" ht="21">
      <c r="A1" s="191" t="s">
        <v>76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3"/>
    </row>
    <row r="2" spans="1:23" ht="15">
      <c r="A2" s="76" t="s">
        <v>0</v>
      </c>
      <c r="B2" s="76" t="s">
        <v>6</v>
      </c>
      <c r="C2" s="76" t="s">
        <v>105</v>
      </c>
      <c r="D2" s="76">
        <v>1</v>
      </c>
      <c r="E2" s="76">
        <v>2</v>
      </c>
      <c r="F2" s="76">
        <v>3</v>
      </c>
      <c r="G2" s="76">
        <v>4</v>
      </c>
      <c r="H2" s="76">
        <v>5</v>
      </c>
      <c r="I2" s="76">
        <v>6</v>
      </c>
      <c r="J2" s="76">
        <v>7</v>
      </c>
      <c r="K2" s="76">
        <v>8</v>
      </c>
      <c r="L2" s="76">
        <v>9</v>
      </c>
      <c r="M2" s="76">
        <v>10</v>
      </c>
      <c r="N2" s="76">
        <v>11</v>
      </c>
      <c r="O2" s="76">
        <v>12</v>
      </c>
      <c r="P2" s="76">
        <v>13</v>
      </c>
      <c r="Q2" s="76">
        <v>14</v>
      </c>
      <c r="R2" s="76">
        <v>15</v>
      </c>
      <c r="S2" s="76">
        <v>16</v>
      </c>
      <c r="T2" s="76">
        <v>17</v>
      </c>
      <c r="U2" s="76">
        <v>18</v>
      </c>
      <c r="V2" s="76">
        <v>19</v>
      </c>
      <c r="W2" s="76">
        <v>20</v>
      </c>
    </row>
    <row r="3" spans="1:23" ht="15">
      <c r="A3" s="77">
        <v>1</v>
      </c>
      <c r="B3" s="77" t="s">
        <v>373</v>
      </c>
      <c r="C3" s="85" t="e">
        <f t="shared" ref="C3:C14" si="0">SUM(D3:W3)</f>
        <v>#VALUE!</v>
      </c>
      <c r="D3" s="169" t="e">
        <f t="shared" ref="D3:E3" si="1">SUM(D4:D6)</f>
        <v>#VALUE!</v>
      </c>
      <c r="E3" s="169" t="e">
        <f t="shared" si="1"/>
        <v>#VALUE!</v>
      </c>
      <c r="F3" s="169" t="e">
        <f>SUM(F4:F6)</f>
        <v>#VALUE!</v>
      </c>
      <c r="G3" s="169" t="e">
        <f t="shared" ref="G3" si="2">SUM(G4:G6)</f>
        <v>#VALUE!</v>
      </c>
      <c r="H3" s="169" t="e">
        <f t="shared" ref="H3:I3" si="3">SUM(H4:H6)</f>
        <v>#VALUE!</v>
      </c>
      <c r="I3" s="169" t="e">
        <f t="shared" si="3"/>
        <v>#VALUE!</v>
      </c>
      <c r="J3" s="169" t="e">
        <f t="shared" ref="J3" si="4">SUM(J4:J6)</f>
        <v>#VALUE!</v>
      </c>
      <c r="K3" s="169" t="e">
        <f t="shared" ref="K3:L3" si="5">SUM(K4:K6)</f>
        <v>#VALUE!</v>
      </c>
      <c r="L3" s="169" t="e">
        <f t="shared" si="5"/>
        <v>#VALUE!</v>
      </c>
      <c r="M3" s="169" t="e">
        <f t="shared" ref="M3" si="6">SUM(M4:M6)</f>
        <v>#VALUE!</v>
      </c>
      <c r="N3" s="169" t="e">
        <f t="shared" ref="N3:O3" si="7">SUM(N4:N6)</f>
        <v>#VALUE!</v>
      </c>
      <c r="O3" s="169" t="e">
        <f t="shared" si="7"/>
        <v>#VALUE!</v>
      </c>
      <c r="P3" s="169" t="e">
        <f t="shared" ref="P3" si="8">SUM(P4:P6)</f>
        <v>#VALUE!</v>
      </c>
      <c r="Q3" s="169" t="e">
        <f t="shared" ref="Q3:R3" si="9">SUM(Q4:Q6)</f>
        <v>#VALUE!</v>
      </c>
      <c r="R3" s="169" t="e">
        <f t="shared" si="9"/>
        <v>#VALUE!</v>
      </c>
      <c r="S3" s="169" t="e">
        <f t="shared" ref="S3" si="10">SUM(S4:S6)</f>
        <v>#VALUE!</v>
      </c>
      <c r="T3" s="169" t="e">
        <f t="shared" ref="T3:U3" si="11">SUM(T4:T6)</f>
        <v>#VALUE!</v>
      </c>
      <c r="U3" s="169" t="e">
        <f t="shared" si="11"/>
        <v>#VALUE!</v>
      </c>
      <c r="V3" s="169" t="e">
        <f t="shared" ref="V3" si="12">SUM(V4:V6)</f>
        <v>#VALUE!</v>
      </c>
      <c r="W3" s="169" t="e">
        <f t="shared" ref="W3" si="13">SUM(W4:W6)</f>
        <v>#VALUE!</v>
      </c>
    </row>
    <row r="4" spans="1:23" ht="15">
      <c r="A4" s="59">
        <v>1.1000000000000001</v>
      </c>
      <c r="B4" s="59" t="s">
        <v>128</v>
      </c>
      <c r="C4" s="85" t="e">
        <f t="shared" si="0"/>
        <v>#VALUE!</v>
      </c>
      <c r="D4" s="169" t="e">
        <f>('输出值2-营业收入估算表'!D5+'输出值2-营业收入估算表'!D12+'输出值2-营业收入估算表'!D19+'输出值2-营业收入估算表'!D26)*输入值【1】!$C$88</f>
        <v>#VALUE!</v>
      </c>
      <c r="E4" s="169" t="e">
        <f>('输出值2-营业收入估算表'!E5+'输出值2-营业收入估算表'!E12+'输出值2-营业收入估算表'!E19+'输出值2-营业收入估算表'!E26)*输入值【1】!$C$88</f>
        <v>#VALUE!</v>
      </c>
      <c r="F4" s="169" t="e">
        <f>('输出值2-营业收入估算表'!F5+'输出值2-营业收入估算表'!F12+'输出值2-营业收入估算表'!F19+'输出值2-营业收入估算表'!F26)*输入值【1】!$C$88</f>
        <v>#VALUE!</v>
      </c>
      <c r="G4" s="169" t="e">
        <f>('输出值2-营业收入估算表'!G5+'输出值2-营业收入估算表'!G12+'输出值2-营业收入估算表'!G19+'输出值2-营业收入估算表'!G26)*输入值【1】!$C$88</f>
        <v>#VALUE!</v>
      </c>
      <c r="H4" s="169" t="e">
        <f>('输出值2-营业收入估算表'!H5+'输出值2-营业收入估算表'!H12+'输出值2-营业收入估算表'!H19+'输出值2-营业收入估算表'!H26)*输入值【1】!$C$88</f>
        <v>#VALUE!</v>
      </c>
      <c r="I4" s="169" t="e">
        <f>('输出值2-营业收入估算表'!I5+'输出值2-营业收入估算表'!I12+'输出值2-营业收入估算表'!I19+'输出值2-营业收入估算表'!I26)*输入值【1】!$C$88</f>
        <v>#VALUE!</v>
      </c>
      <c r="J4" s="169" t="e">
        <f>('输出值2-营业收入估算表'!J5+'输出值2-营业收入估算表'!J12+'输出值2-营业收入估算表'!J19+'输出值2-营业收入估算表'!J26)*输入值【1】!$C$88</f>
        <v>#VALUE!</v>
      </c>
      <c r="K4" s="169" t="e">
        <f>('输出值2-营业收入估算表'!K5+'输出值2-营业收入估算表'!K12+'输出值2-营业收入估算表'!K19+'输出值2-营业收入估算表'!K26)*输入值【1】!$C$88</f>
        <v>#VALUE!</v>
      </c>
      <c r="L4" s="169" t="e">
        <f>('输出值2-营业收入估算表'!L5+'输出值2-营业收入估算表'!L12+'输出值2-营业收入估算表'!L19+'输出值2-营业收入估算表'!L26)*输入值【1】!$C$88</f>
        <v>#VALUE!</v>
      </c>
      <c r="M4" s="169" t="e">
        <f>('输出值2-营业收入估算表'!M5+'输出值2-营业收入估算表'!M12+'输出值2-营业收入估算表'!M19+'输出值2-营业收入估算表'!M26)*输入值【1】!$C$88</f>
        <v>#VALUE!</v>
      </c>
      <c r="N4" s="169" t="e">
        <f>('输出值2-营业收入估算表'!N5+'输出值2-营业收入估算表'!N12+'输出值2-营业收入估算表'!N19+'输出值2-营业收入估算表'!N26)*输入值【1】!$C$88</f>
        <v>#VALUE!</v>
      </c>
      <c r="O4" s="169" t="e">
        <f>('输出值2-营业收入估算表'!O5+'输出值2-营业收入估算表'!O12+'输出值2-营业收入估算表'!O19+'输出值2-营业收入估算表'!O26)*输入值【1】!$C$88</f>
        <v>#VALUE!</v>
      </c>
      <c r="P4" s="169" t="e">
        <f>('输出值2-营业收入估算表'!P5+'输出值2-营业收入估算表'!P12+'输出值2-营业收入估算表'!P19+'输出值2-营业收入估算表'!P26)*输入值【1】!$C$88</f>
        <v>#VALUE!</v>
      </c>
      <c r="Q4" s="169" t="e">
        <f>('输出值2-营业收入估算表'!Q5+'输出值2-营业收入估算表'!Q12+'输出值2-营业收入估算表'!Q19+'输出值2-营业收入估算表'!Q26)*输入值【1】!$C$88</f>
        <v>#VALUE!</v>
      </c>
      <c r="R4" s="169" t="e">
        <f>('输出值2-营业收入估算表'!R5+'输出值2-营业收入估算表'!R12+'输出值2-营业收入估算表'!R19+'输出值2-营业收入估算表'!R26)*输入值【1】!$C$88</f>
        <v>#VALUE!</v>
      </c>
      <c r="S4" s="169" t="e">
        <f>('输出值2-营业收入估算表'!S5+'输出值2-营业收入估算表'!S12+'输出值2-营业收入估算表'!S19+'输出值2-营业收入估算表'!S26)*输入值【1】!$C$88</f>
        <v>#VALUE!</v>
      </c>
      <c r="T4" s="169" t="e">
        <f>('输出值2-营业收入估算表'!T5+'输出值2-营业收入估算表'!T12+'输出值2-营业收入估算表'!T19+'输出值2-营业收入估算表'!T26)*输入值【1】!$C$88</f>
        <v>#VALUE!</v>
      </c>
      <c r="U4" s="169" t="e">
        <f>('输出值2-营业收入估算表'!U5+'输出值2-营业收入估算表'!U12+'输出值2-营业收入估算表'!U19+'输出值2-营业收入估算表'!U26)*输入值【1】!$C$88</f>
        <v>#VALUE!</v>
      </c>
      <c r="V4" s="169" t="e">
        <f>('输出值2-营业收入估算表'!V5+'输出值2-营业收入估算表'!V12+'输出值2-营业收入估算表'!V19+'输出值2-营业收入估算表'!V26)*输入值【1】!$C$88</f>
        <v>#VALUE!</v>
      </c>
      <c r="W4" s="169" t="e">
        <f>('输出值2-营业收入估算表'!W5+'输出值2-营业收入估算表'!W12+'输出值2-营业收入估算表'!W19+'输出值2-营业收入估算表'!W26)*输入值【1】!$C$88</f>
        <v>#VALUE!</v>
      </c>
    </row>
    <row r="5" spans="1:23" ht="15">
      <c r="A5" s="59">
        <v>1.2</v>
      </c>
      <c r="B5" s="59" t="s">
        <v>129</v>
      </c>
      <c r="C5" s="85" t="e">
        <f t="shared" si="0"/>
        <v>#VALUE!</v>
      </c>
      <c r="D5" s="169" t="e">
        <f>('输出值2-营业收入估算表'!D5+'输出值2-营业收入估算表'!D12+'输出值2-营业收入估算表'!D19+'输出值2-营业收入估算表'!D26)*输入值【1】!$C$89</f>
        <v>#VALUE!</v>
      </c>
      <c r="E5" s="169" t="e">
        <f>('输出值2-营业收入估算表'!E5+'输出值2-营业收入估算表'!E12+'输出值2-营业收入估算表'!E19+'输出值2-营业收入估算表'!E26)*输入值【1】!$C$89</f>
        <v>#VALUE!</v>
      </c>
      <c r="F5" s="169" t="e">
        <f>('输出值2-营业收入估算表'!F5+'输出值2-营业收入估算表'!F12+'输出值2-营业收入估算表'!F19+'输出值2-营业收入估算表'!F26)*输入值【1】!$C$89</f>
        <v>#VALUE!</v>
      </c>
      <c r="G5" s="169" t="e">
        <f>('输出值2-营业收入估算表'!G5+'输出值2-营业收入估算表'!G12+'输出值2-营业收入估算表'!G19+'输出值2-营业收入估算表'!G26)*输入值【1】!$C$89</f>
        <v>#VALUE!</v>
      </c>
      <c r="H5" s="169" t="e">
        <f>('输出值2-营业收入估算表'!H5+'输出值2-营业收入估算表'!H12+'输出值2-营业收入估算表'!H19+'输出值2-营业收入估算表'!H26)*输入值【1】!$C$89</f>
        <v>#VALUE!</v>
      </c>
      <c r="I5" s="169" t="e">
        <f>('输出值2-营业收入估算表'!I5+'输出值2-营业收入估算表'!I12+'输出值2-营业收入估算表'!I19+'输出值2-营业收入估算表'!I26)*输入值【1】!$C$89</f>
        <v>#VALUE!</v>
      </c>
      <c r="J5" s="169" t="e">
        <f>('输出值2-营业收入估算表'!J5+'输出值2-营业收入估算表'!J12+'输出值2-营业收入估算表'!J19+'输出值2-营业收入估算表'!J26)*输入值【1】!$C$89</f>
        <v>#VALUE!</v>
      </c>
      <c r="K5" s="169" t="e">
        <f>('输出值2-营业收入估算表'!K5+'输出值2-营业收入估算表'!K12+'输出值2-营业收入估算表'!K19+'输出值2-营业收入估算表'!K26)*输入值【1】!$C$89</f>
        <v>#VALUE!</v>
      </c>
      <c r="L5" s="169" t="e">
        <f>('输出值2-营业收入估算表'!L5+'输出值2-营业收入估算表'!L12+'输出值2-营业收入估算表'!L19+'输出值2-营业收入估算表'!L26)*输入值【1】!$C$89</f>
        <v>#VALUE!</v>
      </c>
      <c r="M5" s="169" t="e">
        <f>('输出值2-营业收入估算表'!M5+'输出值2-营业收入估算表'!M12+'输出值2-营业收入估算表'!M19+'输出值2-营业收入估算表'!M26)*输入值【1】!$C$89</f>
        <v>#VALUE!</v>
      </c>
      <c r="N5" s="169" t="e">
        <f>('输出值2-营业收入估算表'!N5+'输出值2-营业收入估算表'!N12+'输出值2-营业收入估算表'!N19+'输出值2-营业收入估算表'!N26)*输入值【1】!$C$89</f>
        <v>#VALUE!</v>
      </c>
      <c r="O5" s="169" t="e">
        <f>('输出值2-营业收入估算表'!O5+'输出值2-营业收入估算表'!O12+'输出值2-营业收入估算表'!O19+'输出值2-营业收入估算表'!O26)*输入值【1】!$C$89</f>
        <v>#VALUE!</v>
      </c>
      <c r="P5" s="169" t="e">
        <f>('输出值2-营业收入估算表'!P5+'输出值2-营业收入估算表'!P12+'输出值2-营业收入估算表'!P19+'输出值2-营业收入估算表'!P26)*输入值【1】!$C$89</f>
        <v>#VALUE!</v>
      </c>
      <c r="Q5" s="169" t="e">
        <f>('输出值2-营业收入估算表'!Q5+'输出值2-营业收入估算表'!Q12+'输出值2-营业收入估算表'!Q19+'输出值2-营业收入估算表'!Q26)*输入值【1】!$C$89</f>
        <v>#VALUE!</v>
      </c>
      <c r="R5" s="169" t="e">
        <f>('输出值2-营业收入估算表'!R5+'输出值2-营业收入估算表'!R12+'输出值2-营业收入估算表'!R19+'输出值2-营业收入估算表'!R26)*输入值【1】!$C$89</f>
        <v>#VALUE!</v>
      </c>
      <c r="S5" s="169" t="e">
        <f>('输出值2-营业收入估算表'!S5+'输出值2-营业收入估算表'!S12+'输出值2-营业收入估算表'!S19+'输出值2-营业收入估算表'!S26)*输入值【1】!$C$89</f>
        <v>#VALUE!</v>
      </c>
      <c r="T5" s="169" t="e">
        <f>('输出值2-营业收入估算表'!T5+'输出值2-营业收入估算表'!T12+'输出值2-营业收入估算表'!T19+'输出值2-营业收入估算表'!T26)*输入值【1】!$C$89</f>
        <v>#VALUE!</v>
      </c>
      <c r="U5" s="169" t="e">
        <f>('输出值2-营业收入估算表'!U5+'输出值2-营业收入估算表'!U12+'输出值2-营业收入估算表'!U19+'输出值2-营业收入估算表'!U26)*输入值【1】!$C$89</f>
        <v>#VALUE!</v>
      </c>
      <c r="V5" s="169" t="e">
        <f>('输出值2-营业收入估算表'!V5+'输出值2-营业收入估算表'!V12+'输出值2-营业收入估算表'!V19+'输出值2-营业收入估算表'!V26)*输入值【1】!$C$89</f>
        <v>#VALUE!</v>
      </c>
      <c r="W5" s="169" t="e">
        <f>('输出值2-营业收入估算表'!W5+'输出值2-营业收入估算表'!W12+'输出值2-营业收入估算表'!W19+'输出值2-营业收入估算表'!W26)*输入值【1】!$C$89</f>
        <v>#VALUE!</v>
      </c>
    </row>
    <row r="6" spans="1:23" ht="15">
      <c r="A6" s="154">
        <v>1.3</v>
      </c>
      <c r="B6" s="154" t="s">
        <v>424</v>
      </c>
      <c r="C6" s="163" t="e">
        <f t="shared" si="0"/>
        <v>#VALUE!</v>
      </c>
      <c r="D6" s="170" t="e">
        <f>('输出值1-总投资估算表'!$N$17+'输出值1-总投资估算表'!$N$23)*输入值【2】!B14</f>
        <v>#VALUE!</v>
      </c>
      <c r="E6" s="170" t="e">
        <f>('输出值1-总投资估算表'!$N$17+'输出值1-总投资估算表'!$N$23)*输入值【2】!C14</f>
        <v>#VALUE!</v>
      </c>
      <c r="F6" s="170" t="e">
        <f>('输出值1-总投资估算表'!$N$17+'输出值1-总投资估算表'!$N$23)*输入值【2】!D14</f>
        <v>#VALUE!</v>
      </c>
      <c r="G6" s="170" t="e">
        <f>('输出值1-总投资估算表'!$N$17+'输出值1-总投资估算表'!$N$23)*输入值【2】!E14</f>
        <v>#VALUE!</v>
      </c>
      <c r="H6" s="170" t="e">
        <f>('输出值1-总投资估算表'!$N$17+'输出值1-总投资估算表'!$N$23)*输入值【2】!F14</f>
        <v>#VALUE!</v>
      </c>
      <c r="I6" s="170" t="e">
        <f>('输出值1-总投资估算表'!$N$17+'输出值1-总投资估算表'!$N$23)*输入值【2】!G14</f>
        <v>#VALUE!</v>
      </c>
      <c r="J6" s="170" t="e">
        <f>('输出值1-总投资估算表'!$N$17+'输出值1-总投资估算表'!$N$23)*输入值【2】!H14</f>
        <v>#VALUE!</v>
      </c>
      <c r="K6" s="170" t="e">
        <f>('输出值1-总投资估算表'!$N$17+'输出值1-总投资估算表'!$N$23)*输入值【2】!I14</f>
        <v>#VALUE!</v>
      </c>
      <c r="L6" s="170" t="e">
        <f>('输出值1-总投资估算表'!$N$17+'输出值1-总投资估算表'!$N$23)*输入值【2】!J14</f>
        <v>#VALUE!</v>
      </c>
      <c r="M6" s="170" t="e">
        <f>('输出值1-总投资估算表'!$N$17+'输出值1-总投资估算表'!$N$23)*输入值【2】!K14</f>
        <v>#VALUE!</v>
      </c>
      <c r="N6" s="170" t="e">
        <f>('输出值1-总投资估算表'!$N$17+'输出值1-总投资估算表'!$N$23)*输入值【2】!L14</f>
        <v>#VALUE!</v>
      </c>
      <c r="O6" s="170" t="e">
        <f>('输出值1-总投资估算表'!$N$17+'输出值1-总投资估算表'!$N$23)*输入值【2】!M14</f>
        <v>#VALUE!</v>
      </c>
      <c r="P6" s="170" t="e">
        <f>('输出值1-总投资估算表'!$N$17+'输出值1-总投资估算表'!$N$23)*输入值【2】!N14</f>
        <v>#VALUE!</v>
      </c>
      <c r="Q6" s="170" t="e">
        <f>('输出值1-总投资估算表'!$N$17+'输出值1-总投资估算表'!$N$23)*输入值【2】!O14</f>
        <v>#VALUE!</v>
      </c>
      <c r="R6" s="170" t="e">
        <f>('输出值1-总投资估算表'!$N$17+'输出值1-总投资估算表'!$N$23)*输入值【2】!P14</f>
        <v>#VALUE!</v>
      </c>
      <c r="S6" s="170" t="e">
        <f>('输出值1-总投资估算表'!$N$17+'输出值1-总投资估算表'!$N$23)*输入值【2】!Q14</f>
        <v>#VALUE!</v>
      </c>
      <c r="T6" s="170" t="e">
        <f>('输出值1-总投资估算表'!$N$17+'输出值1-总投资估算表'!$N$23)*输入值【2】!R14</f>
        <v>#VALUE!</v>
      </c>
      <c r="U6" s="170" t="e">
        <f>('输出值1-总投资估算表'!$N$17+'输出值1-总投资估算表'!$N$23)*输入值【2】!S14</f>
        <v>#VALUE!</v>
      </c>
      <c r="V6" s="170" t="e">
        <f>('输出值1-总投资估算表'!$N$17+'输出值1-总投资估算表'!$N$23)*输入值【2】!T14</f>
        <v>#VALUE!</v>
      </c>
      <c r="W6" s="170" t="e">
        <f>('输出值1-总投资估算表'!$N$17+'输出值1-总投资估算表'!$N$23)*输入值【2】!U14</f>
        <v>#VALUE!</v>
      </c>
    </row>
    <row r="7" spans="1:23" ht="15">
      <c r="A7" s="77">
        <v>2</v>
      </c>
      <c r="B7" s="77" t="s">
        <v>374</v>
      </c>
      <c r="C7" s="85" t="e">
        <f t="shared" si="0"/>
        <v>#VALUE!</v>
      </c>
      <c r="D7" s="169">
        <f>SUM(D8:D9)</f>
        <v>0</v>
      </c>
      <c r="E7" s="169">
        <f t="shared" ref="E7:W7" si="14">SUM(E8:E9)</f>
        <v>0</v>
      </c>
      <c r="F7" s="169" t="e">
        <f t="shared" si="14"/>
        <v>#VALUE!</v>
      </c>
      <c r="G7" s="169" t="e">
        <f t="shared" si="14"/>
        <v>#VALUE!</v>
      </c>
      <c r="H7" s="169" t="e">
        <f t="shared" si="14"/>
        <v>#VALUE!</v>
      </c>
      <c r="I7" s="169" t="e">
        <f t="shared" si="14"/>
        <v>#VALUE!</v>
      </c>
      <c r="J7" s="169" t="e">
        <f t="shared" si="14"/>
        <v>#VALUE!</v>
      </c>
      <c r="K7" s="169" t="e">
        <f t="shared" si="14"/>
        <v>#VALUE!</v>
      </c>
      <c r="L7" s="169" t="e">
        <f t="shared" si="14"/>
        <v>#VALUE!</v>
      </c>
      <c r="M7" s="169" t="e">
        <f t="shared" si="14"/>
        <v>#VALUE!</v>
      </c>
      <c r="N7" s="169" t="e">
        <f t="shared" si="14"/>
        <v>#VALUE!</v>
      </c>
      <c r="O7" s="169" t="e">
        <f t="shared" si="14"/>
        <v>#VALUE!</v>
      </c>
      <c r="P7" s="169" t="e">
        <f t="shared" si="14"/>
        <v>#VALUE!</v>
      </c>
      <c r="Q7" s="169" t="e">
        <f t="shared" si="14"/>
        <v>#VALUE!</v>
      </c>
      <c r="R7" s="169" t="e">
        <f t="shared" si="14"/>
        <v>#VALUE!</v>
      </c>
      <c r="S7" s="169" t="e">
        <f t="shared" si="14"/>
        <v>#VALUE!</v>
      </c>
      <c r="T7" s="169" t="e">
        <f t="shared" si="14"/>
        <v>#VALUE!</v>
      </c>
      <c r="U7" s="169" t="e">
        <f t="shared" si="14"/>
        <v>#VALUE!</v>
      </c>
      <c r="V7" s="169" t="e">
        <f t="shared" si="14"/>
        <v>#VALUE!</v>
      </c>
      <c r="W7" s="169" t="e">
        <f t="shared" si="14"/>
        <v>#VALUE!</v>
      </c>
    </row>
    <row r="8" spans="1:23" ht="15">
      <c r="A8" s="59">
        <v>2.1</v>
      </c>
      <c r="B8" s="59" t="s">
        <v>375</v>
      </c>
      <c r="C8" s="85" t="e">
        <f t="shared" si="0"/>
        <v>#VALUE!</v>
      </c>
      <c r="D8" s="169">
        <f>输入值【2】!B69*输入值【2】!B71*12/10000</f>
        <v>0</v>
      </c>
      <c r="E8" s="169">
        <f>输入值【2】!C69*输入值【2】!C71*12/10000</f>
        <v>0</v>
      </c>
      <c r="F8" s="169" t="e">
        <f>输入值【2】!D69*输入值【2】!D71*12/10000</f>
        <v>#VALUE!</v>
      </c>
      <c r="G8" s="169" t="e">
        <f>输入值【2】!E69*输入值【2】!E71*12/10000</f>
        <v>#VALUE!</v>
      </c>
      <c r="H8" s="169" t="e">
        <f>输入值【2】!F69*输入值【2】!F71*12/10000</f>
        <v>#VALUE!</v>
      </c>
      <c r="I8" s="169" t="e">
        <f>输入值【2】!G69*输入值【2】!G71*12/10000</f>
        <v>#VALUE!</v>
      </c>
      <c r="J8" s="169" t="e">
        <f>输入值【2】!H69*输入值【2】!H71*12/10000</f>
        <v>#VALUE!</v>
      </c>
      <c r="K8" s="169" t="e">
        <f>输入值【2】!I69*输入值【2】!I71*12/10000</f>
        <v>#VALUE!</v>
      </c>
      <c r="L8" s="169" t="e">
        <f>输入值【2】!J69*输入值【2】!J71*12/10000</f>
        <v>#VALUE!</v>
      </c>
      <c r="M8" s="169" t="e">
        <f>输入值【2】!K69*输入值【2】!K71*12/10000</f>
        <v>#VALUE!</v>
      </c>
      <c r="N8" s="169" t="e">
        <f>输入值【2】!L69*输入值【2】!L71*12/10000</f>
        <v>#VALUE!</v>
      </c>
      <c r="O8" s="169" t="e">
        <f>输入值【2】!M69*输入值【2】!M71*12/10000</f>
        <v>#VALUE!</v>
      </c>
      <c r="P8" s="169" t="e">
        <f>输入值【2】!N69*输入值【2】!N71*12/10000</f>
        <v>#VALUE!</v>
      </c>
      <c r="Q8" s="169" t="e">
        <f>输入值【2】!O69*输入值【2】!O71*12/10000</f>
        <v>#VALUE!</v>
      </c>
      <c r="R8" s="169" t="e">
        <f>输入值【2】!P69*输入值【2】!P71*12/10000</f>
        <v>#VALUE!</v>
      </c>
      <c r="S8" s="169" t="e">
        <f>输入值【2】!Q69*输入值【2】!Q71*12/10000</f>
        <v>#VALUE!</v>
      </c>
      <c r="T8" s="169" t="e">
        <f>输入值【2】!R69*输入值【2】!R71*12/10000</f>
        <v>#VALUE!</v>
      </c>
      <c r="U8" s="169" t="e">
        <f>输入值【2】!S69*输入值【2】!S71*12/10000</f>
        <v>#VALUE!</v>
      </c>
      <c r="V8" s="169" t="e">
        <f>输入值【2】!T69*输入值【2】!T71*12/10000</f>
        <v>#VALUE!</v>
      </c>
      <c r="W8" s="169" t="e">
        <f>输入值【2】!U69*输入值【2】!U71*12/10000</f>
        <v>#VALUE!</v>
      </c>
    </row>
    <row r="9" spans="1:23" ht="15">
      <c r="A9" s="59">
        <v>2.2000000000000002</v>
      </c>
      <c r="B9" s="59" t="s">
        <v>376</v>
      </c>
      <c r="C9" s="85" t="e">
        <f t="shared" si="0"/>
        <v>#VALUE!</v>
      </c>
      <c r="D9" s="169">
        <f>输入值【2】!B77*输入值【2】!B79*12/10000</f>
        <v>0</v>
      </c>
      <c r="E9" s="169">
        <f>输入值【2】!C77*输入值【2】!C79*12/10000</f>
        <v>0</v>
      </c>
      <c r="F9" s="169" t="e">
        <f>输入值【2】!D77*输入值【2】!D79*12/10000</f>
        <v>#VALUE!</v>
      </c>
      <c r="G9" s="169" t="e">
        <f>输入值【2】!E77*输入值【2】!E79*12/10000</f>
        <v>#VALUE!</v>
      </c>
      <c r="H9" s="169" t="e">
        <f>输入值【2】!F77*输入值【2】!F79*12/10000</f>
        <v>#VALUE!</v>
      </c>
      <c r="I9" s="169" t="e">
        <f>输入值【2】!G77*输入值【2】!G79*12/10000</f>
        <v>#VALUE!</v>
      </c>
      <c r="J9" s="169" t="e">
        <f>输入值【2】!H77*输入值【2】!H79*12/10000</f>
        <v>#VALUE!</v>
      </c>
      <c r="K9" s="169" t="e">
        <f>输入值【2】!I77*输入值【2】!I79*12/10000</f>
        <v>#VALUE!</v>
      </c>
      <c r="L9" s="169" t="e">
        <f>输入值【2】!J77*输入值【2】!J79*12/10000</f>
        <v>#VALUE!</v>
      </c>
      <c r="M9" s="169" t="e">
        <f>输入值【2】!K77*输入值【2】!K79*12/10000</f>
        <v>#VALUE!</v>
      </c>
      <c r="N9" s="169" t="e">
        <f>输入值【2】!L77*输入值【2】!L79*12/10000</f>
        <v>#VALUE!</v>
      </c>
      <c r="O9" s="169" t="e">
        <f>输入值【2】!M77*输入值【2】!M79*12/10000</f>
        <v>#VALUE!</v>
      </c>
      <c r="P9" s="169" t="e">
        <f>输入值【2】!N77*输入值【2】!N79*12/10000</f>
        <v>#VALUE!</v>
      </c>
      <c r="Q9" s="169" t="e">
        <f>输入值【2】!O77*输入值【2】!O79*12/10000</f>
        <v>#VALUE!</v>
      </c>
      <c r="R9" s="169" t="e">
        <f>输入值【2】!P77*输入值【2】!P79*12/10000</f>
        <v>#VALUE!</v>
      </c>
      <c r="S9" s="169" t="e">
        <f>输入值【2】!Q77*输入值【2】!Q79*12/10000</f>
        <v>#VALUE!</v>
      </c>
      <c r="T9" s="169" t="e">
        <f>输入值【2】!R77*输入值【2】!R79*12/10000</f>
        <v>#VALUE!</v>
      </c>
      <c r="U9" s="169" t="e">
        <f>输入值【2】!S77*输入值【2】!S79*12/10000</f>
        <v>#VALUE!</v>
      </c>
      <c r="V9" s="169" t="e">
        <f>输入值【2】!T77*输入值【2】!T79*12/10000</f>
        <v>#VALUE!</v>
      </c>
      <c r="W9" s="169" t="e">
        <f>输入值【2】!U77*输入值【2】!U79*12/10000</f>
        <v>#VALUE!</v>
      </c>
    </row>
    <row r="10" spans="1:23" ht="15">
      <c r="A10" s="77">
        <v>3</v>
      </c>
      <c r="B10" s="77" t="s">
        <v>379</v>
      </c>
      <c r="C10" s="85" t="e">
        <f t="shared" si="0"/>
        <v>#VALUE!</v>
      </c>
      <c r="D10" s="169" t="e">
        <f>'输出值8-还本付息表'!D8</f>
        <v>#VALUE!</v>
      </c>
      <c r="E10" s="169" t="e">
        <f>'输出值8-还本付息表'!E8</f>
        <v>#VALUE!</v>
      </c>
      <c r="F10" s="169" t="e">
        <f>'输出值8-还本付息表'!F8</f>
        <v>#VALUE!</v>
      </c>
      <c r="G10" s="169" t="e">
        <f>'输出值8-还本付息表'!G8</f>
        <v>#VALUE!</v>
      </c>
      <c r="H10" s="169" t="e">
        <f>'输出值8-还本付息表'!H8</f>
        <v>#VALUE!</v>
      </c>
      <c r="I10" s="169" t="e">
        <f>'输出值8-还本付息表'!I8</f>
        <v>#VALUE!</v>
      </c>
      <c r="J10" s="169" t="e">
        <f>'输出值8-还本付息表'!J8</f>
        <v>#VALUE!</v>
      </c>
      <c r="K10" s="169" t="e">
        <f>'输出值8-还本付息表'!K8</f>
        <v>#VALUE!</v>
      </c>
      <c r="L10" s="169" t="e">
        <f>'输出值8-还本付息表'!L8</f>
        <v>#VALUE!</v>
      </c>
      <c r="M10" s="169" t="e">
        <f>'输出值8-还本付息表'!M8</f>
        <v>#VALUE!</v>
      </c>
      <c r="N10" s="169" t="e">
        <f>'输出值8-还本付息表'!N8</f>
        <v>#VALUE!</v>
      </c>
      <c r="O10" s="169" t="e">
        <f>'输出值8-还本付息表'!O8</f>
        <v>#VALUE!</v>
      </c>
      <c r="P10" s="169" t="e">
        <f>'输出值8-还本付息表'!P8</f>
        <v>#VALUE!</v>
      </c>
      <c r="Q10" s="169">
        <f>'输出值8-还本付息表'!Q8</f>
        <v>0</v>
      </c>
      <c r="R10" s="169">
        <f>'输出值8-还本付息表'!R8</f>
        <v>0</v>
      </c>
      <c r="S10" s="169">
        <f>'输出值8-还本付息表'!S8</f>
        <v>0</v>
      </c>
      <c r="T10" s="169">
        <f>'输出值8-还本付息表'!T8</f>
        <v>0</v>
      </c>
      <c r="U10" s="169">
        <f>'输出值8-还本付息表'!U8</f>
        <v>0</v>
      </c>
      <c r="V10" s="169">
        <f>'输出值8-还本付息表'!V8</f>
        <v>0</v>
      </c>
      <c r="W10" s="169">
        <f>'输出值8-还本付息表'!W8</f>
        <v>0</v>
      </c>
    </row>
    <row r="11" spans="1:23" ht="15">
      <c r="A11" s="77">
        <v>4</v>
      </c>
      <c r="B11" s="77" t="s">
        <v>380</v>
      </c>
      <c r="C11" s="85" t="e">
        <f t="shared" ref="C11" si="15">SUM(D11:W11)</f>
        <v>#VALUE!</v>
      </c>
      <c r="D11" s="171" t="e">
        <f>D3+D7+D10</f>
        <v>#VALUE!</v>
      </c>
      <c r="E11" s="171" t="e">
        <f t="shared" ref="E11:W11" si="16">E3+E7+E10</f>
        <v>#VALUE!</v>
      </c>
      <c r="F11" s="171" t="e">
        <f t="shared" si="16"/>
        <v>#VALUE!</v>
      </c>
      <c r="G11" s="171" t="e">
        <f t="shared" si="16"/>
        <v>#VALUE!</v>
      </c>
      <c r="H11" s="171" t="e">
        <f t="shared" si="16"/>
        <v>#VALUE!</v>
      </c>
      <c r="I11" s="171" t="e">
        <f t="shared" si="16"/>
        <v>#VALUE!</v>
      </c>
      <c r="J11" s="171" t="e">
        <f t="shared" si="16"/>
        <v>#VALUE!</v>
      </c>
      <c r="K11" s="171" t="e">
        <f t="shared" si="16"/>
        <v>#VALUE!</v>
      </c>
      <c r="L11" s="171" t="e">
        <f t="shared" si="16"/>
        <v>#VALUE!</v>
      </c>
      <c r="M11" s="171" t="e">
        <f t="shared" si="16"/>
        <v>#VALUE!</v>
      </c>
      <c r="N11" s="171" t="e">
        <f t="shared" si="16"/>
        <v>#VALUE!</v>
      </c>
      <c r="O11" s="171" t="e">
        <f t="shared" si="16"/>
        <v>#VALUE!</v>
      </c>
      <c r="P11" s="171" t="e">
        <f t="shared" si="16"/>
        <v>#VALUE!</v>
      </c>
      <c r="Q11" s="171" t="e">
        <f t="shared" si="16"/>
        <v>#VALUE!</v>
      </c>
      <c r="R11" s="171" t="e">
        <f t="shared" si="16"/>
        <v>#VALUE!</v>
      </c>
      <c r="S11" s="171" t="e">
        <f t="shared" si="16"/>
        <v>#VALUE!</v>
      </c>
      <c r="T11" s="171" t="e">
        <f t="shared" si="16"/>
        <v>#VALUE!</v>
      </c>
      <c r="U11" s="171" t="e">
        <f t="shared" si="16"/>
        <v>#VALUE!</v>
      </c>
      <c r="V11" s="171" t="e">
        <f t="shared" si="16"/>
        <v>#VALUE!</v>
      </c>
      <c r="W11" s="171" t="e">
        <f t="shared" si="16"/>
        <v>#VALUE!</v>
      </c>
    </row>
    <row r="12" spans="1:23" ht="15">
      <c r="A12" s="77">
        <v>5</v>
      </c>
      <c r="B12" s="77" t="s">
        <v>8</v>
      </c>
      <c r="C12" s="85" t="e">
        <f t="shared" si="0"/>
        <v>#VALUE!</v>
      </c>
      <c r="D12" s="171">
        <f>'输出值5-折旧摊销费用估算表'!D5</f>
        <v>0</v>
      </c>
      <c r="E12" s="171">
        <f>'输出值5-折旧摊销费用估算表'!E5</f>
        <v>0</v>
      </c>
      <c r="F12" s="171" t="e">
        <f>'输出值5-折旧摊销费用估算表'!F5</f>
        <v>#VALUE!</v>
      </c>
      <c r="G12" s="171" t="e">
        <f>'输出值5-折旧摊销费用估算表'!G5</f>
        <v>#VALUE!</v>
      </c>
      <c r="H12" s="171" t="e">
        <f>'输出值5-折旧摊销费用估算表'!H5</f>
        <v>#VALUE!</v>
      </c>
      <c r="I12" s="171" t="e">
        <f>'输出值5-折旧摊销费用估算表'!I5</f>
        <v>#VALUE!</v>
      </c>
      <c r="J12" s="171" t="e">
        <f>'输出值5-折旧摊销费用估算表'!J5</f>
        <v>#VALUE!</v>
      </c>
      <c r="K12" s="171" t="e">
        <f>'输出值5-折旧摊销费用估算表'!K5</f>
        <v>#VALUE!</v>
      </c>
      <c r="L12" s="171" t="e">
        <f>'输出值5-折旧摊销费用估算表'!L5</f>
        <v>#VALUE!</v>
      </c>
      <c r="M12" s="171" t="e">
        <f>'输出值5-折旧摊销费用估算表'!M5</f>
        <v>#VALUE!</v>
      </c>
      <c r="N12" s="171" t="e">
        <f>'输出值5-折旧摊销费用估算表'!N5</f>
        <v>#VALUE!</v>
      </c>
      <c r="O12" s="171" t="e">
        <f>'输出值5-折旧摊销费用估算表'!O5</f>
        <v>#VALUE!</v>
      </c>
      <c r="P12" s="171" t="e">
        <f>'输出值5-折旧摊销费用估算表'!P5</f>
        <v>#VALUE!</v>
      </c>
      <c r="Q12" s="171" t="e">
        <f>'输出值5-折旧摊销费用估算表'!Q5</f>
        <v>#VALUE!</v>
      </c>
      <c r="R12" s="171" t="e">
        <f>'输出值5-折旧摊销费用估算表'!R5</f>
        <v>#VALUE!</v>
      </c>
      <c r="S12" s="171" t="e">
        <f>'输出值5-折旧摊销费用估算表'!S5</f>
        <v>#VALUE!</v>
      </c>
      <c r="T12" s="171" t="e">
        <f>'输出值5-折旧摊销费用估算表'!T5</f>
        <v>#VALUE!</v>
      </c>
      <c r="U12" s="171" t="e">
        <f>'输出值5-折旧摊销费用估算表'!U5</f>
        <v>#VALUE!</v>
      </c>
      <c r="V12" s="171" t="e">
        <f>'输出值5-折旧摊销费用估算表'!V5</f>
        <v>#VALUE!</v>
      </c>
      <c r="W12" s="171" t="e">
        <f>'输出值5-折旧摊销费用估算表'!W5</f>
        <v>#VALUE!</v>
      </c>
    </row>
    <row r="13" spans="1:23" ht="15">
      <c r="A13" s="77">
        <v>6</v>
      </c>
      <c r="B13" s="77" t="s">
        <v>9</v>
      </c>
      <c r="C13" s="85" t="e">
        <f t="shared" si="0"/>
        <v>#VALUE!</v>
      </c>
      <c r="D13" s="85">
        <f>'输出值5-折旧摊销费用估算表'!D14</f>
        <v>0</v>
      </c>
      <c r="E13" s="85">
        <f>'输出值5-折旧摊销费用估算表'!E14</f>
        <v>0</v>
      </c>
      <c r="F13" s="85" t="e">
        <f>'输出值5-折旧摊销费用估算表'!F14</f>
        <v>#VALUE!</v>
      </c>
      <c r="G13" s="85" t="e">
        <f>'输出值5-折旧摊销费用估算表'!G14</f>
        <v>#VALUE!</v>
      </c>
      <c r="H13" s="85" t="e">
        <f>'输出值5-折旧摊销费用估算表'!H14</f>
        <v>#VALUE!</v>
      </c>
      <c r="I13" s="85" t="e">
        <f>'输出值5-折旧摊销费用估算表'!I14</f>
        <v>#VALUE!</v>
      </c>
      <c r="J13" s="85" t="e">
        <f>'输出值5-折旧摊销费用估算表'!J14</f>
        <v>#VALUE!</v>
      </c>
      <c r="K13" s="85" t="e">
        <f>'输出值5-折旧摊销费用估算表'!K14</f>
        <v>#VALUE!</v>
      </c>
      <c r="L13" s="85" t="e">
        <f>'输出值5-折旧摊销费用估算表'!L14</f>
        <v>#VALUE!</v>
      </c>
      <c r="M13" s="85" t="e">
        <f>'输出值5-折旧摊销费用估算表'!M14</f>
        <v>#VALUE!</v>
      </c>
      <c r="N13" s="85" t="e">
        <f>'输出值5-折旧摊销费用估算表'!N14</f>
        <v>#VALUE!</v>
      </c>
      <c r="O13" s="85" t="e">
        <f>'输出值5-折旧摊销费用估算表'!O14</f>
        <v>#VALUE!</v>
      </c>
      <c r="P13" s="85" t="e">
        <f>'输出值5-折旧摊销费用估算表'!P14</f>
        <v>#VALUE!</v>
      </c>
      <c r="Q13" s="85" t="e">
        <f>'输出值5-折旧摊销费用估算表'!Q14</f>
        <v>#VALUE!</v>
      </c>
      <c r="R13" s="85" t="e">
        <f>'输出值5-折旧摊销费用估算表'!R14</f>
        <v>#VALUE!</v>
      </c>
      <c r="S13" s="85" t="e">
        <f>'输出值5-折旧摊销费用估算表'!S14</f>
        <v>#VALUE!</v>
      </c>
      <c r="T13" s="85" t="e">
        <f>'输出值5-折旧摊销费用估算表'!T14</f>
        <v>#VALUE!</v>
      </c>
      <c r="U13" s="85" t="e">
        <f>'输出值5-折旧摊销费用估算表'!U14</f>
        <v>#VALUE!</v>
      </c>
      <c r="V13" s="85" t="e">
        <f>'输出值5-折旧摊销费用估算表'!V14</f>
        <v>#VALUE!</v>
      </c>
      <c r="W13" s="85" t="e">
        <f>'输出值5-折旧摊销费用估算表'!W14</f>
        <v>#VALUE!</v>
      </c>
    </row>
    <row r="14" spans="1:23" ht="16">
      <c r="A14" s="77">
        <v>7</v>
      </c>
      <c r="B14" s="77" t="s">
        <v>381</v>
      </c>
      <c r="C14" s="85" t="e">
        <f t="shared" si="0"/>
        <v>#VALUE!</v>
      </c>
      <c r="D14" s="85" t="e">
        <f t="shared" ref="D14:W14" si="17">SUM(D11:D13)</f>
        <v>#VALUE!</v>
      </c>
      <c r="E14" s="85" t="e">
        <f t="shared" si="17"/>
        <v>#VALUE!</v>
      </c>
      <c r="F14" s="85" t="e">
        <f t="shared" si="17"/>
        <v>#VALUE!</v>
      </c>
      <c r="G14" s="85" t="e">
        <f t="shared" si="17"/>
        <v>#VALUE!</v>
      </c>
      <c r="H14" s="85" t="e">
        <f t="shared" si="17"/>
        <v>#VALUE!</v>
      </c>
      <c r="I14" s="85" t="e">
        <f t="shared" si="17"/>
        <v>#VALUE!</v>
      </c>
      <c r="J14" s="85" t="e">
        <f t="shared" si="17"/>
        <v>#VALUE!</v>
      </c>
      <c r="K14" s="85" t="e">
        <f t="shared" si="17"/>
        <v>#VALUE!</v>
      </c>
      <c r="L14" s="85" t="e">
        <f t="shared" si="17"/>
        <v>#VALUE!</v>
      </c>
      <c r="M14" s="78" t="e">
        <f t="shared" si="17"/>
        <v>#VALUE!</v>
      </c>
      <c r="N14" s="78" t="e">
        <f t="shared" si="17"/>
        <v>#VALUE!</v>
      </c>
      <c r="O14" s="78" t="e">
        <f t="shared" si="17"/>
        <v>#VALUE!</v>
      </c>
      <c r="P14" s="78" t="e">
        <f t="shared" si="17"/>
        <v>#VALUE!</v>
      </c>
      <c r="Q14" s="78" t="e">
        <f t="shared" si="17"/>
        <v>#VALUE!</v>
      </c>
      <c r="R14" s="78" t="e">
        <f t="shared" si="17"/>
        <v>#VALUE!</v>
      </c>
      <c r="S14" s="78" t="e">
        <f t="shared" si="17"/>
        <v>#VALUE!</v>
      </c>
      <c r="T14" s="78" t="e">
        <f t="shared" si="17"/>
        <v>#VALUE!</v>
      </c>
      <c r="U14" s="78" t="e">
        <f t="shared" si="17"/>
        <v>#VALUE!</v>
      </c>
      <c r="V14" s="78" t="e">
        <f t="shared" si="17"/>
        <v>#VALUE!</v>
      </c>
      <c r="W14" s="78" t="e">
        <f t="shared" si="17"/>
        <v>#VALUE!</v>
      </c>
    </row>
    <row r="15" spans="1:23" ht="13">
      <c r="E15" s="2"/>
    </row>
    <row r="19" spans="2:2" ht="13">
      <c r="B19" s="2"/>
    </row>
  </sheetData>
  <mergeCells count="1">
    <mergeCell ref="A1:W1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0063-3025-4BD4-8A8F-7D90770B1C16}">
  <dimension ref="A1:W16"/>
  <sheetViews>
    <sheetView workbookViewId="0">
      <selection activeCell="A12" sqref="A12:XFD12"/>
    </sheetView>
  </sheetViews>
  <sheetFormatPr defaultRowHeight="12.5"/>
  <cols>
    <col min="1" max="1" width="8.81640625" bestFit="1" customWidth="1"/>
    <col min="2" max="2" width="14.81640625" bestFit="1" customWidth="1"/>
    <col min="3" max="3" width="10" bestFit="1" customWidth="1"/>
    <col min="4" max="5" width="8.81640625" bestFit="1" customWidth="1"/>
    <col min="6" max="17" width="11.1796875" bestFit="1" customWidth="1"/>
    <col min="18" max="23" width="10" bestFit="1" customWidth="1"/>
  </cols>
  <sheetData>
    <row r="1" spans="1:23" ht="21">
      <c r="A1" s="191" t="s">
        <v>382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3"/>
    </row>
    <row r="2" spans="1:23" ht="15">
      <c r="A2" s="76" t="s">
        <v>0</v>
      </c>
      <c r="B2" s="76" t="s">
        <v>6</v>
      </c>
      <c r="C2" s="76" t="s">
        <v>105</v>
      </c>
      <c r="D2" s="76">
        <v>1</v>
      </c>
      <c r="E2" s="76">
        <v>2</v>
      </c>
      <c r="F2" s="76">
        <v>3</v>
      </c>
      <c r="G2" s="76">
        <v>4</v>
      </c>
      <c r="H2" s="76">
        <v>5</v>
      </c>
      <c r="I2" s="76">
        <v>6</v>
      </c>
      <c r="J2" s="76">
        <v>7</v>
      </c>
      <c r="K2" s="76">
        <v>8</v>
      </c>
      <c r="L2" s="76">
        <v>9</v>
      </c>
      <c r="M2" s="76">
        <v>10</v>
      </c>
      <c r="N2" s="76">
        <v>11</v>
      </c>
      <c r="O2" s="76">
        <v>12</v>
      </c>
      <c r="P2" s="76">
        <v>13</v>
      </c>
      <c r="Q2" s="76">
        <v>14</v>
      </c>
      <c r="R2" s="76">
        <v>15</v>
      </c>
      <c r="S2" s="76">
        <v>16</v>
      </c>
      <c r="T2" s="76">
        <v>17</v>
      </c>
      <c r="U2" s="76">
        <v>18</v>
      </c>
      <c r="V2" s="76">
        <v>19</v>
      </c>
      <c r="W2" s="76">
        <v>20</v>
      </c>
    </row>
    <row r="3" spans="1:23" ht="15">
      <c r="A3" s="113">
        <v>1</v>
      </c>
      <c r="B3" s="113" t="s">
        <v>383</v>
      </c>
      <c r="C3" s="73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spans="1:23" ht="15">
      <c r="A4" s="113">
        <v>1.1000000000000001</v>
      </c>
      <c r="B4" s="113" t="s">
        <v>384</v>
      </c>
      <c r="C4" s="119" t="e">
        <f>'输出值1-总投资估算表'!N18</f>
        <v>#VALUE!</v>
      </c>
      <c r="D4" s="120"/>
      <c r="E4" s="119"/>
      <c r="F4" s="119"/>
      <c r="G4" s="119"/>
      <c r="H4" s="119"/>
      <c r="I4" s="119"/>
      <c r="J4" s="119"/>
      <c r="K4" s="119"/>
      <c r="L4" s="119"/>
      <c r="M4" s="119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1:23" ht="15">
      <c r="A5" s="113">
        <v>1.2</v>
      </c>
      <c r="B5" s="113" t="s">
        <v>385</v>
      </c>
      <c r="C5" s="118" t="e">
        <f>SUM(D5:M5)</f>
        <v>#VALUE!</v>
      </c>
      <c r="D5" s="118"/>
      <c r="E5" s="118"/>
      <c r="F5" s="121" t="e">
        <f>$C$4*(1-输入值【1】!$C$95)/输入值【1】!$C$94</f>
        <v>#VALUE!</v>
      </c>
      <c r="G5" s="121" t="e">
        <f>$C$4*(1-输入值【1】!$C$95)/输入值【1】!$C$94</f>
        <v>#VALUE!</v>
      </c>
      <c r="H5" s="121" t="e">
        <f>$C$4*(1-输入值【1】!$C$95)/输入值【1】!$C$94</f>
        <v>#VALUE!</v>
      </c>
      <c r="I5" s="121" t="e">
        <f>$C$4*(1-输入值【1】!$C$95)/输入值【1】!$C$94</f>
        <v>#VALUE!</v>
      </c>
      <c r="J5" s="121" t="e">
        <f>$C$4*(1-输入值【1】!$C$95)/输入值【1】!$C$94</f>
        <v>#VALUE!</v>
      </c>
      <c r="K5" s="121" t="e">
        <f>$C$4*(1-输入值【1】!$C$95)/输入值【1】!$C$94</f>
        <v>#VALUE!</v>
      </c>
      <c r="L5" s="121" t="e">
        <f>$C$4*(1-输入值【1】!$C$95)/输入值【1】!$C$94</f>
        <v>#VALUE!</v>
      </c>
      <c r="M5" s="121" t="e">
        <f>$C$4*(1-输入值【1】!$C$95)/输入值【1】!$C$94</f>
        <v>#VALUE!</v>
      </c>
      <c r="N5" s="121" t="e">
        <f>$C$4*(1-输入值【1】!$C$95)/输入值【1】!$C$94</f>
        <v>#VALUE!</v>
      </c>
      <c r="O5" s="121" t="e">
        <f>$C$4*(1-输入值【1】!$C$95)/输入值【1】!$C$94</f>
        <v>#VALUE!</v>
      </c>
      <c r="P5" s="121" t="e">
        <f>$C$4*(1-输入值【1】!$C$95)/输入值【1】!$C$94</f>
        <v>#VALUE!</v>
      </c>
      <c r="Q5" s="121" t="e">
        <f>$C$4*(1-输入值【1】!$C$95)/输入值【1】!$C$94</f>
        <v>#VALUE!</v>
      </c>
      <c r="R5" s="121" t="e">
        <f>$C$4*(1-输入值【1】!$C$95)/输入值【1】!$C$94</f>
        <v>#VALUE!</v>
      </c>
      <c r="S5" s="121" t="e">
        <f>$C$4*(1-输入值【1】!$C$95)/输入值【1】!$C$94</f>
        <v>#VALUE!</v>
      </c>
      <c r="T5" s="121" t="e">
        <f>$C$4*(1-输入值【1】!$C$95)/输入值【1】!$C$94</f>
        <v>#VALUE!</v>
      </c>
      <c r="U5" s="121" t="e">
        <f>$C$4*(1-输入值【1】!$C$95)/输入值【1】!$C$94</f>
        <v>#VALUE!</v>
      </c>
      <c r="V5" s="121" t="e">
        <f>$C$4*(1-输入值【1】!$C$95)/输入值【1】!$C$94</f>
        <v>#VALUE!</v>
      </c>
      <c r="W5" s="121" t="e">
        <f>$C$4*(1-输入值【1】!$C$95)/输入值【1】!$C$94</f>
        <v>#VALUE!</v>
      </c>
    </row>
    <row r="6" spans="1:23" ht="15">
      <c r="A6" s="113">
        <v>1.3</v>
      </c>
      <c r="B6" s="113" t="s">
        <v>386</v>
      </c>
      <c r="C6" s="118"/>
      <c r="D6" s="118"/>
      <c r="E6" s="118"/>
      <c r="F6" s="122" t="e">
        <f>C4-F5</f>
        <v>#VALUE!</v>
      </c>
      <c r="G6" s="122" t="e">
        <f>F6-G5</f>
        <v>#VALUE!</v>
      </c>
      <c r="H6" s="122" t="e">
        <f t="shared" ref="H6:W6" si="0">G6-H5</f>
        <v>#VALUE!</v>
      </c>
      <c r="I6" s="122" t="e">
        <f t="shared" si="0"/>
        <v>#VALUE!</v>
      </c>
      <c r="J6" s="122" t="e">
        <f t="shared" si="0"/>
        <v>#VALUE!</v>
      </c>
      <c r="K6" s="122" t="e">
        <f t="shared" si="0"/>
        <v>#VALUE!</v>
      </c>
      <c r="L6" s="122" t="e">
        <f t="shared" si="0"/>
        <v>#VALUE!</v>
      </c>
      <c r="M6" s="122" t="e">
        <f t="shared" si="0"/>
        <v>#VALUE!</v>
      </c>
      <c r="N6" s="122" t="e">
        <f t="shared" si="0"/>
        <v>#VALUE!</v>
      </c>
      <c r="O6" s="122" t="e">
        <f t="shared" si="0"/>
        <v>#VALUE!</v>
      </c>
      <c r="P6" s="122" t="e">
        <f t="shared" si="0"/>
        <v>#VALUE!</v>
      </c>
      <c r="Q6" s="122" t="e">
        <f t="shared" si="0"/>
        <v>#VALUE!</v>
      </c>
      <c r="R6" s="122" t="e">
        <f t="shared" si="0"/>
        <v>#VALUE!</v>
      </c>
      <c r="S6" s="122" t="e">
        <f t="shared" si="0"/>
        <v>#VALUE!</v>
      </c>
      <c r="T6" s="122" t="e">
        <f t="shared" si="0"/>
        <v>#VALUE!</v>
      </c>
      <c r="U6" s="122" t="e">
        <f t="shared" si="0"/>
        <v>#VALUE!</v>
      </c>
      <c r="V6" s="122" t="e">
        <f t="shared" si="0"/>
        <v>#VALUE!</v>
      </c>
      <c r="W6" s="122" t="e">
        <f t="shared" si="0"/>
        <v>#VALUE!</v>
      </c>
    </row>
    <row r="7" spans="1:23" ht="15">
      <c r="A7" s="113">
        <v>1.4</v>
      </c>
      <c r="B7" s="113" t="s">
        <v>387</v>
      </c>
      <c r="C7" s="118"/>
      <c r="D7" s="118"/>
      <c r="E7" s="118"/>
      <c r="F7" s="122"/>
      <c r="G7" s="122"/>
      <c r="H7" s="122"/>
      <c r="I7" s="122"/>
      <c r="J7" s="122"/>
      <c r="K7" s="122"/>
      <c r="L7" s="122"/>
      <c r="M7" s="122"/>
      <c r="N7" s="73"/>
      <c r="O7" s="73"/>
      <c r="P7" s="73"/>
      <c r="Q7" s="73"/>
      <c r="R7" s="73"/>
      <c r="S7" s="73"/>
      <c r="T7" s="73"/>
      <c r="U7" s="73"/>
      <c r="V7" s="73"/>
      <c r="W7" s="123" t="e">
        <f>W6</f>
        <v>#VALUE!</v>
      </c>
    </row>
    <row r="8" spans="1:23" ht="15">
      <c r="A8" s="124"/>
      <c r="B8" s="124"/>
      <c r="C8" s="125"/>
      <c r="D8" s="125"/>
      <c r="E8" s="125"/>
      <c r="F8" s="126"/>
      <c r="G8" s="126"/>
      <c r="H8" s="126"/>
      <c r="I8" s="126"/>
      <c r="J8" s="126"/>
      <c r="K8" s="126"/>
      <c r="L8" s="126"/>
      <c r="M8" s="126"/>
      <c r="N8" s="93"/>
      <c r="O8" s="93"/>
      <c r="P8" s="93"/>
      <c r="Q8" s="93"/>
      <c r="R8" s="93"/>
      <c r="S8" s="93"/>
      <c r="T8" s="93"/>
      <c r="U8" s="93"/>
      <c r="V8" s="93"/>
      <c r="W8" s="127"/>
    </row>
    <row r="9" spans="1:2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23" ht="21">
      <c r="A10" s="201" t="s">
        <v>388</v>
      </c>
      <c r="B10" s="201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</row>
    <row r="11" spans="1:23" ht="15">
      <c r="A11" s="76" t="s">
        <v>0</v>
      </c>
      <c r="B11" s="76" t="s">
        <v>6</v>
      </c>
      <c r="C11" s="76" t="s">
        <v>105</v>
      </c>
      <c r="D11" s="76">
        <v>1</v>
      </c>
      <c r="E11" s="76">
        <v>2</v>
      </c>
      <c r="F11" s="76">
        <v>3</v>
      </c>
      <c r="G11" s="76">
        <v>4</v>
      </c>
      <c r="H11" s="76">
        <v>5</v>
      </c>
      <c r="I11" s="76">
        <v>6</v>
      </c>
      <c r="J11" s="76">
        <v>7</v>
      </c>
      <c r="K11" s="76">
        <v>8</v>
      </c>
      <c r="L11" s="76">
        <v>9</v>
      </c>
      <c r="M11" s="76">
        <v>10</v>
      </c>
      <c r="N11" s="76">
        <v>11</v>
      </c>
      <c r="O11" s="76">
        <v>12</v>
      </c>
      <c r="P11" s="76">
        <v>13</v>
      </c>
      <c r="Q11" s="76">
        <v>14</v>
      </c>
      <c r="R11" s="76">
        <v>15</v>
      </c>
      <c r="S11" s="76">
        <v>16</v>
      </c>
      <c r="T11" s="76">
        <v>17</v>
      </c>
      <c r="U11" s="76">
        <v>18</v>
      </c>
      <c r="V11" s="76">
        <v>19</v>
      </c>
      <c r="W11" s="76">
        <v>20</v>
      </c>
    </row>
    <row r="12" spans="1:23" ht="15.5">
      <c r="A12" s="113">
        <v>1</v>
      </c>
      <c r="B12" s="113" t="s">
        <v>389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00"/>
      <c r="O12" s="100"/>
      <c r="P12" s="100"/>
      <c r="Q12" s="100"/>
      <c r="R12" s="100"/>
      <c r="S12" s="100"/>
      <c r="T12" s="100"/>
      <c r="U12" s="100"/>
      <c r="V12" s="100"/>
      <c r="W12" s="100"/>
    </row>
    <row r="13" spans="1:23" ht="15.5">
      <c r="A13" s="113">
        <v>1.1000000000000001</v>
      </c>
      <c r="B13" s="113" t="s">
        <v>384</v>
      </c>
      <c r="C13" s="115" t="e">
        <f>'输出值1-总投资估算表'!N24</f>
        <v>#VALUE!</v>
      </c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00"/>
      <c r="O13" s="100"/>
      <c r="P13" s="100"/>
      <c r="Q13" s="100"/>
      <c r="R13" s="100"/>
      <c r="S13" s="100"/>
      <c r="T13" s="100"/>
      <c r="U13" s="100"/>
      <c r="V13" s="100"/>
      <c r="W13" s="100"/>
    </row>
    <row r="14" spans="1:23" ht="15">
      <c r="A14" s="113">
        <v>1.2</v>
      </c>
      <c r="B14" s="113" t="s">
        <v>390</v>
      </c>
      <c r="C14" s="115" t="e">
        <f>SUM(D14:M14)</f>
        <v>#VALUE!</v>
      </c>
      <c r="D14" s="113"/>
      <c r="E14" s="113"/>
      <c r="F14" s="116" t="e">
        <f>$C$13*(1-输入值【1】!$C$98)/输入值【1】!$C$97</f>
        <v>#VALUE!</v>
      </c>
      <c r="G14" s="116" t="e">
        <f>$C$13*(1-输入值【1】!$C$98)/输入值【1】!$C$97</f>
        <v>#VALUE!</v>
      </c>
      <c r="H14" s="116" t="e">
        <f>$C$13*(1-输入值【1】!$C$98)/输入值【1】!$C$97</f>
        <v>#VALUE!</v>
      </c>
      <c r="I14" s="116" t="e">
        <f>$C$13*(1-输入值【1】!$C$98)/输入值【1】!$C$97</f>
        <v>#VALUE!</v>
      </c>
      <c r="J14" s="116" t="e">
        <f>$C$13*(1-输入值【1】!$C$98)/输入值【1】!$C$97</f>
        <v>#VALUE!</v>
      </c>
      <c r="K14" s="116" t="e">
        <f>$C$13*(1-输入值【1】!$C$98)/输入值【1】!$C$97</f>
        <v>#VALUE!</v>
      </c>
      <c r="L14" s="116" t="e">
        <f>$C$13*(1-输入值【1】!$C$98)/输入值【1】!$C$97</f>
        <v>#VALUE!</v>
      </c>
      <c r="M14" s="116" t="e">
        <f>$C$13*(1-输入值【1】!$C$98)/输入值【1】!$C$97</f>
        <v>#VALUE!</v>
      </c>
      <c r="N14" s="116" t="e">
        <f>$C$13*(1-输入值【1】!$C$98)/输入值【1】!$C$97</f>
        <v>#VALUE!</v>
      </c>
      <c r="O14" s="116" t="e">
        <f>$C$13*(1-输入值【1】!$C$98)/输入值【1】!$C$97</f>
        <v>#VALUE!</v>
      </c>
      <c r="P14" s="116" t="e">
        <f>$C$13*(1-输入值【1】!$C$98)/输入值【1】!$C$97</f>
        <v>#VALUE!</v>
      </c>
      <c r="Q14" s="116" t="e">
        <f>$C$13*(1-输入值【1】!$C$98)/输入值【1】!$C$97</f>
        <v>#VALUE!</v>
      </c>
      <c r="R14" s="116" t="e">
        <f>$C$13*(1-输入值【1】!$C$98)/输入值【1】!$C$97</f>
        <v>#VALUE!</v>
      </c>
      <c r="S14" s="116" t="e">
        <f>$C$13*(1-输入值【1】!$C$98)/输入值【1】!$C$97</f>
        <v>#VALUE!</v>
      </c>
      <c r="T14" s="116" t="e">
        <f>$C$13*(1-输入值【1】!$C$98)/输入值【1】!$C$97</f>
        <v>#VALUE!</v>
      </c>
      <c r="U14" s="116" t="e">
        <f>$C$13*(1-输入值【1】!$C$98)/输入值【1】!$C$97</f>
        <v>#VALUE!</v>
      </c>
      <c r="V14" s="116" t="e">
        <f>$C$13*(1-输入值【1】!$C$98)/输入值【1】!$C$97</f>
        <v>#VALUE!</v>
      </c>
      <c r="W14" s="116" t="e">
        <f>$C$13*(1-输入值【1】!$C$98)/输入值【1】!$C$97</f>
        <v>#VALUE!</v>
      </c>
    </row>
    <row r="15" spans="1:23" ht="15">
      <c r="A15" s="118">
        <v>1.3</v>
      </c>
      <c r="B15" s="118" t="s">
        <v>386</v>
      </c>
      <c r="C15" s="118"/>
      <c r="D15" s="118"/>
      <c r="E15" s="118"/>
      <c r="F15" s="122" t="e">
        <f>C13-F14</f>
        <v>#VALUE!</v>
      </c>
      <c r="G15" s="122" t="e">
        <f>F15-G14</f>
        <v>#VALUE!</v>
      </c>
      <c r="H15" s="122" t="e">
        <f t="shared" ref="H15:W15" si="1">G15-H14</f>
        <v>#VALUE!</v>
      </c>
      <c r="I15" s="122" t="e">
        <f t="shared" si="1"/>
        <v>#VALUE!</v>
      </c>
      <c r="J15" s="122" t="e">
        <f t="shared" si="1"/>
        <v>#VALUE!</v>
      </c>
      <c r="K15" s="122" t="e">
        <f t="shared" si="1"/>
        <v>#VALUE!</v>
      </c>
      <c r="L15" s="122" t="e">
        <f t="shared" si="1"/>
        <v>#VALUE!</v>
      </c>
      <c r="M15" s="122" t="e">
        <f t="shared" si="1"/>
        <v>#VALUE!</v>
      </c>
      <c r="N15" s="122" t="e">
        <f t="shared" si="1"/>
        <v>#VALUE!</v>
      </c>
      <c r="O15" s="122" t="e">
        <f t="shared" si="1"/>
        <v>#VALUE!</v>
      </c>
      <c r="P15" s="122" t="e">
        <f t="shared" si="1"/>
        <v>#VALUE!</v>
      </c>
      <c r="Q15" s="122" t="e">
        <f t="shared" si="1"/>
        <v>#VALUE!</v>
      </c>
      <c r="R15" s="122" t="e">
        <f t="shared" si="1"/>
        <v>#VALUE!</v>
      </c>
      <c r="S15" s="122" t="e">
        <f t="shared" si="1"/>
        <v>#VALUE!</v>
      </c>
      <c r="T15" s="122" t="e">
        <f t="shared" si="1"/>
        <v>#VALUE!</v>
      </c>
      <c r="U15" s="122" t="e">
        <f t="shared" si="1"/>
        <v>#VALUE!</v>
      </c>
      <c r="V15" s="122" t="e">
        <f t="shared" si="1"/>
        <v>#VALUE!</v>
      </c>
      <c r="W15" s="122" t="e">
        <f t="shared" si="1"/>
        <v>#VALUE!</v>
      </c>
    </row>
    <row r="16" spans="1:23" ht="15">
      <c r="A16" s="118">
        <v>1.4</v>
      </c>
      <c r="B16" s="118" t="s">
        <v>387</v>
      </c>
      <c r="C16" s="118"/>
      <c r="D16" s="118"/>
      <c r="E16" s="118"/>
      <c r="F16" s="122"/>
      <c r="G16" s="122"/>
      <c r="H16" s="122"/>
      <c r="I16" s="122"/>
      <c r="J16" s="122"/>
      <c r="K16" s="122"/>
      <c r="L16" s="122"/>
      <c r="M16" s="122"/>
      <c r="N16" s="73"/>
      <c r="O16" s="73"/>
      <c r="P16" s="73"/>
      <c r="Q16" s="73"/>
      <c r="R16" s="73"/>
      <c r="S16" s="73"/>
      <c r="T16" s="73"/>
      <c r="U16" s="73"/>
      <c r="V16" s="73"/>
      <c r="W16" s="123" t="e">
        <f>W15</f>
        <v>#VALUE!</v>
      </c>
    </row>
  </sheetData>
  <mergeCells count="2">
    <mergeCell ref="A1:W1"/>
    <mergeCell ref="A10:W10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22D2-7F48-4DF5-A3F1-5B312E44D89C}">
  <dimension ref="A1:V14"/>
  <sheetViews>
    <sheetView workbookViewId="0">
      <selection activeCell="A2" sqref="A2:A3"/>
    </sheetView>
  </sheetViews>
  <sheetFormatPr defaultRowHeight="12.5"/>
  <cols>
    <col min="1" max="1" width="8.81640625" bestFit="1" customWidth="1"/>
    <col min="2" max="2" width="19.453125" bestFit="1" customWidth="1"/>
    <col min="3" max="5" width="11.1796875" bestFit="1" customWidth="1"/>
    <col min="6" max="22" width="11.90625" bestFit="1" customWidth="1"/>
  </cols>
  <sheetData>
    <row r="1" spans="1:22" ht="21">
      <c r="A1" s="201" t="s">
        <v>395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</row>
    <row r="2" spans="1:22" s="49" customFormat="1" ht="15">
      <c r="A2" s="208" t="s">
        <v>0</v>
      </c>
      <c r="B2" s="183" t="s">
        <v>346</v>
      </c>
      <c r="C2" s="182" t="s">
        <v>75</v>
      </c>
      <c r="D2" s="182" t="s">
        <v>75</v>
      </c>
      <c r="E2" s="182" t="s">
        <v>77</v>
      </c>
      <c r="F2" s="182" t="s">
        <v>77</v>
      </c>
      <c r="G2" s="182" t="s">
        <v>77</v>
      </c>
      <c r="H2" s="182" t="s">
        <v>77</v>
      </c>
      <c r="I2" s="182" t="s">
        <v>77</v>
      </c>
      <c r="J2" s="182" t="s">
        <v>77</v>
      </c>
      <c r="K2" s="182" t="s">
        <v>77</v>
      </c>
      <c r="L2" s="182" t="s">
        <v>77</v>
      </c>
      <c r="M2" s="182" t="s">
        <v>77</v>
      </c>
      <c r="N2" s="182" t="s">
        <v>77</v>
      </c>
      <c r="O2" s="182" t="s">
        <v>77</v>
      </c>
      <c r="P2" s="182" t="s">
        <v>77</v>
      </c>
      <c r="Q2" s="182" t="s">
        <v>77</v>
      </c>
      <c r="R2" s="182" t="s">
        <v>77</v>
      </c>
      <c r="S2" s="182" t="s">
        <v>77</v>
      </c>
      <c r="T2" s="182" t="s">
        <v>77</v>
      </c>
      <c r="U2" s="182" t="s">
        <v>77</v>
      </c>
      <c r="V2" s="182" t="s">
        <v>77</v>
      </c>
    </row>
    <row r="3" spans="1:22" s="49" customFormat="1" ht="15">
      <c r="A3" s="209"/>
      <c r="B3" s="181" t="s">
        <v>6</v>
      </c>
      <c r="C3" s="144" t="s">
        <v>449</v>
      </c>
      <c r="D3" s="144" t="s">
        <v>450</v>
      </c>
      <c r="E3" s="180" t="s">
        <v>451</v>
      </c>
      <c r="F3" s="180" t="s">
        <v>452</v>
      </c>
      <c r="G3" s="180" t="s">
        <v>453</v>
      </c>
      <c r="H3" s="180" t="s">
        <v>454</v>
      </c>
      <c r="I3" s="180" t="s">
        <v>455</v>
      </c>
      <c r="J3" s="180" t="s">
        <v>456</v>
      </c>
      <c r="K3" s="180" t="s">
        <v>457</v>
      </c>
      <c r="L3" s="180" t="s">
        <v>458</v>
      </c>
      <c r="M3" s="180" t="s">
        <v>459</v>
      </c>
      <c r="N3" s="180" t="s">
        <v>460</v>
      </c>
      <c r="O3" s="180" t="s">
        <v>461</v>
      </c>
      <c r="P3" s="180" t="s">
        <v>462</v>
      </c>
      <c r="Q3" s="180" t="s">
        <v>463</v>
      </c>
      <c r="R3" s="180" t="s">
        <v>464</v>
      </c>
      <c r="S3" s="180" t="s">
        <v>465</v>
      </c>
      <c r="T3" s="180" t="s">
        <v>466</v>
      </c>
      <c r="U3" s="180" t="s">
        <v>467</v>
      </c>
      <c r="V3" s="180" t="s">
        <v>468</v>
      </c>
    </row>
    <row r="4" spans="1:22" ht="15">
      <c r="A4" s="145">
        <v>1</v>
      </c>
      <c r="B4" s="145" t="s">
        <v>119</v>
      </c>
      <c r="C4" s="146">
        <f>'输出值2-营业收入估算表'!D3</f>
        <v>0</v>
      </c>
      <c r="D4" s="146">
        <f>'输出值2-营业收入估算表'!E3</f>
        <v>0</v>
      </c>
      <c r="E4" s="146" t="e">
        <f>'输出值2-营业收入估算表'!F3</f>
        <v>#VALUE!</v>
      </c>
      <c r="F4" s="146" t="e">
        <f>'输出值2-营业收入估算表'!G3</f>
        <v>#VALUE!</v>
      </c>
      <c r="G4" s="146" t="e">
        <f>'输出值2-营业收入估算表'!H3</f>
        <v>#VALUE!</v>
      </c>
      <c r="H4" s="146" t="e">
        <f>'输出值2-营业收入估算表'!I3</f>
        <v>#VALUE!</v>
      </c>
      <c r="I4" s="146" t="e">
        <f>'输出值2-营业收入估算表'!J3</f>
        <v>#VALUE!</v>
      </c>
      <c r="J4" s="146" t="e">
        <f>'输出值2-营业收入估算表'!K3</f>
        <v>#VALUE!</v>
      </c>
      <c r="K4" s="146" t="e">
        <f>'输出值2-营业收入估算表'!L3</f>
        <v>#VALUE!</v>
      </c>
      <c r="L4" s="146" t="e">
        <f>'输出值2-营业收入估算表'!M3</f>
        <v>#VALUE!</v>
      </c>
      <c r="M4" s="146" t="e">
        <f>'输出值2-营业收入估算表'!N3</f>
        <v>#VALUE!</v>
      </c>
      <c r="N4" s="146" t="e">
        <f>'输出值2-营业收入估算表'!O3</f>
        <v>#VALUE!</v>
      </c>
      <c r="O4" s="146" t="e">
        <f>'输出值2-营业收入估算表'!P3</f>
        <v>#VALUE!</v>
      </c>
      <c r="P4" s="146" t="e">
        <f>'输出值2-营业收入估算表'!Q3</f>
        <v>#VALUE!</v>
      </c>
      <c r="Q4" s="146" t="e">
        <f>'输出值2-营业收入估算表'!R3</f>
        <v>#VALUE!</v>
      </c>
      <c r="R4" s="146" t="e">
        <f>'输出值2-营业收入估算表'!S3</f>
        <v>#VALUE!</v>
      </c>
      <c r="S4" s="146" t="e">
        <f>'输出值2-营业收入估算表'!T3</f>
        <v>#VALUE!</v>
      </c>
      <c r="T4" s="146" t="e">
        <f>'输出值2-营业收入估算表'!U3</f>
        <v>#VALUE!</v>
      </c>
      <c r="U4" s="146" t="e">
        <f>'输出值2-营业收入估算表'!V3</f>
        <v>#VALUE!</v>
      </c>
      <c r="V4" s="146" t="e">
        <f>'输出值2-营业收入估算表'!W3</f>
        <v>#VALUE!</v>
      </c>
    </row>
    <row r="5" spans="1:22" ht="15">
      <c r="A5" s="145">
        <v>2</v>
      </c>
      <c r="B5" s="145" t="s">
        <v>104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5">
      <c r="A6" s="145">
        <v>3</v>
      </c>
      <c r="B6" s="145" t="s">
        <v>146</v>
      </c>
      <c r="C6" s="146" t="e">
        <f>'输出值3-增值税及其他税金估算表'!D26</f>
        <v>#VALUE!</v>
      </c>
      <c r="D6" s="146" t="e">
        <f>'输出值3-增值税及其他税金估算表'!E26</f>
        <v>#VALUE!</v>
      </c>
      <c r="E6" s="146" t="e">
        <f>'输出值3-增值税及其他税金估算表'!F26</f>
        <v>#VALUE!</v>
      </c>
      <c r="F6" s="146" t="e">
        <f>'输出值3-增值税及其他税金估算表'!G26</f>
        <v>#VALUE!</v>
      </c>
      <c r="G6" s="146" t="e">
        <f>'输出值3-增值税及其他税金估算表'!H26</f>
        <v>#VALUE!</v>
      </c>
      <c r="H6" s="146" t="e">
        <f>'输出值3-增值税及其他税金估算表'!I26</f>
        <v>#VALUE!</v>
      </c>
      <c r="I6" s="146" t="e">
        <f>'输出值3-增值税及其他税金估算表'!J26</f>
        <v>#VALUE!</v>
      </c>
      <c r="J6" s="146" t="e">
        <f>'输出值3-增值税及其他税金估算表'!K26</f>
        <v>#VALUE!</v>
      </c>
      <c r="K6" s="146" t="e">
        <f>'输出值3-增值税及其他税金估算表'!L26</f>
        <v>#VALUE!</v>
      </c>
      <c r="L6" s="146" t="e">
        <f>'输出值3-增值税及其他税金估算表'!M26</f>
        <v>#VALUE!</v>
      </c>
      <c r="M6" s="146" t="e">
        <f>'输出值3-增值税及其他税金估算表'!N26</f>
        <v>#VALUE!</v>
      </c>
      <c r="N6" s="146" t="e">
        <f>'输出值3-增值税及其他税金估算表'!O26</f>
        <v>#VALUE!</v>
      </c>
      <c r="O6" s="146" t="e">
        <f>'输出值3-增值税及其他税金估算表'!P26</f>
        <v>#VALUE!</v>
      </c>
      <c r="P6" s="146" t="e">
        <f>'输出值3-增值税及其他税金估算表'!Q26</f>
        <v>#VALUE!</v>
      </c>
      <c r="Q6" s="146" t="e">
        <f>'输出值3-增值税及其他税金估算表'!R26</f>
        <v>#VALUE!</v>
      </c>
      <c r="R6" s="146" t="e">
        <f>'输出值3-增值税及其他税金估算表'!S26</f>
        <v>#VALUE!</v>
      </c>
      <c r="S6" s="146" t="e">
        <f>'输出值3-增值税及其他税金估算表'!T26</f>
        <v>#VALUE!</v>
      </c>
      <c r="T6" s="146" t="e">
        <f>'输出值3-增值税及其他税金估算表'!U26</f>
        <v>#VALUE!</v>
      </c>
      <c r="U6" s="146" t="e">
        <f>'输出值3-增值税及其他税金估算表'!V26</f>
        <v>#VALUE!</v>
      </c>
      <c r="V6" s="146" t="e">
        <f>'输出值3-增值税及其他税金估算表'!W26</f>
        <v>#VALUE!</v>
      </c>
    </row>
    <row r="7" spans="1:22" ht="15">
      <c r="A7" s="145">
        <v>4</v>
      </c>
      <c r="B7" s="145" t="s">
        <v>10</v>
      </c>
      <c r="C7" s="146" t="e">
        <f>'输出值4-总成本费用估算表'!D14</f>
        <v>#VALUE!</v>
      </c>
      <c r="D7" s="146" t="e">
        <f>'输出值4-总成本费用估算表'!E14</f>
        <v>#VALUE!</v>
      </c>
      <c r="E7" s="146" t="e">
        <f>'输出值4-总成本费用估算表'!F14</f>
        <v>#VALUE!</v>
      </c>
      <c r="F7" s="146" t="e">
        <f>'输出值4-总成本费用估算表'!G14</f>
        <v>#VALUE!</v>
      </c>
      <c r="G7" s="146" t="e">
        <f>'输出值4-总成本费用估算表'!H14</f>
        <v>#VALUE!</v>
      </c>
      <c r="H7" s="146" t="e">
        <f>'输出值4-总成本费用估算表'!I14</f>
        <v>#VALUE!</v>
      </c>
      <c r="I7" s="146" t="e">
        <f>'输出值4-总成本费用估算表'!J14</f>
        <v>#VALUE!</v>
      </c>
      <c r="J7" s="146" t="e">
        <f>'输出值4-总成本费用估算表'!K14</f>
        <v>#VALUE!</v>
      </c>
      <c r="K7" s="146" t="e">
        <f>'输出值4-总成本费用估算表'!L14</f>
        <v>#VALUE!</v>
      </c>
      <c r="L7" s="146" t="e">
        <f>'输出值4-总成本费用估算表'!M14</f>
        <v>#VALUE!</v>
      </c>
      <c r="M7" s="146" t="e">
        <f>'输出值4-总成本费用估算表'!N14</f>
        <v>#VALUE!</v>
      </c>
      <c r="N7" s="146" t="e">
        <f>'输出值4-总成本费用估算表'!O14</f>
        <v>#VALUE!</v>
      </c>
      <c r="O7" s="146" t="e">
        <f>'输出值4-总成本费用估算表'!P14</f>
        <v>#VALUE!</v>
      </c>
      <c r="P7" s="146" t="e">
        <f>'输出值4-总成本费用估算表'!Q14</f>
        <v>#VALUE!</v>
      </c>
      <c r="Q7" s="146" t="e">
        <f>'输出值4-总成本费用估算表'!R14</f>
        <v>#VALUE!</v>
      </c>
      <c r="R7" s="146" t="e">
        <f>'输出值4-总成本费用估算表'!S14</f>
        <v>#VALUE!</v>
      </c>
      <c r="S7" s="146" t="e">
        <f>'输出值4-总成本费用估算表'!T14</f>
        <v>#VALUE!</v>
      </c>
      <c r="T7" s="146" t="e">
        <f>'输出值4-总成本费用估算表'!U14</f>
        <v>#VALUE!</v>
      </c>
      <c r="U7" s="146" t="e">
        <f>'输出值4-总成本费用估算表'!V14</f>
        <v>#VALUE!</v>
      </c>
      <c r="V7" s="146" t="e">
        <f>'输出值4-总成本费用估算表'!W14</f>
        <v>#VALUE!</v>
      </c>
    </row>
    <row r="8" spans="1:22" ht="15">
      <c r="A8" s="145">
        <v>6</v>
      </c>
      <c r="B8" s="145" t="s">
        <v>78</v>
      </c>
      <c r="C8" s="147" t="e">
        <f>C4-C6-C7</f>
        <v>#VALUE!</v>
      </c>
      <c r="D8" s="147" t="e">
        <f>D4-D6-D7</f>
        <v>#VALUE!</v>
      </c>
      <c r="E8" s="147" t="e">
        <f t="shared" ref="E8:V8" si="0">E4-E6-E7</f>
        <v>#VALUE!</v>
      </c>
      <c r="F8" s="147" t="e">
        <f t="shared" si="0"/>
        <v>#VALUE!</v>
      </c>
      <c r="G8" s="147" t="e">
        <f t="shared" si="0"/>
        <v>#VALUE!</v>
      </c>
      <c r="H8" s="147" t="e">
        <f t="shared" si="0"/>
        <v>#VALUE!</v>
      </c>
      <c r="I8" s="147" t="e">
        <f t="shared" si="0"/>
        <v>#VALUE!</v>
      </c>
      <c r="J8" s="147" t="e">
        <f t="shared" si="0"/>
        <v>#VALUE!</v>
      </c>
      <c r="K8" s="147" t="e">
        <f t="shared" si="0"/>
        <v>#VALUE!</v>
      </c>
      <c r="L8" s="147" t="e">
        <f t="shared" si="0"/>
        <v>#VALUE!</v>
      </c>
      <c r="M8" s="147" t="e">
        <f t="shared" si="0"/>
        <v>#VALUE!</v>
      </c>
      <c r="N8" s="147" t="e">
        <f t="shared" si="0"/>
        <v>#VALUE!</v>
      </c>
      <c r="O8" s="147" t="e">
        <f t="shared" si="0"/>
        <v>#VALUE!</v>
      </c>
      <c r="P8" s="147" t="e">
        <f t="shared" si="0"/>
        <v>#VALUE!</v>
      </c>
      <c r="Q8" s="147" t="e">
        <f t="shared" si="0"/>
        <v>#VALUE!</v>
      </c>
      <c r="R8" s="147" t="e">
        <f t="shared" si="0"/>
        <v>#VALUE!</v>
      </c>
      <c r="S8" s="147" t="e">
        <f t="shared" si="0"/>
        <v>#VALUE!</v>
      </c>
      <c r="T8" s="147" t="e">
        <f t="shared" si="0"/>
        <v>#VALUE!</v>
      </c>
      <c r="U8" s="147" t="e">
        <f t="shared" si="0"/>
        <v>#VALUE!</v>
      </c>
      <c r="V8" s="147" t="e">
        <f t="shared" si="0"/>
        <v>#VALUE!</v>
      </c>
    </row>
    <row r="9" spans="1:22" ht="15">
      <c r="A9" s="145">
        <v>7</v>
      </c>
      <c r="B9" s="145" t="s">
        <v>79</v>
      </c>
      <c r="C9" s="147" t="e">
        <f>C8</f>
        <v>#VALUE!</v>
      </c>
      <c r="D9" s="147" t="e">
        <f>D8</f>
        <v>#VALUE!</v>
      </c>
      <c r="E9" s="147" t="e">
        <f t="shared" ref="E9:V9" si="1">E8</f>
        <v>#VALUE!</v>
      </c>
      <c r="F9" s="147" t="e">
        <f t="shared" si="1"/>
        <v>#VALUE!</v>
      </c>
      <c r="G9" s="147" t="e">
        <f t="shared" si="1"/>
        <v>#VALUE!</v>
      </c>
      <c r="H9" s="147" t="e">
        <f t="shared" si="1"/>
        <v>#VALUE!</v>
      </c>
      <c r="I9" s="147" t="e">
        <f t="shared" si="1"/>
        <v>#VALUE!</v>
      </c>
      <c r="J9" s="147" t="e">
        <f t="shared" si="1"/>
        <v>#VALUE!</v>
      </c>
      <c r="K9" s="147" t="e">
        <f t="shared" si="1"/>
        <v>#VALUE!</v>
      </c>
      <c r="L9" s="147" t="e">
        <f t="shared" si="1"/>
        <v>#VALUE!</v>
      </c>
      <c r="M9" s="147" t="e">
        <f t="shared" si="1"/>
        <v>#VALUE!</v>
      </c>
      <c r="N9" s="147" t="e">
        <f t="shared" si="1"/>
        <v>#VALUE!</v>
      </c>
      <c r="O9" s="147" t="e">
        <f t="shared" si="1"/>
        <v>#VALUE!</v>
      </c>
      <c r="P9" s="147" t="e">
        <f t="shared" si="1"/>
        <v>#VALUE!</v>
      </c>
      <c r="Q9" s="147" t="e">
        <f t="shared" si="1"/>
        <v>#VALUE!</v>
      </c>
      <c r="R9" s="147" t="e">
        <f t="shared" si="1"/>
        <v>#VALUE!</v>
      </c>
      <c r="S9" s="147" t="e">
        <f t="shared" si="1"/>
        <v>#VALUE!</v>
      </c>
      <c r="T9" s="147" t="e">
        <f t="shared" si="1"/>
        <v>#VALUE!</v>
      </c>
      <c r="U9" s="147" t="e">
        <f t="shared" si="1"/>
        <v>#VALUE!</v>
      </c>
      <c r="V9" s="147" t="e">
        <f t="shared" si="1"/>
        <v>#VALUE!</v>
      </c>
    </row>
    <row r="10" spans="1:22" ht="15">
      <c r="A10" s="145">
        <v>8</v>
      </c>
      <c r="B10" s="145" t="s">
        <v>80</v>
      </c>
      <c r="C10" s="146" t="e">
        <f>C9*25%</f>
        <v>#VALUE!</v>
      </c>
      <c r="D10" s="146" t="e">
        <f>D9*25%</f>
        <v>#VALUE!</v>
      </c>
      <c r="E10" s="146" t="e">
        <f t="shared" ref="E10:V10" si="2">E9*25%</f>
        <v>#VALUE!</v>
      </c>
      <c r="F10" s="146" t="e">
        <f t="shared" si="2"/>
        <v>#VALUE!</v>
      </c>
      <c r="G10" s="146" t="e">
        <f t="shared" si="2"/>
        <v>#VALUE!</v>
      </c>
      <c r="H10" s="146" t="e">
        <f t="shared" si="2"/>
        <v>#VALUE!</v>
      </c>
      <c r="I10" s="146" t="e">
        <f t="shared" si="2"/>
        <v>#VALUE!</v>
      </c>
      <c r="J10" s="146" t="e">
        <f t="shared" si="2"/>
        <v>#VALUE!</v>
      </c>
      <c r="K10" s="146" t="e">
        <f t="shared" si="2"/>
        <v>#VALUE!</v>
      </c>
      <c r="L10" s="146" t="e">
        <f t="shared" si="2"/>
        <v>#VALUE!</v>
      </c>
      <c r="M10" s="146" t="e">
        <f t="shared" si="2"/>
        <v>#VALUE!</v>
      </c>
      <c r="N10" s="146" t="e">
        <f t="shared" si="2"/>
        <v>#VALUE!</v>
      </c>
      <c r="O10" s="146" t="e">
        <f t="shared" si="2"/>
        <v>#VALUE!</v>
      </c>
      <c r="P10" s="146" t="e">
        <f t="shared" si="2"/>
        <v>#VALUE!</v>
      </c>
      <c r="Q10" s="146" t="e">
        <f t="shared" si="2"/>
        <v>#VALUE!</v>
      </c>
      <c r="R10" s="146" t="e">
        <f t="shared" si="2"/>
        <v>#VALUE!</v>
      </c>
      <c r="S10" s="146" t="e">
        <f t="shared" si="2"/>
        <v>#VALUE!</v>
      </c>
      <c r="T10" s="146" t="e">
        <f t="shared" si="2"/>
        <v>#VALUE!</v>
      </c>
      <c r="U10" s="146" t="e">
        <f t="shared" si="2"/>
        <v>#VALUE!</v>
      </c>
      <c r="V10" s="146" t="e">
        <f t="shared" si="2"/>
        <v>#VALUE!</v>
      </c>
    </row>
    <row r="11" spans="1:22" ht="15">
      <c r="A11" s="145">
        <v>9</v>
      </c>
      <c r="B11" s="145" t="s">
        <v>81</v>
      </c>
      <c r="C11" s="147" t="e">
        <f>C8-C10</f>
        <v>#VALUE!</v>
      </c>
      <c r="D11" s="147" t="e">
        <f>D8-D10</f>
        <v>#VALUE!</v>
      </c>
      <c r="E11" s="147" t="e">
        <f t="shared" ref="E11:V11" si="3">E8-E10</f>
        <v>#VALUE!</v>
      </c>
      <c r="F11" s="147" t="e">
        <f t="shared" si="3"/>
        <v>#VALUE!</v>
      </c>
      <c r="G11" s="147" t="e">
        <f t="shared" si="3"/>
        <v>#VALUE!</v>
      </c>
      <c r="H11" s="147" t="e">
        <f t="shared" si="3"/>
        <v>#VALUE!</v>
      </c>
      <c r="I11" s="147" t="e">
        <f t="shared" si="3"/>
        <v>#VALUE!</v>
      </c>
      <c r="J11" s="147" t="e">
        <f t="shared" si="3"/>
        <v>#VALUE!</v>
      </c>
      <c r="K11" s="147" t="e">
        <f t="shared" si="3"/>
        <v>#VALUE!</v>
      </c>
      <c r="L11" s="147" t="e">
        <f t="shared" si="3"/>
        <v>#VALUE!</v>
      </c>
      <c r="M11" s="147" t="e">
        <f t="shared" si="3"/>
        <v>#VALUE!</v>
      </c>
      <c r="N11" s="147" t="e">
        <f t="shared" si="3"/>
        <v>#VALUE!</v>
      </c>
      <c r="O11" s="147" t="e">
        <f t="shared" si="3"/>
        <v>#VALUE!</v>
      </c>
      <c r="P11" s="147" t="e">
        <f t="shared" si="3"/>
        <v>#VALUE!</v>
      </c>
      <c r="Q11" s="147" t="e">
        <f t="shared" si="3"/>
        <v>#VALUE!</v>
      </c>
      <c r="R11" s="147" t="e">
        <f t="shared" si="3"/>
        <v>#VALUE!</v>
      </c>
      <c r="S11" s="147" t="e">
        <f t="shared" si="3"/>
        <v>#VALUE!</v>
      </c>
      <c r="T11" s="147" t="e">
        <f t="shared" si="3"/>
        <v>#VALUE!</v>
      </c>
      <c r="U11" s="147" t="e">
        <f t="shared" si="3"/>
        <v>#VALUE!</v>
      </c>
      <c r="V11" s="147" t="e">
        <f t="shared" si="3"/>
        <v>#VALUE!</v>
      </c>
    </row>
    <row r="12" spans="1:22" ht="15">
      <c r="A12" s="145">
        <v>10</v>
      </c>
      <c r="B12" s="145" t="s">
        <v>82</v>
      </c>
      <c r="C12" s="146" t="e">
        <f>C11*10%</f>
        <v>#VALUE!</v>
      </c>
      <c r="D12" s="146" t="e">
        <f>D11*10%</f>
        <v>#VALUE!</v>
      </c>
      <c r="E12" s="146" t="e">
        <f t="shared" ref="E12:U12" si="4">E11*10%</f>
        <v>#VALUE!</v>
      </c>
      <c r="F12" s="146" t="e">
        <f t="shared" si="4"/>
        <v>#VALUE!</v>
      </c>
      <c r="G12" s="146" t="e">
        <f t="shared" si="4"/>
        <v>#VALUE!</v>
      </c>
      <c r="H12" s="146" t="e">
        <f t="shared" si="4"/>
        <v>#VALUE!</v>
      </c>
      <c r="I12" s="146" t="e">
        <f t="shared" si="4"/>
        <v>#VALUE!</v>
      </c>
      <c r="J12" s="146" t="e">
        <f t="shared" si="4"/>
        <v>#VALUE!</v>
      </c>
      <c r="K12" s="146" t="e">
        <f t="shared" si="4"/>
        <v>#VALUE!</v>
      </c>
      <c r="L12" s="146" t="e">
        <f t="shared" si="4"/>
        <v>#VALUE!</v>
      </c>
      <c r="M12" s="146" t="e">
        <f t="shared" si="4"/>
        <v>#VALUE!</v>
      </c>
      <c r="N12" s="146" t="e">
        <f t="shared" si="4"/>
        <v>#VALUE!</v>
      </c>
      <c r="O12" s="146" t="e">
        <f t="shared" si="4"/>
        <v>#VALUE!</v>
      </c>
      <c r="P12" s="146" t="e">
        <f t="shared" si="4"/>
        <v>#VALUE!</v>
      </c>
      <c r="Q12" s="146" t="e">
        <f t="shared" si="4"/>
        <v>#VALUE!</v>
      </c>
      <c r="R12" s="146" t="e">
        <f t="shared" si="4"/>
        <v>#VALUE!</v>
      </c>
      <c r="S12" s="146" t="e">
        <f t="shared" si="4"/>
        <v>#VALUE!</v>
      </c>
      <c r="T12" s="146" t="e">
        <f t="shared" si="4"/>
        <v>#VALUE!</v>
      </c>
      <c r="U12" s="146" t="e">
        <f t="shared" si="4"/>
        <v>#VALUE!</v>
      </c>
      <c r="V12" s="146" t="e">
        <f>V11*10%</f>
        <v>#VALUE!</v>
      </c>
    </row>
    <row r="13" spans="1:22" ht="15">
      <c r="A13" s="145">
        <v>11</v>
      </c>
      <c r="B13" s="145" t="s">
        <v>83</v>
      </c>
      <c r="C13" s="147" t="e">
        <f>C11-C12</f>
        <v>#VALUE!</v>
      </c>
      <c r="D13" s="147" t="e">
        <f>D11-D12</f>
        <v>#VALUE!</v>
      </c>
      <c r="E13" s="147" t="e">
        <f t="shared" ref="E13:V13" si="5">E11-E12</f>
        <v>#VALUE!</v>
      </c>
      <c r="F13" s="147" t="e">
        <f t="shared" si="5"/>
        <v>#VALUE!</v>
      </c>
      <c r="G13" s="147" t="e">
        <f t="shared" si="5"/>
        <v>#VALUE!</v>
      </c>
      <c r="H13" s="147" t="e">
        <f t="shared" si="5"/>
        <v>#VALUE!</v>
      </c>
      <c r="I13" s="147" t="e">
        <f t="shared" si="5"/>
        <v>#VALUE!</v>
      </c>
      <c r="J13" s="147" t="e">
        <f t="shared" si="5"/>
        <v>#VALUE!</v>
      </c>
      <c r="K13" s="147" t="e">
        <f t="shared" si="5"/>
        <v>#VALUE!</v>
      </c>
      <c r="L13" s="147" t="e">
        <f t="shared" si="5"/>
        <v>#VALUE!</v>
      </c>
      <c r="M13" s="147" t="e">
        <f t="shared" si="5"/>
        <v>#VALUE!</v>
      </c>
      <c r="N13" s="147" t="e">
        <f t="shared" si="5"/>
        <v>#VALUE!</v>
      </c>
      <c r="O13" s="147" t="e">
        <f t="shared" si="5"/>
        <v>#VALUE!</v>
      </c>
      <c r="P13" s="147" t="e">
        <f t="shared" si="5"/>
        <v>#VALUE!</v>
      </c>
      <c r="Q13" s="147" t="e">
        <f t="shared" si="5"/>
        <v>#VALUE!</v>
      </c>
      <c r="R13" s="147" t="e">
        <f t="shared" si="5"/>
        <v>#VALUE!</v>
      </c>
      <c r="S13" s="147" t="e">
        <f t="shared" si="5"/>
        <v>#VALUE!</v>
      </c>
      <c r="T13" s="147" t="e">
        <f t="shared" si="5"/>
        <v>#VALUE!</v>
      </c>
      <c r="U13" s="147" t="e">
        <f t="shared" si="5"/>
        <v>#VALUE!</v>
      </c>
      <c r="V13" s="147" t="e">
        <f t="shared" si="5"/>
        <v>#VALUE!</v>
      </c>
    </row>
    <row r="14" spans="1:22" ht="15">
      <c r="A14" s="145">
        <v>12</v>
      </c>
      <c r="B14" s="145" t="s">
        <v>12</v>
      </c>
      <c r="C14" s="147" t="e">
        <f>C13</f>
        <v>#VALUE!</v>
      </c>
      <c r="D14" s="147" t="e">
        <f>C14+D13</f>
        <v>#VALUE!</v>
      </c>
      <c r="E14" s="147" t="e">
        <f t="shared" ref="E14:V14" si="6">D14+E13</f>
        <v>#VALUE!</v>
      </c>
      <c r="F14" s="147" t="e">
        <f t="shared" si="6"/>
        <v>#VALUE!</v>
      </c>
      <c r="G14" s="147" t="e">
        <f t="shared" si="6"/>
        <v>#VALUE!</v>
      </c>
      <c r="H14" s="147" t="e">
        <f t="shared" si="6"/>
        <v>#VALUE!</v>
      </c>
      <c r="I14" s="147" t="e">
        <f t="shared" si="6"/>
        <v>#VALUE!</v>
      </c>
      <c r="J14" s="147" t="e">
        <f t="shared" si="6"/>
        <v>#VALUE!</v>
      </c>
      <c r="K14" s="147" t="e">
        <f t="shared" si="6"/>
        <v>#VALUE!</v>
      </c>
      <c r="L14" s="147" t="e">
        <f t="shared" si="6"/>
        <v>#VALUE!</v>
      </c>
      <c r="M14" s="147" t="e">
        <f t="shared" si="6"/>
        <v>#VALUE!</v>
      </c>
      <c r="N14" s="147" t="e">
        <f t="shared" si="6"/>
        <v>#VALUE!</v>
      </c>
      <c r="O14" s="147" t="e">
        <f t="shared" si="6"/>
        <v>#VALUE!</v>
      </c>
      <c r="P14" s="147" t="e">
        <f t="shared" si="6"/>
        <v>#VALUE!</v>
      </c>
      <c r="Q14" s="147" t="e">
        <f t="shared" si="6"/>
        <v>#VALUE!</v>
      </c>
      <c r="R14" s="147" t="e">
        <f t="shared" si="6"/>
        <v>#VALUE!</v>
      </c>
      <c r="S14" s="147" t="e">
        <f t="shared" si="6"/>
        <v>#VALUE!</v>
      </c>
      <c r="T14" s="147" t="e">
        <f t="shared" si="6"/>
        <v>#VALUE!</v>
      </c>
      <c r="U14" s="147" t="e">
        <f t="shared" si="6"/>
        <v>#VALUE!</v>
      </c>
      <c r="V14" s="147" t="e">
        <f t="shared" si="6"/>
        <v>#VALUE!</v>
      </c>
    </row>
  </sheetData>
  <mergeCells count="2">
    <mergeCell ref="A1:V1"/>
    <mergeCell ref="A2:A3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FE74-CA21-4ED6-BE7C-FEB2BFDBB40F}">
  <dimension ref="A1:W26"/>
  <sheetViews>
    <sheetView zoomScale="80" zoomScaleNormal="80" workbookViewId="0">
      <selection activeCell="C3" sqref="C3"/>
    </sheetView>
  </sheetViews>
  <sheetFormatPr defaultRowHeight="12.5"/>
  <cols>
    <col min="1" max="1" width="8.81640625" bestFit="1" customWidth="1"/>
    <col min="2" max="2" width="37.90625" customWidth="1"/>
    <col min="3" max="3" width="15" customWidth="1"/>
    <col min="4" max="4" width="12.36328125" bestFit="1" customWidth="1"/>
    <col min="5" max="5" width="13.81640625" bestFit="1" customWidth="1"/>
    <col min="6" max="6" width="11.54296875" bestFit="1" customWidth="1"/>
    <col min="7" max="7" width="11.1796875" bestFit="1" customWidth="1"/>
    <col min="8" max="9" width="11.90625" bestFit="1" customWidth="1"/>
    <col min="10" max="10" width="11.1796875" bestFit="1" customWidth="1"/>
    <col min="11" max="13" width="9.54296875" bestFit="1" customWidth="1"/>
    <col min="14" max="15" width="10.453125" bestFit="1" customWidth="1"/>
    <col min="16" max="16" width="10" bestFit="1" customWidth="1"/>
    <col min="17" max="18" width="9.6328125" bestFit="1" customWidth="1"/>
    <col min="19" max="23" width="9.54296875" bestFit="1" customWidth="1"/>
  </cols>
  <sheetData>
    <row r="1" spans="1:23" ht="21">
      <c r="A1" s="191" t="s">
        <v>396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3"/>
    </row>
    <row r="2" spans="1:23" s="49" customFormat="1" ht="15">
      <c r="A2" s="181" t="s">
        <v>0</v>
      </c>
      <c r="B2" s="181" t="s">
        <v>6</v>
      </c>
      <c r="C2" s="181" t="s">
        <v>106</v>
      </c>
      <c r="D2" s="182" t="s">
        <v>75</v>
      </c>
      <c r="E2" s="182" t="s">
        <v>75</v>
      </c>
      <c r="F2" s="182" t="s">
        <v>77</v>
      </c>
      <c r="G2" s="182" t="s">
        <v>77</v>
      </c>
      <c r="H2" s="182" t="s">
        <v>77</v>
      </c>
      <c r="I2" s="182" t="s">
        <v>77</v>
      </c>
      <c r="J2" s="182" t="s">
        <v>77</v>
      </c>
      <c r="K2" s="182" t="s">
        <v>77</v>
      </c>
      <c r="L2" s="182" t="s">
        <v>77</v>
      </c>
      <c r="M2" s="182" t="s">
        <v>77</v>
      </c>
      <c r="N2" s="182" t="s">
        <v>77</v>
      </c>
      <c r="O2" s="182" t="s">
        <v>77</v>
      </c>
      <c r="P2" s="182" t="s">
        <v>77</v>
      </c>
      <c r="Q2" s="182" t="s">
        <v>77</v>
      </c>
      <c r="R2" s="182" t="s">
        <v>77</v>
      </c>
      <c r="S2" s="182" t="s">
        <v>77</v>
      </c>
      <c r="T2" s="182" t="s">
        <v>77</v>
      </c>
      <c r="U2" s="182" t="s">
        <v>77</v>
      </c>
      <c r="V2" s="182" t="s">
        <v>77</v>
      </c>
      <c r="W2" s="182" t="s">
        <v>77</v>
      </c>
    </row>
    <row r="3" spans="1:23" s="49" customFormat="1" ht="15">
      <c r="A3" s="181" t="s">
        <v>0</v>
      </c>
      <c r="B3" s="181" t="s">
        <v>6</v>
      </c>
      <c r="C3" s="181" t="s">
        <v>106</v>
      </c>
      <c r="D3" s="180" t="s">
        <v>449</v>
      </c>
      <c r="E3" s="180" t="s">
        <v>450</v>
      </c>
      <c r="F3" s="180" t="s">
        <v>451</v>
      </c>
      <c r="G3" s="180" t="s">
        <v>452</v>
      </c>
      <c r="H3" s="180" t="s">
        <v>453</v>
      </c>
      <c r="I3" s="180" t="s">
        <v>454</v>
      </c>
      <c r="J3" s="180" t="s">
        <v>455</v>
      </c>
      <c r="K3" s="180" t="s">
        <v>456</v>
      </c>
      <c r="L3" s="180" t="s">
        <v>457</v>
      </c>
      <c r="M3" s="180" t="s">
        <v>458</v>
      </c>
      <c r="N3" s="180" t="s">
        <v>459</v>
      </c>
      <c r="O3" s="180" t="s">
        <v>460</v>
      </c>
      <c r="P3" s="180" t="s">
        <v>461</v>
      </c>
      <c r="Q3" s="180" t="s">
        <v>462</v>
      </c>
      <c r="R3" s="180" t="s">
        <v>463</v>
      </c>
      <c r="S3" s="180" t="s">
        <v>464</v>
      </c>
      <c r="T3" s="180" t="s">
        <v>465</v>
      </c>
      <c r="U3" s="180" t="s">
        <v>466</v>
      </c>
      <c r="V3" s="180" t="s">
        <v>467</v>
      </c>
      <c r="W3" s="180" t="s">
        <v>468</v>
      </c>
    </row>
    <row r="4" spans="1:23" ht="15.5">
      <c r="A4" s="151">
        <v>1</v>
      </c>
      <c r="B4" s="152" t="s">
        <v>13</v>
      </c>
      <c r="C4" s="164"/>
      <c r="D4" s="165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03"/>
      <c r="P4" s="103"/>
      <c r="Q4" s="103"/>
      <c r="R4" s="103"/>
      <c r="S4" s="103"/>
      <c r="T4" s="103"/>
      <c r="U4" s="103"/>
      <c r="V4" s="103"/>
      <c r="W4" s="103"/>
    </row>
    <row r="5" spans="1:23" ht="15">
      <c r="A5" s="113">
        <v>1.1000000000000001</v>
      </c>
      <c r="B5" s="145" t="s">
        <v>119</v>
      </c>
      <c r="C5" s="166" t="e">
        <f>SUM(D5:W5)</f>
        <v>#VALUE!</v>
      </c>
      <c r="D5" s="167">
        <f>'输出值2-营业收入估算表'!D3</f>
        <v>0</v>
      </c>
      <c r="E5" s="115">
        <f>'输出值2-营业收入估算表'!E3</f>
        <v>0</v>
      </c>
      <c r="F5" s="115" t="e">
        <f>'输出值2-营业收入估算表'!F3</f>
        <v>#VALUE!</v>
      </c>
      <c r="G5" s="115" t="e">
        <f>'输出值2-营业收入估算表'!G3</f>
        <v>#VALUE!</v>
      </c>
      <c r="H5" s="115" t="e">
        <f>'输出值2-营业收入估算表'!H3</f>
        <v>#VALUE!</v>
      </c>
      <c r="I5" s="115" t="e">
        <f>'输出值2-营业收入估算表'!I3</f>
        <v>#VALUE!</v>
      </c>
      <c r="J5" s="115" t="e">
        <f>'输出值2-营业收入估算表'!J3</f>
        <v>#VALUE!</v>
      </c>
      <c r="K5" s="115" t="e">
        <f>'输出值2-营业收入估算表'!K3</f>
        <v>#VALUE!</v>
      </c>
      <c r="L5" s="115" t="e">
        <f>'输出值2-营业收入估算表'!L3</f>
        <v>#VALUE!</v>
      </c>
      <c r="M5" s="115" t="e">
        <f>'输出值2-营业收入估算表'!M3</f>
        <v>#VALUE!</v>
      </c>
      <c r="N5" s="115" t="e">
        <f>'输出值2-营业收入估算表'!N3</f>
        <v>#VALUE!</v>
      </c>
      <c r="O5" s="115" t="e">
        <f>'输出值2-营业收入估算表'!O3</f>
        <v>#VALUE!</v>
      </c>
      <c r="P5" s="115" t="e">
        <f>'输出值2-营业收入估算表'!P3</f>
        <v>#VALUE!</v>
      </c>
      <c r="Q5" s="115" t="e">
        <f>'输出值2-营业收入估算表'!Q3</f>
        <v>#VALUE!</v>
      </c>
      <c r="R5" s="115" t="e">
        <f>'输出值2-营业收入估算表'!R3</f>
        <v>#VALUE!</v>
      </c>
      <c r="S5" s="115" t="e">
        <f>'输出值2-营业收入估算表'!S3</f>
        <v>#VALUE!</v>
      </c>
      <c r="T5" s="115" t="e">
        <f>'输出值2-营业收入估算表'!T3</f>
        <v>#VALUE!</v>
      </c>
      <c r="U5" s="115" t="e">
        <f>'输出值2-营业收入估算表'!U3</f>
        <v>#VALUE!</v>
      </c>
      <c r="V5" s="115" t="e">
        <f>'输出值2-营业收入估算表'!V3</f>
        <v>#VALUE!</v>
      </c>
      <c r="W5" s="115" t="e">
        <f>'输出值2-营业收入估算表'!W3</f>
        <v>#VALUE!</v>
      </c>
    </row>
    <row r="6" spans="1:23" ht="15">
      <c r="A6" s="113">
        <v>1.2</v>
      </c>
      <c r="B6" s="145" t="s">
        <v>120</v>
      </c>
      <c r="C6" s="166">
        <f t="shared" ref="C6:C17" si="0">SUM(D6:W6)</f>
        <v>0</v>
      </c>
      <c r="D6" s="167">
        <f>'输出值6-利润表'!C5</f>
        <v>0</v>
      </c>
      <c r="E6" s="115">
        <f>'输出值6-利润表'!D5</f>
        <v>0</v>
      </c>
      <c r="F6" s="115">
        <f>'输出值6-利润表'!E5</f>
        <v>0</v>
      </c>
      <c r="G6" s="115">
        <f>'输出值6-利润表'!F5</f>
        <v>0</v>
      </c>
      <c r="H6" s="115">
        <f>'输出值6-利润表'!G5</f>
        <v>0</v>
      </c>
      <c r="I6" s="115">
        <f>'输出值6-利润表'!H5</f>
        <v>0</v>
      </c>
      <c r="J6" s="115">
        <f>'输出值6-利润表'!I5</f>
        <v>0</v>
      </c>
      <c r="K6" s="115">
        <f>'输出值6-利润表'!J5</f>
        <v>0</v>
      </c>
      <c r="L6" s="115">
        <f>'输出值6-利润表'!K5</f>
        <v>0</v>
      </c>
      <c r="M6" s="115">
        <f>'输出值6-利润表'!L5</f>
        <v>0</v>
      </c>
      <c r="N6" s="115">
        <f>'输出值6-利润表'!M5</f>
        <v>0</v>
      </c>
      <c r="O6" s="115">
        <f>'输出值6-利润表'!N5</f>
        <v>0</v>
      </c>
      <c r="P6" s="115">
        <f>'输出值6-利润表'!O5</f>
        <v>0</v>
      </c>
      <c r="Q6" s="115">
        <f>'输出值6-利润表'!P5</f>
        <v>0</v>
      </c>
      <c r="R6" s="115">
        <f>'输出值6-利润表'!Q5</f>
        <v>0</v>
      </c>
      <c r="S6" s="115">
        <f>'输出值6-利润表'!R5</f>
        <v>0</v>
      </c>
      <c r="T6" s="115">
        <f>'输出值6-利润表'!S5</f>
        <v>0</v>
      </c>
      <c r="U6" s="115">
        <f>'输出值6-利润表'!T5</f>
        <v>0</v>
      </c>
      <c r="V6" s="115">
        <f>'输出值6-利润表'!U5</f>
        <v>0</v>
      </c>
      <c r="W6" s="115">
        <f>'输出值6-利润表'!V5</f>
        <v>0</v>
      </c>
    </row>
    <row r="7" spans="1:23" ht="16">
      <c r="A7" s="113">
        <v>1.3</v>
      </c>
      <c r="B7" s="145" t="s">
        <v>397</v>
      </c>
      <c r="C7" s="166" t="e">
        <f t="shared" si="0"/>
        <v>#VALUE!</v>
      </c>
      <c r="D7" s="165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03"/>
      <c r="P7" s="103"/>
      <c r="Q7" s="103"/>
      <c r="R7" s="103"/>
      <c r="S7" s="103"/>
      <c r="T7" s="103"/>
      <c r="U7" s="103"/>
      <c r="V7" s="103"/>
      <c r="W7" s="128" t="e">
        <f>'输出值5-折旧摊销费用估算表'!W7+'输出值5-折旧摊销费用估算表'!W16</f>
        <v>#VALUE!</v>
      </c>
    </row>
    <row r="8" spans="1:23" ht="15">
      <c r="A8" s="113">
        <v>1.4</v>
      </c>
      <c r="B8" s="145" t="s">
        <v>84</v>
      </c>
      <c r="C8" s="166" t="e">
        <f t="shared" si="0"/>
        <v>#VALUE!</v>
      </c>
      <c r="D8" s="167" t="e">
        <f>'输出值8-还本付息表'!D5</f>
        <v>#VALUE!</v>
      </c>
      <c r="E8" s="115" t="e">
        <f>'输出值8-还本付息表'!E5</f>
        <v>#VALUE!</v>
      </c>
      <c r="F8" s="115">
        <f>'输出值8-还本付息表'!F5</f>
        <v>0</v>
      </c>
      <c r="G8" s="115">
        <f>'输出值8-还本付息表'!G5</f>
        <v>0</v>
      </c>
      <c r="H8" s="115">
        <f>'输出值8-还本付息表'!H5</f>
        <v>0</v>
      </c>
      <c r="I8" s="115">
        <f>'输出值8-还本付息表'!I5</f>
        <v>0</v>
      </c>
      <c r="J8" s="115">
        <f>'输出值8-还本付息表'!J5</f>
        <v>0</v>
      </c>
      <c r="K8" s="115">
        <f>'输出值8-还本付息表'!K5</f>
        <v>0</v>
      </c>
      <c r="L8" s="115">
        <f>'输出值8-还本付息表'!L5</f>
        <v>0</v>
      </c>
      <c r="M8" s="115">
        <f>'输出值8-还本付息表'!M5</f>
        <v>0</v>
      </c>
      <c r="N8" s="115">
        <f>'输出值8-还本付息表'!N5</f>
        <v>0</v>
      </c>
      <c r="O8" s="115">
        <f>'输出值8-还本付息表'!O5</f>
        <v>0</v>
      </c>
      <c r="P8" s="115">
        <f>'输出值8-还本付息表'!P5</f>
        <v>0</v>
      </c>
      <c r="Q8" s="115">
        <f>'输出值8-还本付息表'!Q5</f>
        <v>0</v>
      </c>
      <c r="R8" s="115">
        <f>'输出值8-还本付息表'!R5</f>
        <v>0</v>
      </c>
      <c r="S8" s="115">
        <f>'输出值8-还本付息表'!S5</f>
        <v>0</v>
      </c>
      <c r="T8" s="115">
        <f>'输出值8-还本付息表'!T5</f>
        <v>0</v>
      </c>
      <c r="U8" s="115">
        <f>'输出值8-还本付息表'!U5</f>
        <v>0</v>
      </c>
      <c r="V8" s="115">
        <f>'输出值8-还本付息表'!V5</f>
        <v>0</v>
      </c>
      <c r="W8" s="115">
        <f>'输出值8-还本付息表'!W5</f>
        <v>0</v>
      </c>
    </row>
    <row r="9" spans="1:23" ht="15">
      <c r="A9" s="113">
        <v>1.5</v>
      </c>
      <c r="B9" s="145" t="s">
        <v>85</v>
      </c>
      <c r="C9" s="166" t="e">
        <f t="shared" si="0"/>
        <v>#VALUE!</v>
      </c>
      <c r="D9" s="167" t="e">
        <f>SUM(D5:D8)</f>
        <v>#VALUE!</v>
      </c>
      <c r="E9" s="115" t="e">
        <f t="shared" ref="E9:W9" si="1">SUM(E5:E8)</f>
        <v>#VALUE!</v>
      </c>
      <c r="F9" s="115" t="e">
        <f t="shared" si="1"/>
        <v>#VALUE!</v>
      </c>
      <c r="G9" s="115" t="e">
        <f t="shared" si="1"/>
        <v>#VALUE!</v>
      </c>
      <c r="H9" s="115" t="e">
        <f t="shared" si="1"/>
        <v>#VALUE!</v>
      </c>
      <c r="I9" s="115" t="e">
        <f t="shared" si="1"/>
        <v>#VALUE!</v>
      </c>
      <c r="J9" s="115" t="e">
        <f t="shared" si="1"/>
        <v>#VALUE!</v>
      </c>
      <c r="K9" s="115" t="e">
        <f t="shared" si="1"/>
        <v>#VALUE!</v>
      </c>
      <c r="L9" s="115" t="e">
        <f t="shared" si="1"/>
        <v>#VALUE!</v>
      </c>
      <c r="M9" s="115" t="e">
        <f t="shared" si="1"/>
        <v>#VALUE!</v>
      </c>
      <c r="N9" s="115" t="e">
        <f t="shared" si="1"/>
        <v>#VALUE!</v>
      </c>
      <c r="O9" s="115" t="e">
        <f t="shared" si="1"/>
        <v>#VALUE!</v>
      </c>
      <c r="P9" s="115" t="e">
        <f t="shared" si="1"/>
        <v>#VALUE!</v>
      </c>
      <c r="Q9" s="115" t="e">
        <f t="shared" si="1"/>
        <v>#VALUE!</v>
      </c>
      <c r="R9" s="115" t="e">
        <f t="shared" si="1"/>
        <v>#VALUE!</v>
      </c>
      <c r="S9" s="115" t="e">
        <f t="shared" si="1"/>
        <v>#VALUE!</v>
      </c>
      <c r="T9" s="115" t="e">
        <f t="shared" si="1"/>
        <v>#VALUE!</v>
      </c>
      <c r="U9" s="115" t="e">
        <f t="shared" si="1"/>
        <v>#VALUE!</v>
      </c>
      <c r="V9" s="115" t="e">
        <f t="shared" si="1"/>
        <v>#VALUE!</v>
      </c>
      <c r="W9" s="115" t="e">
        <f t="shared" si="1"/>
        <v>#VALUE!</v>
      </c>
    </row>
    <row r="10" spans="1:23" ht="15.5">
      <c r="A10" s="151">
        <v>2</v>
      </c>
      <c r="B10" s="152" t="s">
        <v>14</v>
      </c>
      <c r="C10" s="164"/>
      <c r="D10" s="165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03"/>
      <c r="P10" s="103"/>
      <c r="Q10" s="103"/>
      <c r="R10" s="103"/>
      <c r="S10" s="103"/>
      <c r="T10" s="103"/>
      <c r="U10" s="103"/>
      <c r="V10" s="103"/>
      <c r="W10" s="103"/>
    </row>
    <row r="11" spans="1:23" ht="15.5">
      <c r="A11" s="113">
        <v>2.1</v>
      </c>
      <c r="B11" s="145" t="s">
        <v>86</v>
      </c>
      <c r="C11" s="166" t="e">
        <f t="shared" si="0"/>
        <v>#VALUE!</v>
      </c>
      <c r="D11" s="167" t="e">
        <f>'输出值1-总投资估算表'!F41+('输出值1-总投资估算表'!F44-'输出值1-总投资估算表'!F41)*输入值【1】!C49</f>
        <v>#VALUE!</v>
      </c>
      <c r="E11" s="113" t="e">
        <f>('输出值1-总投资估算表'!F44-'输出值1-总投资估算表'!F41)*输入值【1】!C50</f>
        <v>#VALUE!</v>
      </c>
      <c r="F11" s="113"/>
      <c r="G11" s="113"/>
      <c r="H11" s="113"/>
      <c r="I11" s="113"/>
      <c r="J11" s="113"/>
      <c r="K11" s="113"/>
      <c r="L11" s="113"/>
      <c r="M11" s="113"/>
      <c r="N11" s="113"/>
      <c r="O11" s="103"/>
      <c r="P11" s="103"/>
      <c r="Q11" s="103"/>
      <c r="R11" s="103"/>
      <c r="S11" s="103"/>
      <c r="T11" s="103"/>
      <c r="U11" s="103"/>
      <c r="V11" s="103"/>
      <c r="W11" s="103"/>
    </row>
    <row r="12" spans="1:23" ht="15">
      <c r="A12" s="113">
        <v>2.2000000000000002</v>
      </c>
      <c r="B12" s="145" t="s">
        <v>425</v>
      </c>
      <c r="C12" s="166" t="e">
        <f t="shared" si="0"/>
        <v>#VALUE!</v>
      </c>
      <c r="D12" s="167" t="e">
        <f>'输出值4-总成本费用估算表'!D11-'输出值4-总成本费用估算表'!D6</f>
        <v>#VALUE!</v>
      </c>
      <c r="E12" s="115" t="e">
        <f>'输出值4-总成本费用估算表'!E11-'输出值4-总成本费用估算表'!E6</f>
        <v>#VALUE!</v>
      </c>
      <c r="F12" s="115" t="e">
        <f>'输出值4-总成本费用估算表'!F11-'输出值4-总成本费用估算表'!F6</f>
        <v>#VALUE!</v>
      </c>
      <c r="G12" s="115" t="e">
        <f>'输出值4-总成本费用估算表'!G11-'输出值4-总成本费用估算表'!G6</f>
        <v>#VALUE!</v>
      </c>
      <c r="H12" s="115" t="e">
        <f>'输出值4-总成本费用估算表'!H11-'输出值4-总成本费用估算表'!H6</f>
        <v>#VALUE!</v>
      </c>
      <c r="I12" s="115" t="e">
        <f>'输出值4-总成本费用估算表'!I11-'输出值4-总成本费用估算表'!I6</f>
        <v>#VALUE!</v>
      </c>
      <c r="J12" s="115" t="e">
        <f>'输出值4-总成本费用估算表'!J11-'输出值4-总成本费用估算表'!J6</f>
        <v>#VALUE!</v>
      </c>
      <c r="K12" s="115" t="e">
        <f>'输出值4-总成本费用估算表'!K11-'输出值4-总成本费用估算表'!K6</f>
        <v>#VALUE!</v>
      </c>
      <c r="L12" s="115" t="e">
        <f>'输出值4-总成本费用估算表'!L11-'输出值4-总成本费用估算表'!L6</f>
        <v>#VALUE!</v>
      </c>
      <c r="M12" s="115" t="e">
        <f>'输出值4-总成本费用估算表'!M11-'输出值4-总成本费用估算表'!M6</f>
        <v>#VALUE!</v>
      </c>
      <c r="N12" s="115" t="e">
        <f>'输出值4-总成本费用估算表'!N11-'输出值4-总成本费用估算表'!N6</f>
        <v>#VALUE!</v>
      </c>
      <c r="O12" s="115" t="e">
        <f>'输出值4-总成本费用估算表'!O11-'输出值4-总成本费用估算表'!O6</f>
        <v>#VALUE!</v>
      </c>
      <c r="P12" s="115" t="e">
        <f>'输出值4-总成本费用估算表'!P11-'输出值4-总成本费用估算表'!P6</f>
        <v>#VALUE!</v>
      </c>
      <c r="Q12" s="115" t="e">
        <f>'输出值4-总成本费用估算表'!Q11-'输出值4-总成本费用估算表'!Q6</f>
        <v>#VALUE!</v>
      </c>
      <c r="R12" s="115" t="e">
        <f>'输出值4-总成本费用估算表'!R11-'输出值4-总成本费用估算表'!R6</f>
        <v>#VALUE!</v>
      </c>
      <c r="S12" s="115" t="e">
        <f>'输出值4-总成本费用估算表'!S11-'输出值4-总成本费用估算表'!S6</f>
        <v>#VALUE!</v>
      </c>
      <c r="T12" s="115" t="e">
        <f>'输出值4-总成本费用估算表'!T11-'输出值4-总成本费用估算表'!T6</f>
        <v>#VALUE!</v>
      </c>
      <c r="U12" s="115" t="e">
        <f>'输出值4-总成本费用估算表'!U11-'输出值4-总成本费用估算表'!U6</f>
        <v>#VALUE!</v>
      </c>
      <c r="V12" s="115" t="e">
        <f>'输出值4-总成本费用估算表'!V11-'输出值4-总成本费用估算表'!V6</f>
        <v>#VALUE!</v>
      </c>
      <c r="W12" s="115" t="e">
        <f>'输出值4-总成本费用估算表'!W11-'输出值4-总成本费用估算表'!W6</f>
        <v>#VALUE!</v>
      </c>
    </row>
    <row r="13" spans="1:23" ht="15">
      <c r="A13" s="113">
        <v>2.2999999999999998</v>
      </c>
      <c r="B13" s="145" t="s">
        <v>401</v>
      </c>
      <c r="C13" s="166" t="e">
        <f t="shared" si="0"/>
        <v>#VALUE!</v>
      </c>
      <c r="D13" s="167" t="e">
        <f>'输出值3-增值税及其他税金估算表'!D26</f>
        <v>#VALUE!</v>
      </c>
      <c r="E13" s="115" t="e">
        <f>'输出值3-增值税及其他税金估算表'!E26</f>
        <v>#VALUE!</v>
      </c>
      <c r="F13" s="115" t="e">
        <f>'输出值3-增值税及其他税金估算表'!F26</f>
        <v>#VALUE!</v>
      </c>
      <c r="G13" s="115" t="e">
        <f>'输出值3-增值税及其他税金估算表'!G26</f>
        <v>#VALUE!</v>
      </c>
      <c r="H13" s="115" t="e">
        <f>'输出值3-增值税及其他税金估算表'!H26</f>
        <v>#VALUE!</v>
      </c>
      <c r="I13" s="115" t="e">
        <f>'输出值3-增值税及其他税金估算表'!I26</f>
        <v>#VALUE!</v>
      </c>
      <c r="J13" s="115" t="e">
        <f>'输出值3-增值税及其他税金估算表'!J26</f>
        <v>#VALUE!</v>
      </c>
      <c r="K13" s="115" t="e">
        <f>'输出值3-增值税及其他税金估算表'!K26</f>
        <v>#VALUE!</v>
      </c>
      <c r="L13" s="115" t="e">
        <f>'输出值3-增值税及其他税金估算表'!L26</f>
        <v>#VALUE!</v>
      </c>
      <c r="M13" s="115" t="e">
        <f>'输出值3-增值税及其他税金估算表'!M26</f>
        <v>#VALUE!</v>
      </c>
      <c r="N13" s="115" t="e">
        <f>'输出值3-增值税及其他税金估算表'!N26</f>
        <v>#VALUE!</v>
      </c>
      <c r="O13" s="115" t="e">
        <f>'输出值3-增值税及其他税金估算表'!O26</f>
        <v>#VALUE!</v>
      </c>
      <c r="P13" s="115" t="e">
        <f>'输出值3-增值税及其他税金估算表'!P26</f>
        <v>#VALUE!</v>
      </c>
      <c r="Q13" s="115" t="e">
        <f>'输出值3-增值税及其他税金估算表'!Q26</f>
        <v>#VALUE!</v>
      </c>
      <c r="R13" s="115" t="e">
        <f>'输出值3-增值税及其他税金估算表'!R26</f>
        <v>#VALUE!</v>
      </c>
      <c r="S13" s="115" t="e">
        <f>'输出值3-增值税及其他税金估算表'!S26</f>
        <v>#VALUE!</v>
      </c>
      <c r="T13" s="115" t="e">
        <f>'输出值3-增值税及其他税金估算表'!T26</f>
        <v>#VALUE!</v>
      </c>
      <c r="U13" s="115" t="e">
        <f>'输出值3-增值税及其他税金估算表'!U26</f>
        <v>#VALUE!</v>
      </c>
      <c r="V13" s="115" t="e">
        <f>'输出值3-增值税及其他税金估算表'!V26</f>
        <v>#VALUE!</v>
      </c>
      <c r="W13" s="115" t="e">
        <f>'输出值3-增值税及其他税金估算表'!W26</f>
        <v>#VALUE!</v>
      </c>
    </row>
    <row r="14" spans="1:23" ht="15">
      <c r="A14" s="113">
        <v>2.4</v>
      </c>
      <c r="B14" s="145" t="s">
        <v>87</v>
      </c>
      <c r="C14" s="166" t="e">
        <f t="shared" si="0"/>
        <v>#VALUE!</v>
      </c>
      <c r="D14" s="167">
        <f>'输出值8-还本付息表'!D9</f>
        <v>0</v>
      </c>
      <c r="E14" s="115">
        <f>'输出值8-还本付息表'!E9</f>
        <v>0</v>
      </c>
      <c r="F14" s="115" t="e">
        <f>'输出值8-还本付息表'!F9</f>
        <v>#VALUE!</v>
      </c>
      <c r="G14" s="115" t="e">
        <f>'输出值8-还本付息表'!G9</f>
        <v>#VALUE!</v>
      </c>
      <c r="H14" s="115" t="e">
        <f>'输出值8-还本付息表'!H9</f>
        <v>#VALUE!</v>
      </c>
      <c r="I14" s="115" t="e">
        <f>'输出值8-还本付息表'!I9</f>
        <v>#VALUE!</v>
      </c>
      <c r="J14" s="115" t="e">
        <f>'输出值8-还本付息表'!J9</f>
        <v>#VALUE!</v>
      </c>
      <c r="K14" s="115">
        <f>'输出值8-还本付息表'!K9</f>
        <v>0</v>
      </c>
      <c r="L14" s="115">
        <f>'输出值8-还本付息表'!L9</f>
        <v>0</v>
      </c>
      <c r="M14" s="115">
        <f>'输出值8-还本付息表'!M9</f>
        <v>0</v>
      </c>
      <c r="N14" s="115">
        <f>'输出值8-还本付息表'!N9</f>
        <v>0</v>
      </c>
      <c r="O14" s="115">
        <f>'输出值8-还本付息表'!O9</f>
        <v>0</v>
      </c>
      <c r="P14" s="115">
        <f>'输出值8-还本付息表'!P9</f>
        <v>0</v>
      </c>
      <c r="Q14" s="115">
        <f>'输出值8-还本付息表'!Q9</f>
        <v>0</v>
      </c>
      <c r="R14" s="115">
        <f>'输出值8-还本付息表'!R9</f>
        <v>0</v>
      </c>
      <c r="S14" s="115">
        <f>'输出值8-还本付息表'!S9</f>
        <v>0</v>
      </c>
      <c r="T14" s="115">
        <f>'输出值8-还本付息表'!T9</f>
        <v>0</v>
      </c>
      <c r="U14" s="115">
        <f>'输出值8-还本付息表'!U9</f>
        <v>0</v>
      </c>
      <c r="V14" s="115">
        <f>'输出值8-还本付息表'!V9</f>
        <v>0</v>
      </c>
      <c r="W14" s="115">
        <f>'输出值8-还本付息表'!W9</f>
        <v>0</v>
      </c>
    </row>
    <row r="15" spans="1:23" ht="15">
      <c r="A15" s="113">
        <v>2.5</v>
      </c>
      <c r="B15" s="145" t="s">
        <v>11</v>
      </c>
      <c r="C15" s="166" t="e">
        <f t="shared" si="0"/>
        <v>#VALUE!</v>
      </c>
      <c r="D15" s="167" t="e">
        <f>'输出值6-利润表'!C10</f>
        <v>#VALUE!</v>
      </c>
      <c r="E15" s="115" t="e">
        <f>'输出值6-利润表'!D10</f>
        <v>#VALUE!</v>
      </c>
      <c r="F15" s="115" t="e">
        <f>'输出值6-利润表'!E10</f>
        <v>#VALUE!</v>
      </c>
      <c r="G15" s="115" t="e">
        <f>'输出值6-利润表'!F10</f>
        <v>#VALUE!</v>
      </c>
      <c r="H15" s="115" t="e">
        <f>'输出值6-利润表'!G10</f>
        <v>#VALUE!</v>
      </c>
      <c r="I15" s="115" t="e">
        <f>'输出值6-利润表'!H10</f>
        <v>#VALUE!</v>
      </c>
      <c r="J15" s="115" t="e">
        <f>'输出值6-利润表'!I10</f>
        <v>#VALUE!</v>
      </c>
      <c r="K15" s="115" t="e">
        <f>'输出值6-利润表'!J10</f>
        <v>#VALUE!</v>
      </c>
      <c r="L15" s="115" t="e">
        <f>'输出值6-利润表'!K10</f>
        <v>#VALUE!</v>
      </c>
      <c r="M15" s="115" t="e">
        <f>'输出值6-利润表'!L10</f>
        <v>#VALUE!</v>
      </c>
      <c r="N15" s="115" t="e">
        <f>'输出值6-利润表'!M10</f>
        <v>#VALUE!</v>
      </c>
      <c r="O15" s="115" t="e">
        <f>'输出值6-利润表'!N10</f>
        <v>#VALUE!</v>
      </c>
      <c r="P15" s="115" t="e">
        <f>'输出值6-利润表'!O10</f>
        <v>#VALUE!</v>
      </c>
      <c r="Q15" s="115" t="e">
        <f>'输出值6-利润表'!P10</f>
        <v>#VALUE!</v>
      </c>
      <c r="R15" s="115" t="e">
        <f>'输出值6-利润表'!Q10</f>
        <v>#VALUE!</v>
      </c>
      <c r="S15" s="115" t="e">
        <f>'输出值6-利润表'!R10</f>
        <v>#VALUE!</v>
      </c>
      <c r="T15" s="115" t="e">
        <f>'输出值6-利润表'!S10</f>
        <v>#VALUE!</v>
      </c>
      <c r="U15" s="115" t="e">
        <f>'输出值6-利润表'!T10</f>
        <v>#VALUE!</v>
      </c>
      <c r="V15" s="115" t="e">
        <f>'输出值6-利润表'!U10</f>
        <v>#VALUE!</v>
      </c>
      <c r="W15" s="115" t="e">
        <f>'输出值6-利润表'!V10</f>
        <v>#VALUE!</v>
      </c>
    </row>
    <row r="16" spans="1:23" ht="15">
      <c r="A16" s="113">
        <v>2.6</v>
      </c>
      <c r="B16" s="145" t="s">
        <v>88</v>
      </c>
      <c r="C16" s="166" t="e">
        <f t="shared" si="0"/>
        <v>#VALUE!</v>
      </c>
      <c r="D16" s="167" t="e">
        <f t="shared" ref="D16:W16" si="2">SUM(D11:D15)</f>
        <v>#VALUE!</v>
      </c>
      <c r="E16" s="115" t="e">
        <f t="shared" si="2"/>
        <v>#VALUE!</v>
      </c>
      <c r="F16" s="115" t="e">
        <f t="shared" si="2"/>
        <v>#VALUE!</v>
      </c>
      <c r="G16" s="115" t="e">
        <f t="shared" si="2"/>
        <v>#VALUE!</v>
      </c>
      <c r="H16" s="115" t="e">
        <f t="shared" si="2"/>
        <v>#VALUE!</v>
      </c>
      <c r="I16" s="115" t="e">
        <f t="shared" si="2"/>
        <v>#VALUE!</v>
      </c>
      <c r="J16" s="115" t="e">
        <f t="shared" si="2"/>
        <v>#VALUE!</v>
      </c>
      <c r="K16" s="115" t="e">
        <f t="shared" si="2"/>
        <v>#VALUE!</v>
      </c>
      <c r="L16" s="115" t="e">
        <f t="shared" si="2"/>
        <v>#VALUE!</v>
      </c>
      <c r="M16" s="115" t="e">
        <f t="shared" si="2"/>
        <v>#VALUE!</v>
      </c>
      <c r="N16" s="115" t="e">
        <f t="shared" si="2"/>
        <v>#VALUE!</v>
      </c>
      <c r="O16" s="115" t="e">
        <f t="shared" si="2"/>
        <v>#VALUE!</v>
      </c>
      <c r="P16" s="115" t="e">
        <f t="shared" si="2"/>
        <v>#VALUE!</v>
      </c>
      <c r="Q16" s="115" t="e">
        <f t="shared" si="2"/>
        <v>#VALUE!</v>
      </c>
      <c r="R16" s="115" t="e">
        <f t="shared" si="2"/>
        <v>#VALUE!</v>
      </c>
      <c r="S16" s="115" t="e">
        <f t="shared" si="2"/>
        <v>#VALUE!</v>
      </c>
      <c r="T16" s="115" t="e">
        <f t="shared" si="2"/>
        <v>#VALUE!</v>
      </c>
      <c r="U16" s="115" t="e">
        <f t="shared" si="2"/>
        <v>#VALUE!</v>
      </c>
      <c r="V16" s="115" t="e">
        <f t="shared" si="2"/>
        <v>#VALUE!</v>
      </c>
      <c r="W16" s="115" t="e">
        <f t="shared" si="2"/>
        <v>#VALUE!</v>
      </c>
    </row>
    <row r="17" spans="1:23" ht="15">
      <c r="A17" s="151">
        <v>3</v>
      </c>
      <c r="B17" s="152" t="s">
        <v>89</v>
      </c>
      <c r="C17" s="166" t="e">
        <f t="shared" si="0"/>
        <v>#VALUE!</v>
      </c>
      <c r="D17" s="167" t="e">
        <f t="shared" ref="D17:W17" si="3">D9-D16</f>
        <v>#VALUE!</v>
      </c>
      <c r="E17" s="115" t="e">
        <f t="shared" si="3"/>
        <v>#VALUE!</v>
      </c>
      <c r="F17" s="115" t="e">
        <f t="shared" si="3"/>
        <v>#VALUE!</v>
      </c>
      <c r="G17" s="115" t="e">
        <f t="shared" si="3"/>
        <v>#VALUE!</v>
      </c>
      <c r="H17" s="115" t="e">
        <f t="shared" si="3"/>
        <v>#VALUE!</v>
      </c>
      <c r="I17" s="115" t="e">
        <f t="shared" si="3"/>
        <v>#VALUE!</v>
      </c>
      <c r="J17" s="115" t="e">
        <f t="shared" si="3"/>
        <v>#VALUE!</v>
      </c>
      <c r="K17" s="115" t="e">
        <f t="shared" si="3"/>
        <v>#VALUE!</v>
      </c>
      <c r="L17" s="115" t="e">
        <f t="shared" si="3"/>
        <v>#VALUE!</v>
      </c>
      <c r="M17" s="115" t="e">
        <f t="shared" si="3"/>
        <v>#VALUE!</v>
      </c>
      <c r="N17" s="115" t="e">
        <f t="shared" si="3"/>
        <v>#VALUE!</v>
      </c>
      <c r="O17" s="115" t="e">
        <f t="shared" si="3"/>
        <v>#VALUE!</v>
      </c>
      <c r="P17" s="115" t="e">
        <f t="shared" si="3"/>
        <v>#VALUE!</v>
      </c>
      <c r="Q17" s="115" t="e">
        <f t="shared" si="3"/>
        <v>#VALUE!</v>
      </c>
      <c r="R17" s="115" t="e">
        <f t="shared" si="3"/>
        <v>#VALUE!</v>
      </c>
      <c r="S17" s="115" t="e">
        <f t="shared" si="3"/>
        <v>#VALUE!</v>
      </c>
      <c r="T17" s="115" t="e">
        <f t="shared" si="3"/>
        <v>#VALUE!</v>
      </c>
      <c r="U17" s="115" t="e">
        <f t="shared" si="3"/>
        <v>#VALUE!</v>
      </c>
      <c r="V17" s="115" t="e">
        <f t="shared" si="3"/>
        <v>#VALUE!</v>
      </c>
      <c r="W17" s="115" t="e">
        <f t="shared" si="3"/>
        <v>#VALUE!</v>
      </c>
    </row>
    <row r="18" spans="1:23" ht="15">
      <c r="A18" s="151">
        <v>4</v>
      </c>
      <c r="B18" s="152" t="s">
        <v>90</v>
      </c>
      <c r="C18" s="164"/>
      <c r="D18" s="168" t="e">
        <f>D17</f>
        <v>#VALUE!</v>
      </c>
      <c r="E18" s="148" t="e">
        <f>D18+E17</f>
        <v>#VALUE!</v>
      </c>
      <c r="F18" s="148" t="e">
        <f>E18+F17</f>
        <v>#VALUE!</v>
      </c>
      <c r="G18" s="148" t="e">
        <f>F18+G17</f>
        <v>#VALUE!</v>
      </c>
      <c r="H18" s="148" t="e">
        <f t="shared" ref="H18" si="4">G18+H17</f>
        <v>#VALUE!</v>
      </c>
      <c r="I18" s="148" t="e">
        <f t="shared" ref="I18" si="5">H18+I17</f>
        <v>#VALUE!</v>
      </c>
      <c r="J18" s="148" t="e">
        <f t="shared" ref="J18" si="6">I18+J17</f>
        <v>#VALUE!</v>
      </c>
      <c r="K18" s="148" t="e">
        <f t="shared" ref="K18" si="7">J18+K17</f>
        <v>#VALUE!</v>
      </c>
      <c r="L18" s="148" t="e">
        <f t="shared" ref="L18" si="8">K18+L17</f>
        <v>#VALUE!</v>
      </c>
      <c r="M18" s="148" t="e">
        <f t="shared" ref="M18" si="9">L18+M17</f>
        <v>#VALUE!</v>
      </c>
      <c r="N18" s="148" t="e">
        <f t="shared" ref="N18" si="10">M18+N17</f>
        <v>#VALUE!</v>
      </c>
      <c r="O18" s="148" t="e">
        <f t="shared" ref="O18" si="11">N18+O17</f>
        <v>#VALUE!</v>
      </c>
      <c r="P18" s="148" t="e">
        <f t="shared" ref="P18" si="12">O18+P17</f>
        <v>#VALUE!</v>
      </c>
      <c r="Q18" s="148" t="e">
        <f t="shared" ref="Q18" si="13">P18+Q17</f>
        <v>#VALUE!</v>
      </c>
      <c r="R18" s="148" t="e">
        <f t="shared" ref="R18" si="14">Q18+R17</f>
        <v>#VALUE!</v>
      </c>
      <c r="S18" s="148" t="e">
        <f t="shared" ref="S18" si="15">R18+S17</f>
        <v>#VALUE!</v>
      </c>
      <c r="T18" s="148" t="e">
        <f t="shared" ref="T18" si="16">S18+T17</f>
        <v>#VALUE!</v>
      </c>
      <c r="U18" s="148" t="e">
        <f t="shared" ref="U18" si="17">T18+U17</f>
        <v>#VALUE!</v>
      </c>
      <c r="V18" s="148" t="e">
        <f t="shared" ref="V18" si="18">U18+V17</f>
        <v>#VALUE!</v>
      </c>
      <c r="W18" s="148" t="e">
        <f t="shared" ref="W18" si="19">V18+W17</f>
        <v>#VALUE!</v>
      </c>
    </row>
    <row r="19" spans="1:23" ht="15.5">
      <c r="A19" s="151">
        <v>5</v>
      </c>
      <c r="B19" s="152" t="s">
        <v>91</v>
      </c>
      <c r="C19" s="145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03"/>
      <c r="P19" s="103"/>
      <c r="Q19" s="103"/>
      <c r="R19" s="103"/>
      <c r="S19" s="103"/>
      <c r="T19" s="103"/>
      <c r="U19" s="103"/>
      <c r="V19" s="103"/>
      <c r="W19" s="103"/>
    </row>
    <row r="20" spans="1:23" ht="15.5">
      <c r="A20" s="151">
        <v>6</v>
      </c>
      <c r="B20" s="152" t="s">
        <v>92</v>
      </c>
      <c r="C20" s="145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03"/>
      <c r="P20" s="103"/>
      <c r="Q20" s="103"/>
      <c r="R20" s="103"/>
      <c r="S20" s="103"/>
      <c r="T20" s="103"/>
      <c r="U20" s="103"/>
      <c r="V20" s="103"/>
      <c r="W20" s="103"/>
    </row>
    <row r="21" spans="1:23" ht="15.5">
      <c r="A21" s="15"/>
      <c r="B21" s="210" t="s">
        <v>93</v>
      </c>
      <c r="C21" s="210"/>
      <c r="D21" s="210"/>
      <c r="E21" s="15"/>
      <c r="F21" s="210" t="s">
        <v>94</v>
      </c>
      <c r="G21" s="210"/>
      <c r="H21" s="15"/>
      <c r="I21" s="15"/>
      <c r="J21" s="210" t="s">
        <v>95</v>
      </c>
      <c r="K21" s="210"/>
      <c r="L21" s="210"/>
      <c r="M21" s="15"/>
      <c r="N21" s="15"/>
      <c r="O21" s="149"/>
      <c r="P21" s="149"/>
      <c r="Q21" s="149"/>
      <c r="R21" s="149"/>
      <c r="S21" s="149"/>
      <c r="T21" s="149"/>
      <c r="U21" s="149"/>
      <c r="V21" s="149"/>
      <c r="W21" s="149"/>
    </row>
    <row r="22" spans="1:23" ht="15.5">
      <c r="A22" s="15"/>
      <c r="B22" s="210" t="s">
        <v>96</v>
      </c>
      <c r="C22" s="210"/>
      <c r="D22" s="210"/>
      <c r="E22" s="15"/>
      <c r="F22" s="211" t="e">
        <f>IRR(D17:W17)</f>
        <v>#VALUE!</v>
      </c>
      <c r="G22" s="211"/>
      <c r="H22" s="15"/>
      <c r="I22" s="15"/>
      <c r="J22" s="211"/>
      <c r="K22" s="211"/>
      <c r="L22" s="211"/>
      <c r="M22" s="15"/>
      <c r="N22" s="15"/>
      <c r="O22" s="149"/>
      <c r="P22" s="149"/>
      <c r="Q22" s="149"/>
      <c r="R22" s="149"/>
      <c r="S22" s="149"/>
      <c r="T22" s="149"/>
      <c r="U22" s="149"/>
      <c r="V22" s="149"/>
      <c r="W22" s="149"/>
    </row>
    <row r="23" spans="1:23" ht="15.5">
      <c r="A23" s="15"/>
      <c r="B23" s="210" t="s">
        <v>97</v>
      </c>
      <c r="C23" s="210"/>
      <c r="D23" s="210"/>
      <c r="E23" s="150" t="e">
        <f>NPV(6%,D17:W17)</f>
        <v>#VALUE!</v>
      </c>
      <c r="F23" s="210"/>
      <c r="G23" s="210"/>
      <c r="H23" s="15"/>
      <c r="I23" s="15"/>
      <c r="J23" s="210"/>
      <c r="K23" s="210"/>
      <c r="L23" s="210"/>
      <c r="M23" s="15"/>
      <c r="N23" s="15"/>
      <c r="O23" s="149"/>
      <c r="P23" s="149"/>
      <c r="Q23" s="149"/>
      <c r="R23" s="149"/>
      <c r="S23" s="149"/>
      <c r="T23" s="149"/>
      <c r="U23" s="149"/>
      <c r="V23" s="149"/>
      <c r="W23" s="149"/>
    </row>
    <row r="24" spans="1:23" ht="15.5">
      <c r="A24" s="15"/>
      <c r="B24" s="210" t="s">
        <v>98</v>
      </c>
      <c r="C24" s="210"/>
      <c r="D24" s="210"/>
      <c r="E24" s="15" t="s">
        <v>445</v>
      </c>
      <c r="F24" s="210"/>
      <c r="G24" s="210"/>
      <c r="H24" s="15"/>
      <c r="I24" s="15"/>
      <c r="J24" s="210"/>
      <c r="K24" s="210"/>
      <c r="L24" s="210"/>
      <c r="M24" s="15"/>
      <c r="N24" s="15"/>
      <c r="O24" s="149"/>
      <c r="P24" s="149"/>
      <c r="Q24" s="149"/>
      <c r="R24" s="149"/>
      <c r="S24" s="149"/>
      <c r="T24" s="149"/>
      <c r="U24" s="149"/>
      <c r="V24" s="149"/>
      <c r="W24" s="149"/>
    </row>
    <row r="25" spans="1:23" ht="15.5">
      <c r="A25" s="153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</row>
    <row r="26" spans="1:23">
      <c r="C26" t="e">
        <f>(C13+C15)/C5</f>
        <v>#VALUE!</v>
      </c>
    </row>
  </sheetData>
  <mergeCells count="13">
    <mergeCell ref="A1:W1"/>
    <mergeCell ref="B21:D21"/>
    <mergeCell ref="F21:G21"/>
    <mergeCell ref="J21:L21"/>
    <mergeCell ref="B22:D22"/>
    <mergeCell ref="F22:G22"/>
    <mergeCell ref="J22:L22"/>
    <mergeCell ref="B23:D23"/>
    <mergeCell ref="F23:G23"/>
    <mergeCell ref="J23:L23"/>
    <mergeCell ref="B24:D24"/>
    <mergeCell ref="F24:G24"/>
    <mergeCell ref="J24:L24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输入值【1】</vt:lpstr>
      <vt:lpstr>输入值【2】</vt:lpstr>
      <vt:lpstr>输出值1-总投资估算表</vt:lpstr>
      <vt:lpstr>输出值2-营业收入估算表</vt:lpstr>
      <vt:lpstr>输出值3-增值税及其他税金估算表</vt:lpstr>
      <vt:lpstr>输出值4-总成本费用估算表</vt:lpstr>
      <vt:lpstr>输出值5-折旧摊销费用估算表</vt:lpstr>
      <vt:lpstr>输出值6-利润表</vt:lpstr>
      <vt:lpstr>输出值7-现金流量表</vt:lpstr>
      <vt:lpstr>输出值8-还本付息表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第一章</dc:title>
  <dc:creator>微软用户</dc:creator>
  <cp:lastModifiedBy>Kevin Wang</cp:lastModifiedBy>
  <dcterms:created xsi:type="dcterms:W3CDTF">2020-11-13T15:57:23Z</dcterms:created>
  <dcterms:modified xsi:type="dcterms:W3CDTF">2022-06-28T02:36:39Z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